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HYPERLINK("https://klasma.github.io/Logging_1435/karta/A 69213-2018 karta.png", "A 69213-2018")</f>
        <v/>
      </c>
      <c r="U2">
        <f>HYPERLINK("https://klasma.github.io/Logging_1435/knärot/A 69213-2018 knärot.png", "A 69213-2018")</f>
        <v/>
      </c>
      <c r="V2">
        <f>HYPERLINK("https://klasma.github.io/Logging_1435/klagomål/A 69213-2018 klagomål.docx", "A 69213-2018")</f>
        <v/>
      </c>
      <c r="W2">
        <f>HYPERLINK("https://klasma.github.io/Logging_1435/klagomålsmail/A 69213-2018 klagomålsmail.docx", "A 69213-2018")</f>
        <v/>
      </c>
      <c r="X2">
        <f>HYPERLINK("https://klasma.github.io/Logging_1435/tillsyn/A 69213-2018 tillsyn.docx", "A 69213-2018")</f>
        <v/>
      </c>
      <c r="Y2">
        <f>HYPERLINK("https://klasma.github.io/Logging_1435/tillsynsmail/A 69213-2018 tillsynsmail.docx", "A 69213-2018")</f>
        <v/>
      </c>
    </row>
    <row r="3" ht="15" customHeight="1">
      <c r="A3" t="inlineStr">
        <is>
          <t>A 20688-2022</t>
        </is>
      </c>
      <c r="B3" s="1" t="n">
        <v>44700</v>
      </c>
      <c r="C3" s="1" t="n">
        <v>45212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HYPERLINK("https://klasma.github.io/Logging_1496/karta/A 20688-2022 karta.png", "A 20688-2022")</f>
        <v/>
      </c>
      <c r="V3">
        <f>HYPERLINK("https://klasma.github.io/Logging_1496/klagomål/A 20688-2022 klagomål.docx", "A 20688-2022")</f>
        <v/>
      </c>
      <c r="W3">
        <f>HYPERLINK("https://klasma.github.io/Logging_1496/klagomålsmail/A 20688-2022 klagomålsmail.docx", "A 20688-2022")</f>
        <v/>
      </c>
      <c r="X3">
        <f>HYPERLINK("https://klasma.github.io/Logging_1496/tillsyn/A 20688-2022 tillsyn.docx", "A 20688-2022")</f>
        <v/>
      </c>
      <c r="Y3">
        <f>HYPERLINK("https://klasma.github.io/Logging_1496/tillsynsmail/A 20688-2022 tillsynsmail.docx", "A 20688-2022")</f>
        <v/>
      </c>
    </row>
    <row r="4" ht="15" customHeight="1">
      <c r="A4" t="inlineStr">
        <is>
          <t>A 43427-2019</t>
        </is>
      </c>
      <c r="B4" s="1" t="n">
        <v>43703</v>
      </c>
      <c r="C4" s="1" t="n">
        <v>45212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HYPERLINK("https://klasma.github.io/Logging_1461/karta/A 43427-2019 karta.png", "A 43427-2019")</f>
        <v/>
      </c>
      <c r="V4">
        <f>HYPERLINK("https://klasma.github.io/Logging_1461/klagomål/A 43427-2019 klagomål.docx", "A 43427-2019")</f>
        <v/>
      </c>
      <c r="W4">
        <f>HYPERLINK("https://klasma.github.io/Logging_1461/klagomålsmail/A 43427-2019 klagomålsmail.docx", "A 43427-2019")</f>
        <v/>
      </c>
      <c r="X4">
        <f>HYPERLINK("https://klasma.github.io/Logging_1461/tillsyn/A 43427-2019 tillsyn.docx", "A 43427-2019")</f>
        <v/>
      </c>
      <c r="Y4">
        <f>HYPERLINK("https://klasma.github.io/Logging_1461/tillsynsmail/A 43427-2019 tillsynsmail.docx", "A 43427-2019")</f>
        <v/>
      </c>
    </row>
    <row r="5" ht="15" customHeight="1">
      <c r="A5" t="inlineStr">
        <is>
          <t>A 12138-2021</t>
        </is>
      </c>
      <c r="B5" s="1" t="n">
        <v>44266</v>
      </c>
      <c r="C5" s="1" t="n">
        <v>45212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HYPERLINK("https://klasma.github.io/Logging_1440/karta/A 12138-2021 karta.png", "A 12138-2021")</f>
        <v/>
      </c>
      <c r="U5">
        <f>HYPERLINK("https://klasma.github.io/Logging_1440/knärot/A 12138-2021 knärot.png", "A 12138-2021")</f>
        <v/>
      </c>
      <c r="V5">
        <f>HYPERLINK("https://klasma.github.io/Logging_1440/klagomål/A 12138-2021 klagomål.docx", "A 12138-2021")</f>
        <v/>
      </c>
      <c r="W5">
        <f>HYPERLINK("https://klasma.github.io/Logging_1440/klagomålsmail/A 12138-2021 klagomålsmail.docx", "A 12138-2021")</f>
        <v/>
      </c>
      <c r="X5">
        <f>HYPERLINK("https://klasma.github.io/Logging_1440/tillsyn/A 12138-2021 tillsyn.docx", "A 12138-2021")</f>
        <v/>
      </c>
      <c r="Y5">
        <f>HYPERLINK("https://klasma.github.io/Logging_1440/tillsynsmail/A 12138-2021 tillsynsmail.docx", "A 12138-2021")</f>
        <v/>
      </c>
    </row>
    <row r="6" ht="15" customHeight="1">
      <c r="A6" t="inlineStr">
        <is>
          <t>A 16645-2023</t>
        </is>
      </c>
      <c r="B6" s="1" t="n">
        <v>45030</v>
      </c>
      <c r="C6" s="1" t="n">
        <v>45212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HYPERLINK("https://klasma.github.io/Logging_1460/karta/A 16645-2023 karta.png", "A 16645-2023")</f>
        <v/>
      </c>
      <c r="U6">
        <f>HYPERLINK("https://klasma.github.io/Logging_1460/knärot/A 16645-2023 knärot.png", "A 16645-2023")</f>
        <v/>
      </c>
      <c r="V6">
        <f>HYPERLINK("https://klasma.github.io/Logging_1460/klagomål/A 16645-2023 klagomål.docx", "A 16645-2023")</f>
        <v/>
      </c>
      <c r="W6">
        <f>HYPERLINK("https://klasma.github.io/Logging_1460/klagomålsmail/A 16645-2023 klagomålsmail.docx", "A 16645-2023")</f>
        <v/>
      </c>
      <c r="X6">
        <f>HYPERLINK("https://klasma.github.io/Logging_1460/tillsyn/A 16645-2023 tillsyn.docx", "A 16645-2023")</f>
        <v/>
      </c>
      <c r="Y6">
        <f>HYPERLINK("https://klasma.github.io/Logging_1460/tillsynsmail/A 16645-2023 tillsynsmail.docx", "A 16645-2023")</f>
        <v/>
      </c>
    </row>
    <row r="7" ht="15" customHeight="1">
      <c r="A7" t="inlineStr">
        <is>
          <t>A 9135-2019</t>
        </is>
      </c>
      <c r="B7" s="1" t="n">
        <v>43504</v>
      </c>
      <c r="C7" s="1" t="n">
        <v>45212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HYPERLINK("https://klasma.github.io/Logging_1461/karta/A 9135-2019 karta.png", "A 9135-2019")</f>
        <v/>
      </c>
      <c r="V7">
        <f>HYPERLINK("https://klasma.github.io/Logging_1461/klagomål/A 9135-2019 klagomål.docx", "A 9135-2019")</f>
        <v/>
      </c>
      <c r="W7">
        <f>HYPERLINK("https://klasma.github.io/Logging_1461/klagomålsmail/A 9135-2019 klagomålsmail.docx", "A 9135-2019")</f>
        <v/>
      </c>
      <c r="X7">
        <f>HYPERLINK("https://klasma.github.io/Logging_1461/tillsyn/A 9135-2019 tillsyn.docx", "A 9135-2019")</f>
        <v/>
      </c>
      <c r="Y7">
        <f>HYPERLINK("https://klasma.github.io/Logging_1461/tillsynsmail/A 9135-2019 tillsynsmail.docx", "A 9135-2019")</f>
        <v/>
      </c>
    </row>
    <row r="8" ht="15" customHeight="1">
      <c r="A8" t="inlineStr">
        <is>
          <t>A 199-2023</t>
        </is>
      </c>
      <c r="B8" s="1" t="n">
        <v>44928</v>
      </c>
      <c r="C8" s="1" t="n">
        <v>45212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HYPERLINK("https://klasma.github.io/Logging_1438/karta/A 199-2023 karta.png", "A 199-2023")</f>
        <v/>
      </c>
      <c r="U8">
        <f>HYPERLINK("https://klasma.github.io/Logging_1438/knärot/A 199-2023 knärot.png", "A 199-2023")</f>
        <v/>
      </c>
      <c r="V8">
        <f>HYPERLINK("https://klasma.github.io/Logging_1438/klagomål/A 199-2023 klagomål.docx", "A 199-2023")</f>
        <v/>
      </c>
      <c r="W8">
        <f>HYPERLINK("https://klasma.github.io/Logging_1438/klagomålsmail/A 199-2023 klagomålsmail.docx", "A 199-2023")</f>
        <v/>
      </c>
      <c r="X8">
        <f>HYPERLINK("https://klasma.github.io/Logging_1438/tillsyn/A 199-2023 tillsyn.docx", "A 199-2023")</f>
        <v/>
      </c>
      <c r="Y8">
        <f>HYPERLINK("https://klasma.github.io/Logging_1438/tillsynsmail/A 199-2023 tillsynsmail.docx", "A 199-2023")</f>
        <v/>
      </c>
    </row>
    <row r="9" ht="15" customHeight="1">
      <c r="A9" t="inlineStr">
        <is>
          <t>A 21058-2019</t>
        </is>
      </c>
      <c r="B9" s="1" t="n">
        <v>43573</v>
      </c>
      <c r="C9" s="1" t="n">
        <v>45212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HYPERLINK("https://klasma.github.io/Logging_1462/karta/A 21058-2019 karta.png", "A 21058-2019")</f>
        <v/>
      </c>
      <c r="V9">
        <f>HYPERLINK("https://klasma.github.io/Logging_1462/klagomål/A 21058-2019 klagomål.docx", "A 21058-2019")</f>
        <v/>
      </c>
      <c r="W9">
        <f>HYPERLINK("https://klasma.github.io/Logging_1462/klagomålsmail/A 21058-2019 klagomålsmail.docx", "A 21058-2019")</f>
        <v/>
      </c>
      <c r="X9">
        <f>HYPERLINK("https://klasma.github.io/Logging_1462/tillsyn/A 21058-2019 tillsyn.docx", "A 21058-2019")</f>
        <v/>
      </c>
      <c r="Y9">
        <f>HYPERLINK("https://klasma.github.io/Logging_1462/tillsynsmail/A 21058-2019 tillsynsmail.docx", "A 21058-2019")</f>
        <v/>
      </c>
    </row>
    <row r="10" ht="15" customHeight="1">
      <c r="A10" t="inlineStr">
        <is>
          <t>A 6469-2022</t>
        </is>
      </c>
      <c r="B10" s="1" t="n">
        <v>44601</v>
      </c>
      <c r="C10" s="1" t="n">
        <v>45212</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HYPERLINK("https://klasma.github.io/Logging_1438/karta/A 6469-2022 karta.png", "A 6469-2022")</f>
        <v/>
      </c>
      <c r="U10">
        <f>HYPERLINK("https://klasma.github.io/Logging_1438/knärot/A 6469-2022 knärot.png", "A 6469-2022")</f>
        <v/>
      </c>
      <c r="V10">
        <f>HYPERLINK("https://klasma.github.io/Logging_1438/klagomål/A 6469-2022 klagomål.docx", "A 6469-2022")</f>
        <v/>
      </c>
      <c r="W10">
        <f>HYPERLINK("https://klasma.github.io/Logging_1438/klagomålsmail/A 6469-2022 klagomålsmail.docx", "A 6469-2022")</f>
        <v/>
      </c>
      <c r="X10">
        <f>HYPERLINK("https://klasma.github.io/Logging_1438/tillsyn/A 6469-2022 tillsyn.docx", "A 6469-2022")</f>
        <v/>
      </c>
      <c r="Y10">
        <f>HYPERLINK("https://klasma.github.io/Logging_1438/tillsynsmail/A 6469-2022 tillsynsmail.docx", "A 6469-2022")</f>
        <v/>
      </c>
    </row>
    <row r="11" ht="15" customHeight="1">
      <c r="A11" t="inlineStr">
        <is>
          <t>A 47259-2020</t>
        </is>
      </c>
      <c r="B11" s="1" t="n">
        <v>44097</v>
      </c>
      <c r="C11" s="1" t="n">
        <v>45212</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HYPERLINK("https://klasma.github.io/Logging_1486/karta/A 47259-2020 karta.png", "A 47259-2020")</f>
        <v/>
      </c>
      <c r="V11">
        <f>HYPERLINK("https://klasma.github.io/Logging_1486/klagomål/A 47259-2020 klagomål.docx", "A 47259-2020")</f>
        <v/>
      </c>
      <c r="W11">
        <f>HYPERLINK("https://klasma.github.io/Logging_1486/klagomålsmail/A 47259-2020 klagomålsmail.docx", "A 47259-2020")</f>
        <v/>
      </c>
      <c r="X11">
        <f>HYPERLINK("https://klasma.github.io/Logging_1486/tillsyn/A 47259-2020 tillsyn.docx", "A 47259-2020")</f>
        <v/>
      </c>
      <c r="Y11">
        <f>HYPERLINK("https://klasma.github.io/Logging_1486/tillsynsmail/A 47259-2020 tillsynsmail.docx", "A 47259-2020")</f>
        <v/>
      </c>
    </row>
    <row r="12" ht="15" customHeight="1">
      <c r="A12" t="inlineStr">
        <is>
          <t>A 13111-2022</t>
        </is>
      </c>
      <c r="B12" s="1" t="n">
        <v>44644</v>
      </c>
      <c r="C12" s="1" t="n">
        <v>45212</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HYPERLINK("https://klasma.github.io/Logging_1440/karta/A 13111-2022 karta.png", "A 13111-2022")</f>
        <v/>
      </c>
      <c r="V12">
        <f>HYPERLINK("https://klasma.github.io/Logging_1440/klagomål/A 13111-2022 klagomål.docx", "A 13111-2022")</f>
        <v/>
      </c>
      <c r="W12">
        <f>HYPERLINK("https://klasma.github.io/Logging_1440/klagomålsmail/A 13111-2022 klagomålsmail.docx", "A 13111-2022")</f>
        <v/>
      </c>
      <c r="X12">
        <f>HYPERLINK("https://klasma.github.io/Logging_1440/tillsyn/A 13111-2022 tillsyn.docx", "A 13111-2022")</f>
        <v/>
      </c>
      <c r="Y12">
        <f>HYPERLINK("https://klasma.github.io/Logging_1440/tillsynsmail/A 13111-2022 tillsynsmail.docx", "A 13111-2022")</f>
        <v/>
      </c>
    </row>
    <row r="13" ht="15" customHeight="1">
      <c r="A13" t="inlineStr">
        <is>
          <t>A 11731-2019</t>
        </is>
      </c>
      <c r="B13" s="1" t="n">
        <v>43518</v>
      </c>
      <c r="C13" s="1" t="n">
        <v>45212</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HYPERLINK("https://klasma.github.io/Logging_1440/karta/A 11731-2019 karta.png", "A 11731-2019")</f>
        <v/>
      </c>
      <c r="V13">
        <f>HYPERLINK("https://klasma.github.io/Logging_1440/klagomål/A 11731-2019 klagomål.docx", "A 11731-2019")</f>
        <v/>
      </c>
      <c r="W13">
        <f>HYPERLINK("https://klasma.github.io/Logging_1440/klagomålsmail/A 11731-2019 klagomålsmail.docx", "A 11731-2019")</f>
        <v/>
      </c>
      <c r="X13">
        <f>HYPERLINK("https://klasma.github.io/Logging_1440/tillsyn/A 11731-2019 tillsyn.docx", "A 11731-2019")</f>
        <v/>
      </c>
      <c r="Y13">
        <f>HYPERLINK("https://klasma.github.io/Logging_1440/tillsynsmail/A 11731-2019 tillsynsmail.docx", "A 11731-2019")</f>
        <v/>
      </c>
    </row>
    <row r="14" ht="15" customHeight="1">
      <c r="A14" t="inlineStr">
        <is>
          <t>A 33385-2019</t>
        </is>
      </c>
      <c r="B14" s="1" t="n">
        <v>43644</v>
      </c>
      <c r="C14" s="1" t="n">
        <v>45212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HYPERLINK("https://klasma.github.io/Logging_1460/karta/A 33385-2019 karta.png", "A 33385-2019")</f>
        <v/>
      </c>
      <c r="V14">
        <f>HYPERLINK("https://klasma.github.io/Logging_1460/klagomål/A 33385-2019 klagomål.docx", "A 33385-2019")</f>
        <v/>
      </c>
      <c r="W14">
        <f>HYPERLINK("https://klasma.github.io/Logging_1460/klagomålsmail/A 33385-2019 klagomålsmail.docx", "A 33385-2019")</f>
        <v/>
      </c>
      <c r="X14">
        <f>HYPERLINK("https://klasma.github.io/Logging_1460/tillsyn/A 33385-2019 tillsyn.docx", "A 33385-2019")</f>
        <v/>
      </c>
      <c r="Y14">
        <f>HYPERLINK("https://klasma.github.io/Logging_1460/tillsynsmail/A 33385-2019 tillsynsmail.docx", "A 33385-2019")</f>
        <v/>
      </c>
    </row>
    <row r="15" ht="15" customHeight="1">
      <c r="A15" t="inlineStr">
        <is>
          <t>A 1484-2020</t>
        </is>
      </c>
      <c r="B15" s="1" t="n">
        <v>43843</v>
      </c>
      <c r="C15" s="1" t="n">
        <v>45212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HYPERLINK("https://klasma.github.io/Logging_1471/karta/A 1484-2020 karta.png", "A 1484-2020")</f>
        <v/>
      </c>
      <c r="V15">
        <f>HYPERLINK("https://klasma.github.io/Logging_1471/klagomål/A 1484-2020 klagomål.docx", "A 1484-2020")</f>
        <v/>
      </c>
      <c r="W15">
        <f>HYPERLINK("https://klasma.github.io/Logging_1471/klagomålsmail/A 1484-2020 klagomålsmail.docx", "A 1484-2020")</f>
        <v/>
      </c>
      <c r="X15">
        <f>HYPERLINK("https://klasma.github.io/Logging_1471/tillsyn/A 1484-2020 tillsyn.docx", "A 1484-2020")</f>
        <v/>
      </c>
      <c r="Y15">
        <f>HYPERLINK("https://klasma.github.io/Logging_1471/tillsynsmail/A 1484-2020 tillsynsmail.docx", "A 1484-2020")</f>
        <v/>
      </c>
    </row>
    <row r="16" ht="15" customHeight="1">
      <c r="A16" t="inlineStr">
        <is>
          <t>A 67757-2020</t>
        </is>
      </c>
      <c r="B16" s="1" t="n">
        <v>44182</v>
      </c>
      <c r="C16" s="1" t="n">
        <v>45212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HYPERLINK("https://klasma.github.io/Logging_1486/karta/A 67757-2020 karta.png", "A 67757-2020")</f>
        <v/>
      </c>
      <c r="V16">
        <f>HYPERLINK("https://klasma.github.io/Logging_1486/klagomål/A 67757-2020 klagomål.docx", "A 67757-2020")</f>
        <v/>
      </c>
      <c r="W16">
        <f>HYPERLINK("https://klasma.github.io/Logging_1486/klagomålsmail/A 67757-2020 klagomålsmail.docx", "A 67757-2020")</f>
        <v/>
      </c>
      <c r="X16">
        <f>HYPERLINK("https://klasma.github.io/Logging_1486/tillsyn/A 67757-2020 tillsyn.docx", "A 67757-2020")</f>
        <v/>
      </c>
      <c r="Y16">
        <f>HYPERLINK("https://klasma.github.io/Logging_1486/tillsynsmail/A 67757-2020 tillsynsmail.docx", "A 67757-2020")</f>
        <v/>
      </c>
    </row>
    <row r="17" ht="15" customHeight="1">
      <c r="A17" t="inlineStr">
        <is>
          <t>A 49914-2021</t>
        </is>
      </c>
      <c r="B17" s="1" t="n">
        <v>44455</v>
      </c>
      <c r="C17" s="1" t="n">
        <v>45212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HYPERLINK("https://klasma.github.io/Logging_1460/karta/A 49914-2021 karta.png", "A 49914-2021")</f>
        <v/>
      </c>
      <c r="V17">
        <f>HYPERLINK("https://klasma.github.io/Logging_1460/klagomål/A 49914-2021 klagomål.docx", "A 49914-2021")</f>
        <v/>
      </c>
      <c r="W17">
        <f>HYPERLINK("https://klasma.github.io/Logging_1460/klagomålsmail/A 49914-2021 klagomålsmail.docx", "A 49914-2021")</f>
        <v/>
      </c>
      <c r="X17">
        <f>HYPERLINK("https://klasma.github.io/Logging_1460/tillsyn/A 49914-2021 tillsyn.docx", "A 49914-2021")</f>
        <v/>
      </c>
      <c r="Y17">
        <f>HYPERLINK("https://klasma.github.io/Logging_1460/tillsynsmail/A 49914-2021 tillsynsmail.docx", "A 49914-2021")</f>
        <v/>
      </c>
    </row>
    <row r="18" ht="15" customHeight="1">
      <c r="A18" t="inlineStr">
        <is>
          <t>A 9166-2022</t>
        </is>
      </c>
      <c r="B18" s="1" t="n">
        <v>44615</v>
      </c>
      <c r="C18" s="1" t="n">
        <v>45212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HYPERLINK("https://klasma.github.io/Logging_1460/karta/A 9166-2022 karta.png", "A 9166-2022")</f>
        <v/>
      </c>
      <c r="V18">
        <f>HYPERLINK("https://klasma.github.io/Logging_1460/klagomål/A 9166-2022 klagomål.docx", "A 9166-2022")</f>
        <v/>
      </c>
      <c r="W18">
        <f>HYPERLINK("https://klasma.github.io/Logging_1460/klagomålsmail/A 9166-2022 klagomålsmail.docx", "A 9166-2022")</f>
        <v/>
      </c>
      <c r="X18">
        <f>HYPERLINK("https://klasma.github.io/Logging_1460/tillsyn/A 9166-2022 tillsyn.docx", "A 9166-2022")</f>
        <v/>
      </c>
      <c r="Y18">
        <f>HYPERLINK("https://klasma.github.io/Logging_1460/tillsynsmail/A 9166-2022 tillsynsmail.docx", "A 9166-2022")</f>
        <v/>
      </c>
    </row>
    <row r="19" ht="15" customHeight="1">
      <c r="A19" t="inlineStr">
        <is>
          <t>A 59601-2022</t>
        </is>
      </c>
      <c r="B19" s="1" t="n">
        <v>44907</v>
      </c>
      <c r="C19" s="1" t="n">
        <v>45212</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 artfynd.xlsx", "A 59601-2022")</f>
        <v/>
      </c>
      <c r="T19">
        <f>HYPERLINK("https://klasma.github.io/Logging_1438/karta/A 59601-2022 karta.png", "A 59601-2022")</f>
        <v/>
      </c>
      <c r="U19">
        <f>HYPERLINK("https://klasma.github.io/Logging_1438/knärot/A 59601-2022 knärot.png", "A 59601-2022")</f>
        <v/>
      </c>
      <c r="V19">
        <f>HYPERLINK("https://klasma.github.io/Logging_1438/klagomål/A 59601-2022 klagomål.docx", "A 59601-2022")</f>
        <v/>
      </c>
      <c r="W19">
        <f>HYPERLINK("https://klasma.github.io/Logging_1438/klagomålsmail/A 59601-2022 klagomålsmail.docx", "A 59601-2022")</f>
        <v/>
      </c>
      <c r="X19">
        <f>HYPERLINK("https://klasma.github.io/Logging_1438/tillsyn/A 59601-2022 tillsyn.docx", "A 59601-2022")</f>
        <v/>
      </c>
      <c r="Y19">
        <f>HYPERLINK("https://klasma.github.io/Logging_1438/tillsynsmail/A 59601-2022 tillsynsmail.docx", "A 59601-2022")</f>
        <v/>
      </c>
    </row>
    <row r="20" ht="15" customHeight="1">
      <c r="A20" t="inlineStr">
        <is>
          <t>A 25348-2023</t>
        </is>
      </c>
      <c r="B20" s="1" t="n">
        <v>45087</v>
      </c>
      <c r="C20" s="1" t="n">
        <v>45212</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 artfynd.xlsx", "A 25348-2023")</f>
        <v/>
      </c>
      <c r="T20">
        <f>HYPERLINK("https://klasma.github.io/Logging_1452/karta/A 25348-2023 karta.png", "A 25348-2023")</f>
        <v/>
      </c>
      <c r="V20">
        <f>HYPERLINK("https://klasma.github.io/Logging_1452/klagomål/A 25348-2023 klagomål.docx", "A 25348-2023")</f>
        <v/>
      </c>
      <c r="W20">
        <f>HYPERLINK("https://klasma.github.io/Logging_1452/klagomålsmail/A 25348-2023 klagomålsmail.docx", "A 25348-2023")</f>
        <v/>
      </c>
      <c r="X20">
        <f>HYPERLINK("https://klasma.github.io/Logging_1452/tillsyn/A 25348-2023 tillsyn.docx", "A 25348-2023")</f>
        <v/>
      </c>
      <c r="Y20">
        <f>HYPERLINK("https://klasma.github.io/Logging_1452/tillsynsmail/A 25348-2023 tillsynsmail.docx", "A 25348-2023")</f>
        <v/>
      </c>
    </row>
    <row r="21" ht="15" customHeight="1">
      <c r="A21" t="inlineStr">
        <is>
          <t>A 33612-2023</t>
        </is>
      </c>
      <c r="B21" s="1" t="n">
        <v>45132</v>
      </c>
      <c r="C21" s="1" t="n">
        <v>45212</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 artfynd.xlsx", "A 33612-2023")</f>
        <v/>
      </c>
      <c r="T21">
        <f>HYPERLINK("https://klasma.github.io/Logging_1452/karta/A 33612-2023 karta.png", "A 33612-2023")</f>
        <v/>
      </c>
      <c r="V21">
        <f>HYPERLINK("https://klasma.github.io/Logging_1452/klagomål/A 33612-2023 klagomål.docx", "A 33612-2023")</f>
        <v/>
      </c>
      <c r="W21">
        <f>HYPERLINK("https://klasma.github.io/Logging_1452/klagomålsmail/A 33612-2023 klagomålsmail.docx", "A 33612-2023")</f>
        <v/>
      </c>
      <c r="X21">
        <f>HYPERLINK("https://klasma.github.io/Logging_1452/tillsyn/A 33612-2023 tillsyn.docx", "A 33612-2023")</f>
        <v/>
      </c>
      <c r="Y21">
        <f>HYPERLINK("https://klasma.github.io/Logging_1452/tillsynsmail/A 33612-2023 tillsynsmail.docx", "A 33612-2023")</f>
        <v/>
      </c>
    </row>
    <row r="22" ht="15" customHeight="1">
      <c r="A22" t="inlineStr">
        <is>
          <t>A 42296-2019</t>
        </is>
      </c>
      <c r="B22" s="1" t="n">
        <v>43698</v>
      </c>
      <c r="C22" s="1" t="n">
        <v>45212</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 artfynd.xlsx", "A 42296-2019")</f>
        <v/>
      </c>
      <c r="T22">
        <f>HYPERLINK("https://klasma.github.io/Logging_1435/karta/A 42296-2019 karta.png", "A 42296-2019")</f>
        <v/>
      </c>
      <c r="V22">
        <f>HYPERLINK("https://klasma.github.io/Logging_1435/klagomål/A 42296-2019 klagomål.docx", "A 42296-2019")</f>
        <v/>
      </c>
      <c r="W22">
        <f>HYPERLINK("https://klasma.github.io/Logging_1435/klagomålsmail/A 42296-2019 klagomålsmail.docx", "A 42296-2019")</f>
        <v/>
      </c>
      <c r="X22">
        <f>HYPERLINK("https://klasma.github.io/Logging_1435/tillsyn/A 42296-2019 tillsyn.docx", "A 42296-2019")</f>
        <v/>
      </c>
      <c r="Y22">
        <f>HYPERLINK("https://klasma.github.io/Logging_1435/tillsynsmail/A 42296-2019 tillsynsmail.docx", "A 42296-2019")</f>
        <v/>
      </c>
    </row>
    <row r="23" ht="15" customHeight="1">
      <c r="A23" t="inlineStr">
        <is>
          <t>A 12027-2022</t>
        </is>
      </c>
      <c r="B23" s="1" t="n">
        <v>44635</v>
      </c>
      <c r="C23" s="1" t="n">
        <v>45212</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 artfynd.xlsx", "A 12027-2022")</f>
        <v/>
      </c>
      <c r="T23">
        <f>HYPERLINK("https://klasma.github.io/Logging_1496/karta/A 12027-2022 karta.png", "A 12027-2022")</f>
        <v/>
      </c>
      <c r="U23">
        <f>HYPERLINK("https://klasma.github.io/Logging_1496/knärot/A 12027-2022 knärot.png", "A 12027-2022")</f>
        <v/>
      </c>
      <c r="V23">
        <f>HYPERLINK("https://klasma.github.io/Logging_1496/klagomål/A 12027-2022 klagomål.docx", "A 12027-2022")</f>
        <v/>
      </c>
      <c r="W23">
        <f>HYPERLINK("https://klasma.github.io/Logging_1496/klagomålsmail/A 12027-2022 klagomålsmail.docx", "A 12027-2022")</f>
        <v/>
      </c>
      <c r="X23">
        <f>HYPERLINK("https://klasma.github.io/Logging_1496/tillsyn/A 12027-2022 tillsyn.docx", "A 12027-2022")</f>
        <v/>
      </c>
      <c r="Y23">
        <f>HYPERLINK("https://klasma.github.io/Logging_1496/tillsynsmail/A 12027-2022 tillsynsmail.docx", "A 12027-2022")</f>
        <v/>
      </c>
    </row>
    <row r="24" ht="15" customHeight="1">
      <c r="A24" t="inlineStr">
        <is>
          <t>A 28254-2023</t>
        </is>
      </c>
      <c r="B24" s="1" t="n">
        <v>45099</v>
      </c>
      <c r="C24" s="1" t="n">
        <v>45212</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 artfynd.xlsx", "A 28254-2023")</f>
        <v/>
      </c>
      <c r="T24">
        <f>HYPERLINK("https://klasma.github.io/Logging_1471/karta/A 28254-2023 karta.png", "A 28254-2023")</f>
        <v/>
      </c>
      <c r="V24">
        <f>HYPERLINK("https://klasma.github.io/Logging_1471/klagomål/A 28254-2023 klagomål.docx", "A 28254-2023")</f>
        <v/>
      </c>
      <c r="W24">
        <f>HYPERLINK("https://klasma.github.io/Logging_1471/klagomålsmail/A 28254-2023 klagomålsmail.docx", "A 28254-2023")</f>
        <v/>
      </c>
      <c r="X24">
        <f>HYPERLINK("https://klasma.github.io/Logging_1471/tillsyn/A 28254-2023 tillsyn.docx", "A 28254-2023")</f>
        <v/>
      </c>
      <c r="Y24">
        <f>HYPERLINK("https://klasma.github.io/Logging_1471/tillsynsmail/A 28254-2023 tillsynsmail.docx", "A 28254-2023")</f>
        <v/>
      </c>
    </row>
    <row r="25" ht="15" customHeight="1">
      <c r="A25" t="inlineStr">
        <is>
          <t>A 48356-2019</t>
        </is>
      </c>
      <c r="B25" s="1" t="n">
        <v>43726</v>
      </c>
      <c r="C25" s="1" t="n">
        <v>45212</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 artfynd.xlsx", "A 48356-2019")</f>
        <v/>
      </c>
      <c r="T25">
        <f>HYPERLINK("https://klasma.github.io/Logging_1485/karta/A 48356-2019 karta.png", "A 48356-2019")</f>
        <v/>
      </c>
      <c r="V25">
        <f>HYPERLINK("https://klasma.github.io/Logging_1485/klagomål/A 48356-2019 klagomål.docx", "A 48356-2019")</f>
        <v/>
      </c>
      <c r="W25">
        <f>HYPERLINK("https://klasma.github.io/Logging_1485/klagomålsmail/A 48356-2019 klagomålsmail.docx", "A 48356-2019")</f>
        <v/>
      </c>
      <c r="X25">
        <f>HYPERLINK("https://klasma.github.io/Logging_1485/tillsyn/A 48356-2019 tillsyn.docx", "A 48356-2019")</f>
        <v/>
      </c>
      <c r="Y25">
        <f>HYPERLINK("https://klasma.github.io/Logging_1485/tillsynsmail/A 48356-2019 tillsynsmail.docx", "A 48356-2019")</f>
        <v/>
      </c>
    </row>
    <row r="26" ht="15" customHeight="1">
      <c r="A26" t="inlineStr">
        <is>
          <t>A 47557-2020</t>
        </is>
      </c>
      <c r="B26" s="1" t="n">
        <v>44098</v>
      </c>
      <c r="C26" s="1" t="n">
        <v>45212</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 artfynd.xlsx", "A 47557-2020")</f>
        <v/>
      </c>
      <c r="T26">
        <f>HYPERLINK("https://klasma.github.io/Logging_1421/karta/A 47557-2020 karta.png", "A 47557-2020")</f>
        <v/>
      </c>
      <c r="U26">
        <f>HYPERLINK("https://klasma.github.io/Logging_1421/knärot/A 47557-2020 knärot.png", "A 47557-2020")</f>
        <v/>
      </c>
      <c r="V26">
        <f>HYPERLINK("https://klasma.github.io/Logging_1421/klagomål/A 47557-2020 klagomål.docx", "A 47557-2020")</f>
        <v/>
      </c>
      <c r="W26">
        <f>HYPERLINK("https://klasma.github.io/Logging_1421/klagomålsmail/A 47557-2020 klagomålsmail.docx", "A 47557-2020")</f>
        <v/>
      </c>
      <c r="X26">
        <f>HYPERLINK("https://klasma.github.io/Logging_1421/tillsyn/A 47557-2020 tillsyn.docx", "A 47557-2020")</f>
        <v/>
      </c>
      <c r="Y26">
        <f>HYPERLINK("https://klasma.github.io/Logging_1421/tillsynsmail/A 47557-2020 tillsynsmail.docx", "A 47557-2020")</f>
        <v/>
      </c>
    </row>
    <row r="27" ht="15" customHeight="1">
      <c r="A27" t="inlineStr">
        <is>
          <t>A 22584-2021</t>
        </is>
      </c>
      <c r="B27" s="1" t="n">
        <v>44327</v>
      </c>
      <c r="C27" s="1" t="n">
        <v>45212</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 artfynd.xlsx", "A 22584-2021")</f>
        <v/>
      </c>
      <c r="T27">
        <f>HYPERLINK("https://klasma.github.io/Logging_1486/karta/A 22584-2021 karta.png", "A 22584-2021")</f>
        <v/>
      </c>
      <c r="V27">
        <f>HYPERLINK("https://klasma.github.io/Logging_1486/klagomål/A 22584-2021 klagomål.docx", "A 22584-2021")</f>
        <v/>
      </c>
      <c r="W27">
        <f>HYPERLINK("https://klasma.github.io/Logging_1486/klagomålsmail/A 22584-2021 klagomålsmail.docx", "A 22584-2021")</f>
        <v/>
      </c>
      <c r="X27">
        <f>HYPERLINK("https://klasma.github.io/Logging_1486/tillsyn/A 22584-2021 tillsyn.docx", "A 22584-2021")</f>
        <v/>
      </c>
      <c r="Y27">
        <f>HYPERLINK("https://klasma.github.io/Logging_1486/tillsynsmail/A 22584-2021 tillsynsmail.docx", "A 22584-2021")</f>
        <v/>
      </c>
    </row>
    <row r="28" ht="15" customHeight="1">
      <c r="A28" t="inlineStr">
        <is>
          <t>A 44561-2021</t>
        </is>
      </c>
      <c r="B28" s="1" t="n">
        <v>44435</v>
      </c>
      <c r="C28" s="1" t="n">
        <v>45212</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 artfynd.xlsx", "A 44561-2021")</f>
        <v/>
      </c>
      <c r="T28">
        <f>HYPERLINK("https://klasma.github.io/Logging_1439/karta/A 44561-2021 karta.png", "A 44561-2021")</f>
        <v/>
      </c>
      <c r="V28">
        <f>HYPERLINK("https://klasma.github.io/Logging_1439/klagomål/A 44561-2021 klagomål.docx", "A 44561-2021")</f>
        <v/>
      </c>
      <c r="W28">
        <f>HYPERLINK("https://klasma.github.io/Logging_1439/klagomålsmail/A 44561-2021 klagomålsmail.docx", "A 44561-2021")</f>
        <v/>
      </c>
      <c r="X28">
        <f>HYPERLINK("https://klasma.github.io/Logging_1439/tillsyn/A 44561-2021 tillsyn.docx", "A 44561-2021")</f>
        <v/>
      </c>
      <c r="Y28">
        <f>HYPERLINK("https://klasma.github.io/Logging_1439/tillsynsmail/A 44561-2021 tillsynsmail.docx", "A 44561-2021")</f>
        <v/>
      </c>
    </row>
    <row r="29" ht="15" customHeight="1">
      <c r="A29" t="inlineStr">
        <is>
          <t>A 44809-2021</t>
        </is>
      </c>
      <c r="B29" s="1" t="n">
        <v>44438</v>
      </c>
      <c r="C29" s="1" t="n">
        <v>45212</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 artfynd.xlsx", "A 44809-2021")</f>
        <v/>
      </c>
      <c r="T29">
        <f>HYPERLINK("https://klasma.github.io/Logging_1460/karta/A 44809-2021 karta.png", "A 44809-2021")</f>
        <v/>
      </c>
      <c r="V29">
        <f>HYPERLINK("https://klasma.github.io/Logging_1460/klagomål/A 44809-2021 klagomål.docx", "A 44809-2021")</f>
        <v/>
      </c>
      <c r="W29">
        <f>HYPERLINK("https://klasma.github.io/Logging_1460/klagomålsmail/A 44809-2021 klagomålsmail.docx", "A 44809-2021")</f>
        <v/>
      </c>
      <c r="X29">
        <f>HYPERLINK("https://klasma.github.io/Logging_1460/tillsyn/A 44809-2021 tillsyn.docx", "A 44809-2021")</f>
        <v/>
      </c>
      <c r="Y29">
        <f>HYPERLINK("https://klasma.github.io/Logging_1460/tillsynsmail/A 44809-2021 tillsynsmail.docx", "A 44809-2021")</f>
        <v/>
      </c>
    </row>
    <row r="30" ht="15" customHeight="1">
      <c r="A30" t="inlineStr">
        <is>
          <t>A 25404-2021</t>
        </is>
      </c>
      <c r="B30" s="1" t="n">
        <v>44342</v>
      </c>
      <c r="C30" s="1" t="n">
        <v>45212</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 artfynd.xlsx", "A 25404-2021")</f>
        <v/>
      </c>
      <c r="T30">
        <f>HYPERLINK("https://klasma.github.io/Logging_1430/karta/A 25404-2021 karta.png", "A 25404-2021")</f>
        <v/>
      </c>
      <c r="V30">
        <f>HYPERLINK("https://klasma.github.io/Logging_1430/klagomål/A 25404-2021 klagomål.docx", "A 25404-2021")</f>
        <v/>
      </c>
      <c r="W30">
        <f>HYPERLINK("https://klasma.github.io/Logging_1430/klagomålsmail/A 25404-2021 klagomålsmail.docx", "A 25404-2021")</f>
        <v/>
      </c>
      <c r="X30">
        <f>HYPERLINK("https://klasma.github.io/Logging_1430/tillsyn/A 25404-2021 tillsyn.docx", "A 25404-2021")</f>
        <v/>
      </c>
      <c r="Y30">
        <f>HYPERLINK("https://klasma.github.io/Logging_1430/tillsynsmail/A 25404-2021 tillsynsmail.docx", "A 25404-2021")</f>
        <v/>
      </c>
    </row>
    <row r="31" ht="15" customHeight="1">
      <c r="A31" t="inlineStr">
        <is>
          <t>A 29057-2021</t>
        </is>
      </c>
      <c r="B31" s="1" t="n">
        <v>44358</v>
      </c>
      <c r="C31" s="1" t="n">
        <v>45212</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 artfynd.xlsx", "A 29057-2021")</f>
        <v/>
      </c>
      <c r="T31">
        <f>HYPERLINK("https://klasma.github.io/Logging_1489/karta/A 29057-2021 karta.png", "A 29057-2021")</f>
        <v/>
      </c>
      <c r="V31">
        <f>HYPERLINK("https://klasma.github.io/Logging_1489/klagomål/A 29057-2021 klagomål.docx", "A 29057-2021")</f>
        <v/>
      </c>
      <c r="W31">
        <f>HYPERLINK("https://klasma.github.io/Logging_1489/klagomålsmail/A 29057-2021 klagomålsmail.docx", "A 29057-2021")</f>
        <v/>
      </c>
      <c r="X31">
        <f>HYPERLINK("https://klasma.github.io/Logging_1489/tillsyn/A 29057-2021 tillsyn.docx", "A 29057-2021")</f>
        <v/>
      </c>
      <c r="Y31">
        <f>HYPERLINK("https://klasma.github.io/Logging_1489/tillsynsmail/A 29057-2021 tillsynsmail.docx", "A 29057-2021")</f>
        <v/>
      </c>
    </row>
    <row r="32" ht="15" customHeight="1">
      <c r="A32" t="inlineStr">
        <is>
          <t>A 68519-2021</t>
        </is>
      </c>
      <c r="B32" s="1" t="n">
        <v>44529</v>
      </c>
      <c r="C32" s="1" t="n">
        <v>45212</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 artfynd.xlsx", "A 68519-2021")</f>
        <v/>
      </c>
      <c r="T32">
        <f>HYPERLINK("https://klasma.github.io/Logging_1488/karta/A 68519-2021 karta.png", "A 68519-2021")</f>
        <v/>
      </c>
      <c r="V32">
        <f>HYPERLINK("https://klasma.github.io/Logging_1488/klagomål/A 68519-2021 klagomål.docx", "A 68519-2021")</f>
        <v/>
      </c>
      <c r="W32">
        <f>HYPERLINK("https://klasma.github.io/Logging_1488/klagomålsmail/A 68519-2021 klagomålsmail.docx", "A 68519-2021")</f>
        <v/>
      </c>
      <c r="X32">
        <f>HYPERLINK("https://klasma.github.io/Logging_1488/tillsyn/A 68519-2021 tillsyn.docx", "A 68519-2021")</f>
        <v/>
      </c>
      <c r="Y32">
        <f>HYPERLINK("https://klasma.github.io/Logging_1488/tillsynsmail/A 68519-2021 tillsynsmail.docx", "A 68519-2021")</f>
        <v/>
      </c>
    </row>
    <row r="33" ht="15" customHeight="1">
      <c r="A33" t="inlineStr">
        <is>
          <t>A 43450-2022</t>
        </is>
      </c>
      <c r="B33" s="1" t="n">
        <v>44835</v>
      </c>
      <c r="C33" s="1" t="n">
        <v>45212</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 artfynd.xlsx", "A 43450-2022")</f>
        <v/>
      </c>
      <c r="T33">
        <f>HYPERLINK("https://klasma.github.io/Logging_1438/karta/A 43450-2022 karta.png", "A 43450-2022")</f>
        <v/>
      </c>
      <c r="V33">
        <f>HYPERLINK("https://klasma.github.io/Logging_1438/klagomål/A 43450-2022 klagomål.docx", "A 43450-2022")</f>
        <v/>
      </c>
      <c r="W33">
        <f>HYPERLINK("https://klasma.github.io/Logging_1438/klagomålsmail/A 43450-2022 klagomålsmail.docx", "A 43450-2022")</f>
        <v/>
      </c>
      <c r="X33">
        <f>HYPERLINK("https://klasma.github.io/Logging_1438/tillsyn/A 43450-2022 tillsyn.docx", "A 43450-2022")</f>
        <v/>
      </c>
      <c r="Y33">
        <f>HYPERLINK("https://klasma.github.io/Logging_1438/tillsynsmail/A 43450-2022 tillsynsmail.docx", "A 43450-2022")</f>
        <v/>
      </c>
    </row>
    <row r="34" ht="15" customHeight="1">
      <c r="A34" t="inlineStr">
        <is>
          <t>A 55351-2022</t>
        </is>
      </c>
      <c r="B34" s="1" t="n">
        <v>44882</v>
      </c>
      <c r="C34" s="1" t="n">
        <v>45212</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 artfynd.xlsx", "A 55351-2022")</f>
        <v/>
      </c>
      <c r="T34">
        <f>HYPERLINK("https://klasma.github.io/Logging_1441/karta/A 55351-2022 karta.png", "A 55351-2022")</f>
        <v/>
      </c>
      <c r="V34">
        <f>HYPERLINK("https://klasma.github.io/Logging_1441/klagomål/A 55351-2022 klagomål.docx", "A 55351-2022")</f>
        <v/>
      </c>
      <c r="W34">
        <f>HYPERLINK("https://klasma.github.io/Logging_1441/klagomålsmail/A 55351-2022 klagomålsmail.docx", "A 55351-2022")</f>
        <v/>
      </c>
      <c r="X34">
        <f>HYPERLINK("https://klasma.github.io/Logging_1441/tillsyn/A 55351-2022 tillsyn.docx", "A 55351-2022")</f>
        <v/>
      </c>
      <c r="Y34">
        <f>HYPERLINK("https://klasma.github.io/Logging_1441/tillsynsmail/A 55351-2022 tillsynsmail.docx", "A 55351-2022")</f>
        <v/>
      </c>
    </row>
    <row r="35" ht="15" customHeight="1">
      <c r="A35" t="inlineStr">
        <is>
          <t>A 26885-2023</t>
        </is>
      </c>
      <c r="B35" s="1" t="n">
        <v>45093</v>
      </c>
      <c r="C35" s="1" t="n">
        <v>45212</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 artfynd.xlsx", "A 26885-2023")</f>
        <v/>
      </c>
      <c r="T35">
        <f>HYPERLINK("https://klasma.github.io/Logging_1463/karta/A 26885-2023 karta.png", "A 26885-2023")</f>
        <v/>
      </c>
      <c r="V35">
        <f>HYPERLINK("https://klasma.github.io/Logging_1463/klagomål/A 26885-2023 klagomål.docx", "A 26885-2023")</f>
        <v/>
      </c>
      <c r="W35">
        <f>HYPERLINK("https://klasma.github.io/Logging_1463/klagomålsmail/A 26885-2023 klagomålsmail.docx", "A 26885-2023")</f>
        <v/>
      </c>
      <c r="X35">
        <f>HYPERLINK("https://klasma.github.io/Logging_1463/tillsyn/A 26885-2023 tillsyn.docx", "A 26885-2023")</f>
        <v/>
      </c>
      <c r="Y35">
        <f>HYPERLINK("https://klasma.github.io/Logging_1463/tillsynsmail/A 26885-2023 tillsynsmail.docx", "A 26885-2023")</f>
        <v/>
      </c>
    </row>
    <row r="36" ht="15" customHeight="1">
      <c r="A36" t="inlineStr">
        <is>
          <t>A 8258-2019</t>
        </is>
      </c>
      <c r="B36" s="1" t="n">
        <v>43501</v>
      </c>
      <c r="C36" s="1" t="n">
        <v>45212</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HYPERLINK("https://klasma.github.io/Logging_1452/artfynd/A 8258-2019 artfynd.xlsx", "A 8258-2019")</f>
        <v/>
      </c>
      <c r="T36">
        <f>HYPERLINK("https://klasma.github.io/Logging_1452/karta/A 8258-2019 karta.png", "A 8258-2019")</f>
        <v/>
      </c>
      <c r="V36">
        <f>HYPERLINK("https://klasma.github.io/Logging_1452/klagomål/A 8258-2019 klagomål.docx", "A 8258-2019")</f>
        <v/>
      </c>
      <c r="W36">
        <f>HYPERLINK("https://klasma.github.io/Logging_1452/klagomålsmail/A 8258-2019 klagomålsmail.docx", "A 8258-2019")</f>
        <v/>
      </c>
      <c r="X36">
        <f>HYPERLINK("https://klasma.github.io/Logging_1452/tillsyn/A 8258-2019 tillsyn.docx", "A 8258-2019")</f>
        <v/>
      </c>
      <c r="Y36">
        <f>HYPERLINK("https://klasma.github.io/Logging_1452/tillsynsmail/A 8258-2019 tillsynsmail.docx", "A 8258-2019")</f>
        <v/>
      </c>
    </row>
    <row r="37" ht="15" customHeight="1">
      <c r="A37" t="inlineStr">
        <is>
          <t>A 21590-2019</t>
        </is>
      </c>
      <c r="B37" s="1" t="n">
        <v>43580</v>
      </c>
      <c r="C37" s="1" t="n">
        <v>45212</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HYPERLINK("https://klasma.github.io/Logging_1485/artfynd/A 21590-2019 artfynd.xlsx", "A 21590-2019")</f>
        <v/>
      </c>
      <c r="T37">
        <f>HYPERLINK("https://klasma.github.io/Logging_1485/karta/A 21590-2019 karta.png", "A 21590-2019")</f>
        <v/>
      </c>
      <c r="V37">
        <f>HYPERLINK("https://klasma.github.io/Logging_1485/klagomål/A 21590-2019 klagomål.docx", "A 21590-2019")</f>
        <v/>
      </c>
      <c r="W37">
        <f>HYPERLINK("https://klasma.github.io/Logging_1485/klagomålsmail/A 21590-2019 klagomålsmail.docx", "A 21590-2019")</f>
        <v/>
      </c>
      <c r="X37">
        <f>HYPERLINK("https://klasma.github.io/Logging_1485/tillsyn/A 21590-2019 tillsyn.docx", "A 21590-2019")</f>
        <v/>
      </c>
      <c r="Y37">
        <f>HYPERLINK("https://klasma.github.io/Logging_1485/tillsynsmail/A 21590-2019 tillsynsmail.docx", "A 21590-2019")</f>
        <v/>
      </c>
    </row>
    <row r="38" ht="15" customHeight="1">
      <c r="A38" t="inlineStr">
        <is>
          <t>A 25436-2019</t>
        </is>
      </c>
      <c r="B38" s="1" t="n">
        <v>43606</v>
      </c>
      <c r="C38" s="1" t="n">
        <v>45212</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HYPERLINK("https://klasma.github.io/Logging_1440/artfynd/A 25436-2019 artfynd.xlsx", "A 25436-2019")</f>
        <v/>
      </c>
      <c r="T38">
        <f>HYPERLINK("https://klasma.github.io/Logging_1440/karta/A 25436-2019 karta.png", "A 25436-2019")</f>
        <v/>
      </c>
      <c r="V38">
        <f>HYPERLINK("https://klasma.github.io/Logging_1440/klagomål/A 25436-2019 klagomål.docx", "A 25436-2019")</f>
        <v/>
      </c>
      <c r="W38">
        <f>HYPERLINK("https://klasma.github.io/Logging_1440/klagomålsmail/A 25436-2019 klagomålsmail.docx", "A 25436-2019")</f>
        <v/>
      </c>
      <c r="X38">
        <f>HYPERLINK("https://klasma.github.io/Logging_1440/tillsyn/A 25436-2019 tillsyn.docx", "A 25436-2019")</f>
        <v/>
      </c>
      <c r="Y38">
        <f>HYPERLINK("https://klasma.github.io/Logging_1440/tillsynsmail/A 25436-2019 tillsynsmail.docx", "A 25436-2019")</f>
        <v/>
      </c>
    </row>
    <row r="39" ht="15" customHeight="1">
      <c r="A39" t="inlineStr">
        <is>
          <t>A 31970-2019</t>
        </is>
      </c>
      <c r="B39" s="1" t="n">
        <v>43642</v>
      </c>
      <c r="C39" s="1" t="n">
        <v>45212</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HYPERLINK("https://klasma.github.io/Logging_1486/artfynd/A 31970-2019 artfynd.xlsx", "A 31970-2019")</f>
        <v/>
      </c>
      <c r="T39">
        <f>HYPERLINK("https://klasma.github.io/Logging_1486/karta/A 31970-2019 karta.png", "A 31970-2019")</f>
        <v/>
      </c>
      <c r="U39">
        <f>HYPERLINK("https://klasma.github.io/Logging_1486/knärot/A 31970-2019 knärot.png", "A 31970-2019")</f>
        <v/>
      </c>
      <c r="V39">
        <f>HYPERLINK("https://klasma.github.io/Logging_1486/klagomål/A 31970-2019 klagomål.docx", "A 31970-2019")</f>
        <v/>
      </c>
      <c r="W39">
        <f>HYPERLINK("https://klasma.github.io/Logging_1486/klagomålsmail/A 31970-2019 klagomålsmail.docx", "A 31970-2019")</f>
        <v/>
      </c>
      <c r="X39">
        <f>HYPERLINK("https://klasma.github.io/Logging_1486/tillsyn/A 31970-2019 tillsyn.docx", "A 31970-2019")</f>
        <v/>
      </c>
      <c r="Y39">
        <f>HYPERLINK("https://klasma.github.io/Logging_1486/tillsynsmail/A 31970-2019 tillsynsmail.docx", "A 31970-2019")</f>
        <v/>
      </c>
    </row>
    <row r="40" ht="15" customHeight="1">
      <c r="A40" t="inlineStr">
        <is>
          <t>A 14414-2020</t>
        </is>
      </c>
      <c r="B40" s="1" t="n">
        <v>43908</v>
      </c>
      <c r="C40" s="1" t="n">
        <v>45212</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HYPERLINK("https://klasma.github.io/Logging_1493/artfynd/A 14414-2020 artfynd.xlsx", "A 14414-2020")</f>
        <v/>
      </c>
      <c r="T40">
        <f>HYPERLINK("https://klasma.github.io/Logging_1493/karta/A 14414-2020 karta.png", "A 14414-2020")</f>
        <v/>
      </c>
      <c r="U40">
        <f>HYPERLINK("https://klasma.github.io/Logging_1493/knärot/A 14414-2020 knärot.png", "A 14414-2020")</f>
        <v/>
      </c>
      <c r="V40">
        <f>HYPERLINK("https://klasma.github.io/Logging_1493/klagomål/A 14414-2020 klagomål.docx", "A 14414-2020")</f>
        <v/>
      </c>
      <c r="W40">
        <f>HYPERLINK("https://klasma.github.io/Logging_1493/klagomålsmail/A 14414-2020 klagomålsmail.docx", "A 14414-2020")</f>
        <v/>
      </c>
      <c r="X40">
        <f>HYPERLINK("https://klasma.github.io/Logging_1493/tillsyn/A 14414-2020 tillsyn.docx", "A 14414-2020")</f>
        <v/>
      </c>
      <c r="Y40">
        <f>HYPERLINK("https://klasma.github.io/Logging_1493/tillsynsmail/A 14414-2020 tillsynsmail.docx", "A 14414-2020")</f>
        <v/>
      </c>
    </row>
    <row r="41" ht="15" customHeight="1">
      <c r="A41" t="inlineStr">
        <is>
          <t>A 22578-2021</t>
        </is>
      </c>
      <c r="B41" s="1" t="n">
        <v>44327</v>
      </c>
      <c r="C41" s="1" t="n">
        <v>45212</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HYPERLINK("https://klasma.github.io/Logging_1486/artfynd/A 22578-2021 artfynd.xlsx", "A 22578-2021")</f>
        <v/>
      </c>
      <c r="T41">
        <f>HYPERLINK("https://klasma.github.io/Logging_1486/karta/A 22578-2021 karta.png", "A 22578-2021")</f>
        <v/>
      </c>
      <c r="V41">
        <f>HYPERLINK("https://klasma.github.io/Logging_1486/klagomål/A 22578-2021 klagomål.docx", "A 22578-2021")</f>
        <v/>
      </c>
      <c r="W41">
        <f>HYPERLINK("https://klasma.github.io/Logging_1486/klagomålsmail/A 22578-2021 klagomålsmail.docx", "A 22578-2021")</f>
        <v/>
      </c>
      <c r="X41">
        <f>HYPERLINK("https://klasma.github.io/Logging_1486/tillsyn/A 22578-2021 tillsyn.docx", "A 22578-2021")</f>
        <v/>
      </c>
      <c r="Y41">
        <f>HYPERLINK("https://klasma.github.io/Logging_1486/tillsynsmail/A 22578-2021 tillsynsmail.docx", "A 22578-2021")</f>
        <v/>
      </c>
    </row>
    <row r="42" ht="15" customHeight="1">
      <c r="A42" t="inlineStr">
        <is>
          <t>A 70420-2018</t>
        </is>
      </c>
      <c r="B42" s="1" t="n">
        <v>43451</v>
      </c>
      <c r="C42" s="1" t="n">
        <v>45212</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HYPERLINK("https://klasma.github.io/Logging_1490/artfynd/A 70420-2018 artfynd.xlsx", "A 70420-2018")</f>
        <v/>
      </c>
      <c r="T42">
        <f>HYPERLINK("https://klasma.github.io/Logging_1490/karta/A 70420-2018 karta.png", "A 70420-2018")</f>
        <v/>
      </c>
      <c r="V42">
        <f>HYPERLINK("https://klasma.github.io/Logging_1490/klagomål/A 70420-2018 klagomål.docx", "A 70420-2018")</f>
        <v/>
      </c>
      <c r="W42">
        <f>HYPERLINK("https://klasma.github.io/Logging_1490/klagomålsmail/A 70420-2018 klagomålsmail.docx", "A 70420-2018")</f>
        <v/>
      </c>
      <c r="X42">
        <f>HYPERLINK("https://klasma.github.io/Logging_1490/tillsyn/A 70420-2018 tillsyn.docx", "A 70420-2018")</f>
        <v/>
      </c>
      <c r="Y42">
        <f>HYPERLINK("https://klasma.github.io/Logging_1490/tillsynsmail/A 70420-2018 tillsynsmail.docx", "A 70420-2018")</f>
        <v/>
      </c>
    </row>
    <row r="43" ht="15" customHeight="1">
      <c r="A43" t="inlineStr">
        <is>
          <t>A 72292-2018</t>
        </is>
      </c>
      <c r="B43" s="1" t="n">
        <v>43455</v>
      </c>
      <c r="C43" s="1" t="n">
        <v>45212</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HYPERLINK("https://klasma.github.io/Logging_1496/artfynd/A 72292-2018 artfynd.xlsx", "A 72292-2018")</f>
        <v/>
      </c>
      <c r="T43">
        <f>HYPERLINK("https://klasma.github.io/Logging_1496/karta/A 72292-2018 karta.png", "A 72292-2018")</f>
        <v/>
      </c>
      <c r="V43">
        <f>HYPERLINK("https://klasma.github.io/Logging_1496/klagomål/A 72292-2018 klagomål.docx", "A 72292-2018")</f>
        <v/>
      </c>
      <c r="W43">
        <f>HYPERLINK("https://klasma.github.io/Logging_1496/klagomålsmail/A 72292-2018 klagomålsmail.docx", "A 72292-2018")</f>
        <v/>
      </c>
      <c r="X43">
        <f>HYPERLINK("https://klasma.github.io/Logging_1496/tillsyn/A 72292-2018 tillsyn.docx", "A 72292-2018")</f>
        <v/>
      </c>
      <c r="Y43">
        <f>HYPERLINK("https://klasma.github.io/Logging_1496/tillsynsmail/A 72292-2018 tillsynsmail.docx", "A 72292-2018")</f>
        <v/>
      </c>
    </row>
    <row r="44" ht="15" customHeight="1">
      <c r="A44" t="inlineStr">
        <is>
          <t>A 5653-2019</t>
        </is>
      </c>
      <c r="B44" s="1" t="n">
        <v>43489</v>
      </c>
      <c r="C44" s="1" t="n">
        <v>45212</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HYPERLINK("https://klasma.github.io/Logging_1440/artfynd/A 5653-2019 artfynd.xlsx", "A 5653-2019")</f>
        <v/>
      </c>
      <c r="T44">
        <f>HYPERLINK("https://klasma.github.io/Logging_1440/karta/A 5653-2019 karta.png", "A 5653-2019")</f>
        <v/>
      </c>
      <c r="U44">
        <f>HYPERLINK("https://klasma.github.io/Logging_1440/knärot/A 5653-2019 knärot.png", "A 5653-2019")</f>
        <v/>
      </c>
      <c r="V44">
        <f>HYPERLINK("https://klasma.github.io/Logging_1440/klagomål/A 5653-2019 klagomål.docx", "A 5653-2019")</f>
        <v/>
      </c>
      <c r="W44">
        <f>HYPERLINK("https://klasma.github.io/Logging_1440/klagomålsmail/A 5653-2019 klagomålsmail.docx", "A 5653-2019")</f>
        <v/>
      </c>
      <c r="X44">
        <f>HYPERLINK("https://klasma.github.io/Logging_1440/tillsyn/A 5653-2019 tillsyn.docx", "A 5653-2019")</f>
        <v/>
      </c>
      <c r="Y44">
        <f>HYPERLINK("https://klasma.github.io/Logging_1440/tillsynsmail/A 5653-2019 tillsynsmail.docx", "A 5653-2019")</f>
        <v/>
      </c>
    </row>
    <row r="45" ht="15" customHeight="1">
      <c r="A45" t="inlineStr">
        <is>
          <t>A 7651-2019</t>
        </is>
      </c>
      <c r="B45" s="1" t="n">
        <v>43500</v>
      </c>
      <c r="C45" s="1" t="n">
        <v>45212</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HYPERLINK("https://klasma.github.io/Logging_1452/artfynd/A 7651-2019 artfynd.xlsx", "A 7651-2019")</f>
        <v/>
      </c>
      <c r="T45">
        <f>HYPERLINK("https://klasma.github.io/Logging_1452/karta/A 7651-2019 karta.png", "A 7651-2019")</f>
        <v/>
      </c>
      <c r="V45">
        <f>HYPERLINK("https://klasma.github.io/Logging_1452/klagomål/A 7651-2019 klagomål.docx", "A 7651-2019")</f>
        <v/>
      </c>
      <c r="W45">
        <f>HYPERLINK("https://klasma.github.io/Logging_1452/klagomålsmail/A 7651-2019 klagomålsmail.docx", "A 7651-2019")</f>
        <v/>
      </c>
      <c r="X45">
        <f>HYPERLINK("https://klasma.github.io/Logging_1452/tillsyn/A 7651-2019 tillsyn.docx", "A 7651-2019")</f>
        <v/>
      </c>
      <c r="Y45">
        <f>HYPERLINK("https://klasma.github.io/Logging_1452/tillsynsmail/A 7651-2019 tillsynsmail.docx", "A 7651-2019")</f>
        <v/>
      </c>
    </row>
    <row r="46" ht="15" customHeight="1">
      <c r="A46" t="inlineStr">
        <is>
          <t>A 20974-2019</t>
        </is>
      </c>
      <c r="B46" s="1" t="n">
        <v>43578</v>
      </c>
      <c r="C46" s="1" t="n">
        <v>45212</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HYPERLINK("https://klasma.github.io/Logging_1430/artfynd/A 20974-2019 artfynd.xlsx", "A 20974-2019")</f>
        <v/>
      </c>
      <c r="T46">
        <f>HYPERLINK("https://klasma.github.io/Logging_1430/karta/A 20974-2019 karta.png", "A 20974-2019")</f>
        <v/>
      </c>
      <c r="V46">
        <f>HYPERLINK("https://klasma.github.io/Logging_1430/klagomål/A 20974-2019 klagomål.docx", "A 20974-2019")</f>
        <v/>
      </c>
      <c r="W46">
        <f>HYPERLINK("https://klasma.github.io/Logging_1430/klagomålsmail/A 20974-2019 klagomålsmail.docx", "A 20974-2019")</f>
        <v/>
      </c>
      <c r="X46">
        <f>HYPERLINK("https://klasma.github.io/Logging_1430/tillsyn/A 20974-2019 tillsyn.docx", "A 20974-2019")</f>
        <v/>
      </c>
      <c r="Y46">
        <f>HYPERLINK("https://klasma.github.io/Logging_1430/tillsynsmail/A 20974-2019 tillsynsmail.docx", "A 20974-2019")</f>
        <v/>
      </c>
    </row>
    <row r="47" ht="15" customHeight="1">
      <c r="A47" t="inlineStr">
        <is>
          <t>A 45388-2019</t>
        </is>
      </c>
      <c r="B47" s="1" t="n">
        <v>43707</v>
      </c>
      <c r="C47" s="1" t="n">
        <v>45212</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HYPERLINK("https://klasma.github.io/Logging_1435/artfynd/A 45388-2019 artfynd.xlsx", "A 45388-2019")</f>
        <v/>
      </c>
      <c r="T47">
        <f>HYPERLINK("https://klasma.github.io/Logging_1435/karta/A 45388-2019 karta.png", "A 45388-2019")</f>
        <v/>
      </c>
      <c r="V47">
        <f>HYPERLINK("https://klasma.github.io/Logging_1435/klagomål/A 45388-2019 klagomål.docx", "A 45388-2019")</f>
        <v/>
      </c>
      <c r="W47">
        <f>HYPERLINK("https://klasma.github.io/Logging_1435/klagomålsmail/A 45388-2019 klagomålsmail.docx", "A 45388-2019")</f>
        <v/>
      </c>
      <c r="X47">
        <f>HYPERLINK("https://klasma.github.io/Logging_1435/tillsyn/A 45388-2019 tillsyn.docx", "A 45388-2019")</f>
        <v/>
      </c>
      <c r="Y47">
        <f>HYPERLINK("https://klasma.github.io/Logging_1435/tillsynsmail/A 45388-2019 tillsynsmail.docx", "A 45388-2019")</f>
        <v/>
      </c>
    </row>
    <row r="48" ht="15" customHeight="1">
      <c r="A48" t="inlineStr">
        <is>
          <t>A 31007-2020</t>
        </is>
      </c>
      <c r="B48" s="1" t="n">
        <v>44011</v>
      </c>
      <c r="C48" s="1" t="n">
        <v>45212</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HYPERLINK("https://klasma.github.io/Logging_1496/artfynd/A 31007-2020 artfynd.xlsx", "A 31007-2020")</f>
        <v/>
      </c>
      <c r="T48">
        <f>HYPERLINK("https://klasma.github.io/Logging_1496/karta/A 31007-2020 karta.png", "A 31007-2020")</f>
        <v/>
      </c>
      <c r="V48">
        <f>HYPERLINK("https://klasma.github.io/Logging_1496/klagomål/A 31007-2020 klagomål.docx", "A 31007-2020")</f>
        <v/>
      </c>
      <c r="W48">
        <f>HYPERLINK("https://klasma.github.io/Logging_1496/klagomålsmail/A 31007-2020 klagomålsmail.docx", "A 31007-2020")</f>
        <v/>
      </c>
      <c r="X48">
        <f>HYPERLINK("https://klasma.github.io/Logging_1496/tillsyn/A 31007-2020 tillsyn.docx", "A 31007-2020")</f>
        <v/>
      </c>
      <c r="Y48">
        <f>HYPERLINK("https://klasma.github.io/Logging_1496/tillsynsmail/A 31007-2020 tillsynsmail.docx", "A 31007-2020")</f>
        <v/>
      </c>
    </row>
    <row r="49" ht="15" customHeight="1">
      <c r="A49" t="inlineStr">
        <is>
          <t>A 51075-2020</t>
        </is>
      </c>
      <c r="B49" s="1" t="n">
        <v>44112</v>
      </c>
      <c r="C49" s="1" t="n">
        <v>45212</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HYPERLINK("https://klasma.github.io/Logging_1421/artfynd/A 51075-2020 artfynd.xlsx", "A 51075-2020")</f>
        <v/>
      </c>
      <c r="T49">
        <f>HYPERLINK("https://klasma.github.io/Logging_1421/karta/A 51075-2020 karta.png", "A 51075-2020")</f>
        <v/>
      </c>
      <c r="V49">
        <f>HYPERLINK("https://klasma.github.io/Logging_1421/klagomål/A 51075-2020 klagomål.docx", "A 51075-2020")</f>
        <v/>
      </c>
      <c r="W49">
        <f>HYPERLINK("https://klasma.github.io/Logging_1421/klagomålsmail/A 51075-2020 klagomålsmail.docx", "A 51075-2020")</f>
        <v/>
      </c>
      <c r="X49">
        <f>HYPERLINK("https://klasma.github.io/Logging_1421/tillsyn/A 51075-2020 tillsyn.docx", "A 51075-2020")</f>
        <v/>
      </c>
      <c r="Y49">
        <f>HYPERLINK("https://klasma.github.io/Logging_1421/tillsynsmail/A 51075-2020 tillsynsmail.docx", "A 51075-2020")</f>
        <v/>
      </c>
    </row>
    <row r="50" ht="15" customHeight="1">
      <c r="A50" t="inlineStr">
        <is>
          <t>A 1293-2021</t>
        </is>
      </c>
      <c r="B50" s="1" t="n">
        <v>44208</v>
      </c>
      <c r="C50" s="1" t="n">
        <v>45212</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HYPERLINK("https://klasma.github.io/Logging_1435/artfynd/A 1293-2021 artfynd.xlsx", "A 1293-2021")</f>
        <v/>
      </c>
      <c r="T50">
        <f>HYPERLINK("https://klasma.github.io/Logging_1435/karta/A 1293-2021 karta.png", "A 1293-2021")</f>
        <v/>
      </c>
      <c r="U50">
        <f>HYPERLINK("https://klasma.github.io/Logging_1435/knärot/A 1293-2021 knärot.png", "A 1293-2021")</f>
        <v/>
      </c>
      <c r="V50">
        <f>HYPERLINK("https://klasma.github.io/Logging_1435/klagomål/A 1293-2021 klagomål.docx", "A 1293-2021")</f>
        <v/>
      </c>
      <c r="W50">
        <f>HYPERLINK("https://klasma.github.io/Logging_1435/klagomålsmail/A 1293-2021 klagomålsmail.docx", "A 1293-2021")</f>
        <v/>
      </c>
      <c r="X50">
        <f>HYPERLINK("https://klasma.github.io/Logging_1435/tillsyn/A 1293-2021 tillsyn.docx", "A 1293-2021")</f>
        <v/>
      </c>
      <c r="Y50">
        <f>HYPERLINK("https://klasma.github.io/Logging_1435/tillsynsmail/A 1293-2021 tillsynsmail.docx", "A 1293-2021")</f>
        <v/>
      </c>
    </row>
    <row r="51" ht="15" customHeight="1">
      <c r="A51" t="inlineStr">
        <is>
          <t>A 4921-2021</t>
        </is>
      </c>
      <c r="B51" s="1" t="n">
        <v>44226</v>
      </c>
      <c r="C51" s="1" t="n">
        <v>45212</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HYPERLINK("https://klasma.github.io/Logging_1496/artfynd/A 4921-2021 artfynd.xlsx", "A 4921-2021")</f>
        <v/>
      </c>
      <c r="T51">
        <f>HYPERLINK("https://klasma.github.io/Logging_1496/karta/A 4921-2021 karta.png", "A 4921-2021")</f>
        <v/>
      </c>
      <c r="V51">
        <f>HYPERLINK("https://klasma.github.io/Logging_1496/klagomål/A 4921-2021 klagomål.docx", "A 4921-2021")</f>
        <v/>
      </c>
      <c r="W51">
        <f>HYPERLINK("https://klasma.github.io/Logging_1496/klagomålsmail/A 4921-2021 klagomålsmail.docx", "A 4921-2021")</f>
        <v/>
      </c>
      <c r="X51">
        <f>HYPERLINK("https://klasma.github.io/Logging_1496/tillsyn/A 4921-2021 tillsyn.docx", "A 4921-2021")</f>
        <v/>
      </c>
      <c r="Y51">
        <f>HYPERLINK("https://klasma.github.io/Logging_1496/tillsynsmail/A 4921-2021 tillsynsmail.docx", "A 4921-2021")</f>
        <v/>
      </c>
    </row>
    <row r="52" ht="15" customHeight="1">
      <c r="A52" t="inlineStr">
        <is>
          <t>A 13848-2021</t>
        </is>
      </c>
      <c r="B52" s="1" t="n">
        <v>44277</v>
      </c>
      <c r="C52" s="1" t="n">
        <v>45212</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HYPERLINK("https://klasma.github.io/Logging_1496/artfynd/A 13848-2021 artfynd.xlsx", "A 13848-2021")</f>
        <v/>
      </c>
      <c r="T52">
        <f>HYPERLINK("https://klasma.github.io/Logging_1496/karta/A 13848-2021 karta.png", "A 13848-2021")</f>
        <v/>
      </c>
      <c r="V52">
        <f>HYPERLINK("https://klasma.github.io/Logging_1496/klagomål/A 13848-2021 klagomål.docx", "A 13848-2021")</f>
        <v/>
      </c>
      <c r="W52">
        <f>HYPERLINK("https://klasma.github.io/Logging_1496/klagomålsmail/A 13848-2021 klagomålsmail.docx", "A 13848-2021")</f>
        <v/>
      </c>
      <c r="X52">
        <f>HYPERLINK("https://klasma.github.io/Logging_1496/tillsyn/A 13848-2021 tillsyn.docx", "A 13848-2021")</f>
        <v/>
      </c>
      <c r="Y52">
        <f>HYPERLINK("https://klasma.github.io/Logging_1496/tillsynsmail/A 13848-2021 tillsynsmail.docx", "A 13848-2021")</f>
        <v/>
      </c>
    </row>
    <row r="53" ht="15" customHeight="1">
      <c r="A53" t="inlineStr">
        <is>
          <t>A 35998-2021</t>
        </is>
      </c>
      <c r="B53" s="1" t="n">
        <v>44385</v>
      </c>
      <c r="C53" s="1" t="n">
        <v>45212</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HYPERLINK("https://klasma.github.io/Logging_1496/artfynd/A 35998-2021 artfynd.xlsx", "A 35998-2021")</f>
        <v/>
      </c>
      <c r="T53">
        <f>HYPERLINK("https://klasma.github.io/Logging_1496/karta/A 35998-2021 karta.png", "A 35998-2021")</f>
        <v/>
      </c>
      <c r="V53">
        <f>HYPERLINK("https://klasma.github.io/Logging_1496/klagomål/A 35998-2021 klagomål.docx", "A 35998-2021")</f>
        <v/>
      </c>
      <c r="W53">
        <f>HYPERLINK("https://klasma.github.io/Logging_1496/klagomålsmail/A 35998-2021 klagomålsmail.docx", "A 35998-2021")</f>
        <v/>
      </c>
      <c r="X53">
        <f>HYPERLINK("https://klasma.github.io/Logging_1496/tillsyn/A 35998-2021 tillsyn.docx", "A 35998-2021")</f>
        <v/>
      </c>
      <c r="Y53">
        <f>HYPERLINK("https://klasma.github.io/Logging_1496/tillsynsmail/A 35998-2021 tillsynsmail.docx", "A 35998-2021")</f>
        <v/>
      </c>
    </row>
    <row r="54" ht="15" customHeight="1">
      <c r="A54" t="inlineStr">
        <is>
          <t>A 45174-2021</t>
        </is>
      </c>
      <c r="B54" s="1" t="n">
        <v>44439</v>
      </c>
      <c r="C54" s="1" t="n">
        <v>45212</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HYPERLINK("https://klasma.github.io/Logging_1463/artfynd/A 45174-2021 artfynd.xlsx", "A 45174-2021")</f>
        <v/>
      </c>
      <c r="T54">
        <f>HYPERLINK("https://klasma.github.io/Logging_1463/karta/A 45174-2021 karta.png", "A 45174-2021")</f>
        <v/>
      </c>
      <c r="V54">
        <f>HYPERLINK("https://klasma.github.io/Logging_1463/klagomål/A 45174-2021 klagomål.docx", "A 45174-2021")</f>
        <v/>
      </c>
      <c r="W54">
        <f>HYPERLINK("https://klasma.github.io/Logging_1463/klagomålsmail/A 45174-2021 klagomålsmail.docx", "A 45174-2021")</f>
        <v/>
      </c>
      <c r="X54">
        <f>HYPERLINK("https://klasma.github.io/Logging_1463/tillsyn/A 45174-2021 tillsyn.docx", "A 45174-2021")</f>
        <v/>
      </c>
      <c r="Y54">
        <f>HYPERLINK("https://klasma.github.io/Logging_1463/tillsynsmail/A 45174-2021 tillsynsmail.docx", "A 45174-2021")</f>
        <v/>
      </c>
    </row>
    <row r="55" ht="15" customHeight="1">
      <c r="A55" t="inlineStr">
        <is>
          <t>A 55776-2021</t>
        </is>
      </c>
      <c r="B55" s="1" t="n">
        <v>44476</v>
      </c>
      <c r="C55" s="1" t="n">
        <v>45212</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HYPERLINK("https://klasma.github.io/Logging_1421/artfynd/A 55776-2021 artfynd.xlsx", "A 55776-2021")</f>
        <v/>
      </c>
      <c r="T55">
        <f>HYPERLINK("https://klasma.github.io/Logging_1421/karta/A 55776-2021 karta.png", "A 55776-2021")</f>
        <v/>
      </c>
      <c r="U55">
        <f>HYPERLINK("https://klasma.github.io/Logging_1421/knärot/A 55776-2021 knärot.png", "A 55776-2021")</f>
        <v/>
      </c>
      <c r="V55">
        <f>HYPERLINK("https://klasma.github.io/Logging_1421/klagomål/A 55776-2021 klagomål.docx", "A 55776-2021")</f>
        <v/>
      </c>
      <c r="W55">
        <f>HYPERLINK("https://klasma.github.io/Logging_1421/klagomålsmail/A 55776-2021 klagomålsmail.docx", "A 55776-2021")</f>
        <v/>
      </c>
      <c r="X55">
        <f>HYPERLINK("https://klasma.github.io/Logging_1421/tillsyn/A 55776-2021 tillsyn.docx", "A 55776-2021")</f>
        <v/>
      </c>
      <c r="Y55">
        <f>HYPERLINK("https://klasma.github.io/Logging_1421/tillsynsmail/A 55776-2021 tillsynsmail.docx", "A 55776-2021")</f>
        <v/>
      </c>
    </row>
    <row r="56" ht="15" customHeight="1">
      <c r="A56" t="inlineStr">
        <is>
          <t>A 63067-2021</t>
        </is>
      </c>
      <c r="B56" s="1" t="n">
        <v>44505</v>
      </c>
      <c r="C56" s="1" t="n">
        <v>45212</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HYPERLINK("https://klasma.github.io/Logging_1460/artfynd/A 63067-2021 artfynd.xlsx", "A 63067-2021")</f>
        <v/>
      </c>
      <c r="T56">
        <f>HYPERLINK("https://klasma.github.io/Logging_1460/karta/A 63067-2021 karta.png", "A 63067-2021")</f>
        <v/>
      </c>
      <c r="V56">
        <f>HYPERLINK("https://klasma.github.io/Logging_1460/klagomål/A 63067-2021 klagomål.docx", "A 63067-2021")</f>
        <v/>
      </c>
      <c r="W56">
        <f>HYPERLINK("https://klasma.github.io/Logging_1460/klagomålsmail/A 63067-2021 klagomålsmail.docx", "A 63067-2021")</f>
        <v/>
      </c>
      <c r="X56">
        <f>HYPERLINK("https://klasma.github.io/Logging_1460/tillsyn/A 63067-2021 tillsyn.docx", "A 63067-2021")</f>
        <v/>
      </c>
      <c r="Y56">
        <f>HYPERLINK("https://klasma.github.io/Logging_1460/tillsynsmail/A 63067-2021 tillsynsmail.docx", "A 63067-2021")</f>
        <v/>
      </c>
    </row>
    <row r="57" ht="15" customHeight="1">
      <c r="A57" t="inlineStr">
        <is>
          <t>A 72685-2021</t>
        </is>
      </c>
      <c r="B57" s="1" t="n">
        <v>44546</v>
      </c>
      <c r="C57" s="1" t="n">
        <v>45212</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HYPERLINK("https://klasma.github.io/Logging_1496/artfynd/A 72685-2021 artfynd.xlsx", "A 72685-2021")</f>
        <v/>
      </c>
      <c r="T57">
        <f>HYPERLINK("https://klasma.github.io/Logging_1496/karta/A 72685-2021 karta.png", "A 72685-2021")</f>
        <v/>
      </c>
      <c r="V57">
        <f>HYPERLINK("https://klasma.github.io/Logging_1496/klagomål/A 72685-2021 klagomål.docx", "A 72685-2021")</f>
        <v/>
      </c>
      <c r="W57">
        <f>HYPERLINK("https://klasma.github.io/Logging_1496/klagomålsmail/A 72685-2021 klagomålsmail.docx", "A 72685-2021")</f>
        <v/>
      </c>
      <c r="X57">
        <f>HYPERLINK("https://klasma.github.io/Logging_1496/tillsyn/A 72685-2021 tillsyn.docx", "A 72685-2021")</f>
        <v/>
      </c>
      <c r="Y57">
        <f>HYPERLINK("https://klasma.github.io/Logging_1496/tillsynsmail/A 72685-2021 tillsynsmail.docx", "A 72685-2021")</f>
        <v/>
      </c>
    </row>
    <row r="58" ht="15" customHeight="1">
      <c r="A58" t="inlineStr">
        <is>
          <t>A 2457-2022</t>
        </is>
      </c>
      <c r="B58" s="1" t="n">
        <v>44579</v>
      </c>
      <c r="C58" s="1" t="n">
        <v>45212</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HYPERLINK("https://klasma.github.io/Logging_1465/artfynd/A 2457-2022 artfynd.xlsx", "A 2457-2022")</f>
        <v/>
      </c>
      <c r="T58">
        <f>HYPERLINK("https://klasma.github.io/Logging_1465/karta/A 2457-2022 karta.png", "A 2457-2022")</f>
        <v/>
      </c>
      <c r="V58">
        <f>HYPERLINK("https://klasma.github.io/Logging_1465/klagomål/A 2457-2022 klagomål.docx", "A 2457-2022")</f>
        <v/>
      </c>
      <c r="W58">
        <f>HYPERLINK("https://klasma.github.io/Logging_1465/klagomålsmail/A 2457-2022 klagomålsmail.docx", "A 2457-2022")</f>
        <v/>
      </c>
      <c r="X58">
        <f>HYPERLINK("https://klasma.github.io/Logging_1465/tillsyn/A 2457-2022 tillsyn.docx", "A 2457-2022")</f>
        <v/>
      </c>
      <c r="Y58">
        <f>HYPERLINK("https://klasma.github.io/Logging_1465/tillsynsmail/A 2457-2022 tillsynsmail.docx", "A 2457-2022")</f>
        <v/>
      </c>
    </row>
    <row r="59" ht="15" customHeight="1">
      <c r="A59" t="inlineStr">
        <is>
          <t>A 33191-2022</t>
        </is>
      </c>
      <c r="B59" s="1" t="n">
        <v>44785</v>
      </c>
      <c r="C59" s="1" t="n">
        <v>45212</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HYPERLINK("https://klasma.github.io/Logging_1439/artfynd/A 33191-2022 artfynd.xlsx", "A 33191-2022")</f>
        <v/>
      </c>
      <c r="T59">
        <f>HYPERLINK("https://klasma.github.io/Logging_1439/karta/A 33191-2022 karta.png", "A 33191-2022")</f>
        <v/>
      </c>
      <c r="U59">
        <f>HYPERLINK("https://klasma.github.io/Logging_1439/knärot/A 33191-2022 knärot.png", "A 33191-2022")</f>
        <v/>
      </c>
      <c r="V59">
        <f>HYPERLINK("https://klasma.github.io/Logging_1439/klagomål/A 33191-2022 klagomål.docx", "A 33191-2022")</f>
        <v/>
      </c>
      <c r="W59">
        <f>HYPERLINK("https://klasma.github.io/Logging_1439/klagomålsmail/A 33191-2022 klagomålsmail.docx", "A 33191-2022")</f>
        <v/>
      </c>
      <c r="X59">
        <f>HYPERLINK("https://klasma.github.io/Logging_1439/tillsyn/A 33191-2022 tillsyn.docx", "A 33191-2022")</f>
        <v/>
      </c>
      <c r="Y59">
        <f>HYPERLINK("https://klasma.github.io/Logging_1439/tillsynsmail/A 33191-2022 tillsynsmail.docx", "A 33191-2022")</f>
        <v/>
      </c>
    </row>
    <row r="60" ht="15" customHeight="1">
      <c r="A60" t="inlineStr">
        <is>
          <t>A 412-2023</t>
        </is>
      </c>
      <c r="B60" s="1" t="n">
        <v>44929</v>
      </c>
      <c r="C60" s="1" t="n">
        <v>45212</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HYPERLINK("https://klasma.github.io/Logging_1446/artfynd/A 412-2023 artfynd.xlsx", "A 412-2023")</f>
        <v/>
      </c>
      <c r="T60">
        <f>HYPERLINK("https://klasma.github.io/Logging_1446/karta/A 412-2023 karta.png", "A 412-2023")</f>
        <v/>
      </c>
      <c r="V60">
        <f>HYPERLINK("https://klasma.github.io/Logging_1446/klagomål/A 412-2023 klagomål.docx", "A 412-2023")</f>
        <v/>
      </c>
      <c r="W60">
        <f>HYPERLINK("https://klasma.github.io/Logging_1446/klagomålsmail/A 412-2023 klagomålsmail.docx", "A 412-2023")</f>
        <v/>
      </c>
      <c r="X60">
        <f>HYPERLINK("https://klasma.github.io/Logging_1446/tillsyn/A 412-2023 tillsyn.docx", "A 412-2023")</f>
        <v/>
      </c>
      <c r="Y60">
        <f>HYPERLINK("https://klasma.github.io/Logging_1446/tillsynsmail/A 412-2023 tillsynsmail.docx", "A 412-2023")</f>
        <v/>
      </c>
    </row>
    <row r="61" ht="15" customHeight="1">
      <c r="A61" t="inlineStr">
        <is>
          <t>A 3607-2023</t>
        </is>
      </c>
      <c r="B61" s="1" t="n">
        <v>44950</v>
      </c>
      <c r="C61" s="1" t="n">
        <v>45212</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HYPERLINK("https://klasma.github.io/Logging_1499/artfynd/A 3607-2023 artfynd.xlsx", "A 3607-2023")</f>
        <v/>
      </c>
      <c r="T61">
        <f>HYPERLINK("https://klasma.github.io/Logging_1499/karta/A 3607-2023 karta.png", "A 3607-2023")</f>
        <v/>
      </c>
      <c r="V61">
        <f>HYPERLINK("https://klasma.github.io/Logging_1499/klagomål/A 3607-2023 klagomål.docx", "A 3607-2023")</f>
        <v/>
      </c>
      <c r="W61">
        <f>HYPERLINK("https://klasma.github.io/Logging_1499/klagomålsmail/A 3607-2023 klagomålsmail.docx", "A 3607-2023")</f>
        <v/>
      </c>
      <c r="X61">
        <f>HYPERLINK("https://klasma.github.io/Logging_1499/tillsyn/A 3607-2023 tillsyn.docx", "A 3607-2023")</f>
        <v/>
      </c>
      <c r="Y61">
        <f>HYPERLINK("https://klasma.github.io/Logging_1499/tillsynsmail/A 3607-2023 tillsynsmail.docx", "A 3607-2023")</f>
        <v/>
      </c>
    </row>
    <row r="62" ht="15" customHeight="1">
      <c r="A62" t="inlineStr">
        <is>
          <t>A 71925-2018</t>
        </is>
      </c>
      <c r="B62" s="1" t="n">
        <v>43455</v>
      </c>
      <c r="C62" s="1" t="n">
        <v>45212</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HYPERLINK("https://klasma.github.io/Logging_1452/artfynd/A 71925-2018 artfynd.xlsx", "A 71925-2018")</f>
        <v/>
      </c>
      <c r="T62">
        <f>HYPERLINK("https://klasma.github.io/Logging_1452/karta/A 71925-2018 karta.png", "A 71925-2018")</f>
        <v/>
      </c>
      <c r="V62">
        <f>HYPERLINK("https://klasma.github.io/Logging_1452/klagomål/A 71925-2018 klagomål.docx", "A 71925-2018")</f>
        <v/>
      </c>
      <c r="W62">
        <f>HYPERLINK("https://klasma.github.io/Logging_1452/klagomålsmail/A 71925-2018 klagomålsmail.docx", "A 71925-2018")</f>
        <v/>
      </c>
      <c r="X62">
        <f>HYPERLINK("https://klasma.github.io/Logging_1452/tillsyn/A 71925-2018 tillsyn.docx", "A 71925-2018")</f>
        <v/>
      </c>
      <c r="Y62">
        <f>HYPERLINK("https://klasma.github.io/Logging_1452/tillsynsmail/A 71925-2018 tillsynsmail.docx", "A 71925-2018")</f>
        <v/>
      </c>
    </row>
    <row r="63" ht="15" customHeight="1">
      <c r="A63" t="inlineStr">
        <is>
          <t>A 25385-2019</t>
        </is>
      </c>
      <c r="B63" s="1" t="n">
        <v>43606</v>
      </c>
      <c r="C63" s="1" t="n">
        <v>45212</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HYPERLINK("https://klasma.github.io/Logging_1415/artfynd/A 25385-2019 artfynd.xlsx", "A 25385-2019")</f>
        <v/>
      </c>
      <c r="T63">
        <f>HYPERLINK("https://klasma.github.io/Logging_1415/karta/A 25385-2019 karta.png", "A 25385-2019")</f>
        <v/>
      </c>
      <c r="V63">
        <f>HYPERLINK("https://klasma.github.io/Logging_1415/klagomål/A 25385-2019 klagomål.docx", "A 25385-2019")</f>
        <v/>
      </c>
      <c r="W63">
        <f>HYPERLINK("https://klasma.github.io/Logging_1415/klagomålsmail/A 25385-2019 klagomålsmail.docx", "A 25385-2019")</f>
        <v/>
      </c>
      <c r="X63">
        <f>HYPERLINK("https://klasma.github.io/Logging_1415/tillsyn/A 25385-2019 tillsyn.docx", "A 25385-2019")</f>
        <v/>
      </c>
      <c r="Y63">
        <f>HYPERLINK("https://klasma.github.io/Logging_1415/tillsynsmail/A 25385-2019 tillsynsmail.docx", "A 25385-2019")</f>
        <v/>
      </c>
    </row>
    <row r="64" ht="15" customHeight="1">
      <c r="A64" t="inlineStr">
        <is>
          <t>A 28474-2019</t>
        </is>
      </c>
      <c r="B64" s="1" t="n">
        <v>43626</v>
      </c>
      <c r="C64" s="1" t="n">
        <v>45212</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HYPERLINK("https://klasma.github.io/Logging_1496/artfynd/A 28474-2019 artfynd.xlsx", "A 28474-2019")</f>
        <v/>
      </c>
      <c r="T64">
        <f>HYPERLINK("https://klasma.github.io/Logging_1496/karta/A 28474-2019 karta.png", "A 28474-2019")</f>
        <v/>
      </c>
      <c r="V64">
        <f>HYPERLINK("https://klasma.github.io/Logging_1496/klagomål/A 28474-2019 klagomål.docx", "A 28474-2019")</f>
        <v/>
      </c>
      <c r="W64">
        <f>HYPERLINK("https://klasma.github.io/Logging_1496/klagomålsmail/A 28474-2019 klagomålsmail.docx", "A 28474-2019")</f>
        <v/>
      </c>
      <c r="X64">
        <f>HYPERLINK("https://klasma.github.io/Logging_1496/tillsyn/A 28474-2019 tillsyn.docx", "A 28474-2019")</f>
        <v/>
      </c>
      <c r="Y64">
        <f>HYPERLINK("https://klasma.github.io/Logging_1496/tillsynsmail/A 28474-2019 tillsynsmail.docx", "A 28474-2019")</f>
        <v/>
      </c>
    </row>
    <row r="65" ht="15" customHeight="1">
      <c r="A65" t="inlineStr">
        <is>
          <t>A 38001-2019</t>
        </is>
      </c>
      <c r="B65" s="1" t="n">
        <v>43683</v>
      </c>
      <c r="C65" s="1" t="n">
        <v>45212</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HYPERLINK("https://klasma.github.io/Logging_1486/artfynd/A 38001-2019 artfynd.xlsx", "A 38001-2019")</f>
        <v/>
      </c>
      <c r="T65">
        <f>HYPERLINK("https://klasma.github.io/Logging_1486/karta/A 38001-2019 karta.png", "A 38001-2019")</f>
        <v/>
      </c>
      <c r="V65">
        <f>HYPERLINK("https://klasma.github.io/Logging_1486/klagomål/A 38001-2019 klagomål.docx", "A 38001-2019")</f>
        <v/>
      </c>
      <c r="W65">
        <f>HYPERLINK("https://klasma.github.io/Logging_1486/klagomålsmail/A 38001-2019 klagomålsmail.docx", "A 38001-2019")</f>
        <v/>
      </c>
      <c r="X65">
        <f>HYPERLINK("https://klasma.github.io/Logging_1486/tillsyn/A 38001-2019 tillsyn.docx", "A 38001-2019")</f>
        <v/>
      </c>
      <c r="Y65">
        <f>HYPERLINK("https://klasma.github.io/Logging_1486/tillsynsmail/A 38001-2019 tillsynsmail.docx", "A 38001-2019")</f>
        <v/>
      </c>
    </row>
    <row r="66" ht="15" customHeight="1">
      <c r="A66" t="inlineStr">
        <is>
          <t>A 43448-2019</t>
        </is>
      </c>
      <c r="B66" s="1" t="n">
        <v>43703</v>
      </c>
      <c r="C66" s="1" t="n">
        <v>45212</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HYPERLINK("https://klasma.github.io/Logging_1461/artfynd/A 43448-2019 artfynd.xlsx", "A 43448-2019")</f>
        <v/>
      </c>
      <c r="T66">
        <f>HYPERLINK("https://klasma.github.io/Logging_1461/karta/A 43448-2019 karta.png", "A 43448-2019")</f>
        <v/>
      </c>
      <c r="V66">
        <f>HYPERLINK("https://klasma.github.io/Logging_1461/klagomål/A 43448-2019 klagomål.docx", "A 43448-2019")</f>
        <v/>
      </c>
      <c r="W66">
        <f>HYPERLINK("https://klasma.github.io/Logging_1461/klagomålsmail/A 43448-2019 klagomålsmail.docx", "A 43448-2019")</f>
        <v/>
      </c>
      <c r="X66">
        <f>HYPERLINK("https://klasma.github.io/Logging_1461/tillsyn/A 43448-2019 tillsyn.docx", "A 43448-2019")</f>
        <v/>
      </c>
      <c r="Y66">
        <f>HYPERLINK("https://klasma.github.io/Logging_1461/tillsynsmail/A 43448-2019 tillsynsmail.docx", "A 43448-2019")</f>
        <v/>
      </c>
    </row>
    <row r="67" ht="15" customHeight="1">
      <c r="A67" t="inlineStr">
        <is>
          <t>A 65473-2019</t>
        </is>
      </c>
      <c r="B67" s="1" t="n">
        <v>43803</v>
      </c>
      <c r="C67" s="1" t="n">
        <v>45212</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HYPERLINK("https://klasma.github.io/Logging_1446/artfynd/A 65473-2019 artfynd.xlsx", "A 65473-2019")</f>
        <v/>
      </c>
      <c r="T67">
        <f>HYPERLINK("https://klasma.github.io/Logging_1446/karta/A 65473-2019 karta.png", "A 65473-2019")</f>
        <v/>
      </c>
      <c r="V67">
        <f>HYPERLINK("https://klasma.github.io/Logging_1446/klagomål/A 65473-2019 klagomål.docx", "A 65473-2019")</f>
        <v/>
      </c>
      <c r="W67">
        <f>HYPERLINK("https://klasma.github.io/Logging_1446/klagomålsmail/A 65473-2019 klagomålsmail.docx", "A 65473-2019")</f>
        <v/>
      </c>
      <c r="X67">
        <f>HYPERLINK("https://klasma.github.io/Logging_1446/tillsyn/A 65473-2019 tillsyn.docx", "A 65473-2019")</f>
        <v/>
      </c>
      <c r="Y67">
        <f>HYPERLINK("https://klasma.github.io/Logging_1446/tillsynsmail/A 65473-2019 tillsynsmail.docx", "A 65473-2019")</f>
        <v/>
      </c>
    </row>
    <row r="68" ht="15" customHeight="1">
      <c r="A68" t="inlineStr">
        <is>
          <t>A 65650-2019</t>
        </is>
      </c>
      <c r="B68" s="1" t="n">
        <v>43804</v>
      </c>
      <c r="C68" s="1" t="n">
        <v>45212</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HYPERLINK("https://klasma.github.io/Logging_1446/artfynd/A 65650-2019 artfynd.xlsx", "A 65650-2019")</f>
        <v/>
      </c>
      <c r="T68">
        <f>HYPERLINK("https://klasma.github.io/Logging_1446/karta/A 65650-2019 karta.png", "A 65650-2019")</f>
        <v/>
      </c>
      <c r="V68">
        <f>HYPERLINK("https://klasma.github.io/Logging_1446/klagomål/A 65650-2019 klagomål.docx", "A 65650-2019")</f>
        <v/>
      </c>
      <c r="W68">
        <f>HYPERLINK("https://klasma.github.io/Logging_1446/klagomålsmail/A 65650-2019 klagomålsmail.docx", "A 65650-2019")</f>
        <v/>
      </c>
      <c r="X68">
        <f>HYPERLINK("https://klasma.github.io/Logging_1446/tillsyn/A 65650-2019 tillsyn.docx", "A 65650-2019")</f>
        <v/>
      </c>
      <c r="Y68">
        <f>HYPERLINK("https://klasma.github.io/Logging_1446/tillsynsmail/A 65650-2019 tillsynsmail.docx", "A 65650-2019")</f>
        <v/>
      </c>
    </row>
    <row r="69" ht="15" customHeight="1">
      <c r="A69" t="inlineStr">
        <is>
          <t>A 41180-2020</t>
        </is>
      </c>
      <c r="B69" s="1" t="n">
        <v>44069</v>
      </c>
      <c r="C69" s="1" t="n">
        <v>45212</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HYPERLINK("https://klasma.github.io/Logging_1446/artfynd/A 41180-2020 artfynd.xlsx", "A 41180-2020")</f>
        <v/>
      </c>
      <c r="T69">
        <f>HYPERLINK("https://klasma.github.io/Logging_1446/karta/A 41180-2020 karta.png", "A 41180-2020")</f>
        <v/>
      </c>
      <c r="V69">
        <f>HYPERLINK("https://klasma.github.io/Logging_1446/klagomål/A 41180-2020 klagomål.docx", "A 41180-2020")</f>
        <v/>
      </c>
      <c r="W69">
        <f>HYPERLINK("https://klasma.github.io/Logging_1446/klagomålsmail/A 41180-2020 klagomålsmail.docx", "A 41180-2020")</f>
        <v/>
      </c>
      <c r="X69">
        <f>HYPERLINK("https://klasma.github.io/Logging_1446/tillsyn/A 41180-2020 tillsyn.docx", "A 41180-2020")</f>
        <v/>
      </c>
      <c r="Y69">
        <f>HYPERLINK("https://klasma.github.io/Logging_1446/tillsynsmail/A 41180-2020 tillsynsmail.docx", "A 41180-2020")</f>
        <v/>
      </c>
    </row>
    <row r="70" ht="15" customHeight="1">
      <c r="A70" t="inlineStr">
        <is>
          <t>A 41233-2020</t>
        </is>
      </c>
      <c r="B70" s="1" t="n">
        <v>44071</v>
      </c>
      <c r="C70" s="1" t="n">
        <v>45212</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HYPERLINK("https://klasma.github.io/Logging_1486/artfynd/A 41233-2020 artfynd.xlsx", "A 41233-2020")</f>
        <v/>
      </c>
      <c r="T70">
        <f>HYPERLINK("https://klasma.github.io/Logging_1486/karta/A 41233-2020 karta.png", "A 41233-2020")</f>
        <v/>
      </c>
      <c r="V70">
        <f>HYPERLINK("https://klasma.github.io/Logging_1486/klagomål/A 41233-2020 klagomål.docx", "A 41233-2020")</f>
        <v/>
      </c>
      <c r="W70">
        <f>HYPERLINK("https://klasma.github.io/Logging_1486/klagomålsmail/A 41233-2020 klagomålsmail.docx", "A 41233-2020")</f>
        <v/>
      </c>
      <c r="X70">
        <f>HYPERLINK("https://klasma.github.io/Logging_1486/tillsyn/A 41233-2020 tillsyn.docx", "A 41233-2020")</f>
        <v/>
      </c>
      <c r="Y70">
        <f>HYPERLINK("https://klasma.github.io/Logging_1486/tillsynsmail/A 41233-2020 tillsynsmail.docx", "A 41233-2020")</f>
        <v/>
      </c>
    </row>
    <row r="71" ht="15" customHeight="1">
      <c r="A71" t="inlineStr">
        <is>
          <t>A 7577-2021</t>
        </is>
      </c>
      <c r="B71" s="1" t="n">
        <v>44240</v>
      </c>
      <c r="C71" s="1" t="n">
        <v>45212</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HYPERLINK("https://klasma.github.io/Logging_1435/artfynd/A 7577-2021 artfynd.xlsx", "A 7577-2021")</f>
        <v/>
      </c>
      <c r="T71">
        <f>HYPERLINK("https://klasma.github.io/Logging_1435/karta/A 7577-2021 karta.png", "A 7577-2021")</f>
        <v/>
      </c>
      <c r="V71">
        <f>HYPERLINK("https://klasma.github.io/Logging_1435/klagomål/A 7577-2021 klagomål.docx", "A 7577-2021")</f>
        <v/>
      </c>
      <c r="W71">
        <f>HYPERLINK("https://klasma.github.io/Logging_1435/klagomålsmail/A 7577-2021 klagomålsmail.docx", "A 7577-2021")</f>
        <v/>
      </c>
      <c r="X71">
        <f>HYPERLINK("https://klasma.github.io/Logging_1435/tillsyn/A 7577-2021 tillsyn.docx", "A 7577-2021")</f>
        <v/>
      </c>
      <c r="Y71">
        <f>HYPERLINK("https://klasma.github.io/Logging_1435/tillsynsmail/A 7577-2021 tillsynsmail.docx", "A 7577-2021")</f>
        <v/>
      </c>
    </row>
    <row r="72" ht="15" customHeight="1">
      <c r="A72" t="inlineStr">
        <is>
          <t>A 17902-2021</t>
        </is>
      </c>
      <c r="B72" s="1" t="n">
        <v>44300</v>
      </c>
      <c r="C72" s="1" t="n">
        <v>45212</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HYPERLINK("https://klasma.github.io/Logging_1486/artfynd/A 17902-2021 artfynd.xlsx", "A 17902-2021")</f>
        <v/>
      </c>
      <c r="T72">
        <f>HYPERLINK("https://klasma.github.io/Logging_1486/karta/A 17902-2021 karta.png", "A 17902-2021")</f>
        <v/>
      </c>
      <c r="V72">
        <f>HYPERLINK("https://klasma.github.io/Logging_1486/klagomål/A 17902-2021 klagomål.docx", "A 17902-2021")</f>
        <v/>
      </c>
      <c r="W72">
        <f>HYPERLINK("https://klasma.github.io/Logging_1486/klagomålsmail/A 17902-2021 klagomålsmail.docx", "A 17902-2021")</f>
        <v/>
      </c>
      <c r="X72">
        <f>HYPERLINK("https://klasma.github.io/Logging_1486/tillsyn/A 17902-2021 tillsyn.docx", "A 17902-2021")</f>
        <v/>
      </c>
      <c r="Y72">
        <f>HYPERLINK("https://klasma.github.io/Logging_1486/tillsynsmail/A 17902-2021 tillsynsmail.docx", "A 17902-2021")</f>
        <v/>
      </c>
    </row>
    <row r="73" ht="15" customHeight="1">
      <c r="A73" t="inlineStr">
        <is>
          <t>A 32397-2021</t>
        </is>
      </c>
      <c r="B73" s="1" t="n">
        <v>44371</v>
      </c>
      <c r="C73" s="1" t="n">
        <v>45212</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HYPERLINK("https://klasma.github.io/Logging_1461/artfynd/A 32397-2021 artfynd.xlsx", "A 32397-2021")</f>
        <v/>
      </c>
      <c r="T73">
        <f>HYPERLINK("https://klasma.github.io/Logging_1461/karta/A 32397-2021 karta.png", "A 32397-2021")</f>
        <v/>
      </c>
      <c r="V73">
        <f>HYPERLINK("https://klasma.github.io/Logging_1461/klagomål/A 32397-2021 klagomål.docx", "A 32397-2021")</f>
        <v/>
      </c>
      <c r="W73">
        <f>HYPERLINK("https://klasma.github.io/Logging_1461/klagomålsmail/A 32397-2021 klagomålsmail.docx", "A 32397-2021")</f>
        <v/>
      </c>
      <c r="X73">
        <f>HYPERLINK("https://klasma.github.io/Logging_1461/tillsyn/A 32397-2021 tillsyn.docx", "A 32397-2021")</f>
        <v/>
      </c>
      <c r="Y73">
        <f>HYPERLINK("https://klasma.github.io/Logging_1461/tillsynsmail/A 32397-2021 tillsynsmail.docx", "A 32397-2021")</f>
        <v/>
      </c>
    </row>
    <row r="74" ht="15" customHeight="1">
      <c r="A74" t="inlineStr">
        <is>
          <t>A 49356-2021</t>
        </is>
      </c>
      <c r="B74" s="1" t="n">
        <v>44454</v>
      </c>
      <c r="C74" s="1" t="n">
        <v>45212</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HYPERLINK("https://klasma.github.io/Logging_1486/artfynd/A 49356-2021 artfynd.xlsx", "A 49356-2021")</f>
        <v/>
      </c>
      <c r="T74">
        <f>HYPERLINK("https://klasma.github.io/Logging_1486/karta/A 49356-2021 karta.png", "A 49356-2021")</f>
        <v/>
      </c>
      <c r="U74">
        <f>HYPERLINK("https://klasma.github.io/Logging_1486/knärot/A 49356-2021 knärot.png", "A 49356-2021")</f>
        <v/>
      </c>
      <c r="V74">
        <f>HYPERLINK("https://klasma.github.io/Logging_1486/klagomål/A 49356-2021 klagomål.docx", "A 49356-2021")</f>
        <v/>
      </c>
      <c r="W74">
        <f>HYPERLINK("https://klasma.github.io/Logging_1486/klagomålsmail/A 49356-2021 klagomålsmail.docx", "A 49356-2021")</f>
        <v/>
      </c>
      <c r="X74">
        <f>HYPERLINK("https://klasma.github.io/Logging_1486/tillsyn/A 49356-2021 tillsyn.docx", "A 49356-2021")</f>
        <v/>
      </c>
      <c r="Y74">
        <f>HYPERLINK("https://klasma.github.io/Logging_1486/tillsynsmail/A 49356-2021 tillsynsmail.docx", "A 49356-2021")</f>
        <v/>
      </c>
    </row>
    <row r="75" ht="15" customHeight="1">
      <c r="A75" t="inlineStr">
        <is>
          <t>A 57566-2021</t>
        </is>
      </c>
      <c r="B75" s="1" t="n">
        <v>44484</v>
      </c>
      <c r="C75" s="1" t="n">
        <v>45212</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HYPERLINK("https://klasma.github.io/Logging_1473/artfynd/A 57566-2021 artfynd.xlsx", "A 57566-2021")</f>
        <v/>
      </c>
      <c r="T75">
        <f>HYPERLINK("https://klasma.github.io/Logging_1473/karta/A 57566-2021 karta.png", "A 57566-2021")</f>
        <v/>
      </c>
      <c r="V75">
        <f>HYPERLINK("https://klasma.github.io/Logging_1473/klagomål/A 57566-2021 klagomål.docx", "A 57566-2021")</f>
        <v/>
      </c>
      <c r="W75">
        <f>HYPERLINK("https://klasma.github.io/Logging_1473/klagomålsmail/A 57566-2021 klagomålsmail.docx", "A 57566-2021")</f>
        <v/>
      </c>
      <c r="X75">
        <f>HYPERLINK("https://klasma.github.io/Logging_1473/tillsyn/A 57566-2021 tillsyn.docx", "A 57566-2021")</f>
        <v/>
      </c>
      <c r="Y75">
        <f>HYPERLINK("https://klasma.github.io/Logging_1473/tillsynsmail/A 57566-2021 tillsynsmail.docx", "A 57566-2021")</f>
        <v/>
      </c>
    </row>
    <row r="76" ht="15" customHeight="1">
      <c r="A76" t="inlineStr">
        <is>
          <t>A 63367-2021</t>
        </is>
      </c>
      <c r="B76" s="1" t="n">
        <v>44506</v>
      </c>
      <c r="C76" s="1" t="n">
        <v>45212</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HYPERLINK("https://klasma.github.io/Logging_1435/artfynd/A 63367-2021 artfynd.xlsx", "A 63367-2021")</f>
        <v/>
      </c>
      <c r="T76">
        <f>HYPERLINK("https://klasma.github.io/Logging_1435/karta/A 63367-2021 karta.png", "A 63367-2021")</f>
        <v/>
      </c>
      <c r="V76">
        <f>HYPERLINK("https://klasma.github.io/Logging_1435/klagomål/A 63367-2021 klagomål.docx", "A 63367-2021")</f>
        <v/>
      </c>
      <c r="W76">
        <f>HYPERLINK("https://klasma.github.io/Logging_1435/klagomålsmail/A 63367-2021 klagomålsmail.docx", "A 63367-2021")</f>
        <v/>
      </c>
      <c r="X76">
        <f>HYPERLINK("https://klasma.github.io/Logging_1435/tillsyn/A 63367-2021 tillsyn.docx", "A 63367-2021")</f>
        <v/>
      </c>
      <c r="Y76">
        <f>HYPERLINK("https://klasma.github.io/Logging_1435/tillsynsmail/A 63367-2021 tillsynsmail.docx", "A 63367-2021")</f>
        <v/>
      </c>
    </row>
    <row r="77" ht="15" customHeight="1">
      <c r="A77" t="inlineStr">
        <is>
          <t>A 74306-2021</t>
        </is>
      </c>
      <c r="B77" s="1" t="n">
        <v>44559</v>
      </c>
      <c r="C77" s="1" t="n">
        <v>45212</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HYPERLINK("https://klasma.github.io/Logging_1421/artfynd/A 74306-2021 artfynd.xlsx", "A 74306-2021")</f>
        <v/>
      </c>
      <c r="T77">
        <f>HYPERLINK("https://klasma.github.io/Logging_1421/karta/A 74306-2021 karta.png", "A 74306-2021")</f>
        <v/>
      </c>
      <c r="V77">
        <f>HYPERLINK("https://klasma.github.io/Logging_1421/klagomål/A 74306-2021 klagomål.docx", "A 74306-2021")</f>
        <v/>
      </c>
      <c r="W77">
        <f>HYPERLINK("https://klasma.github.io/Logging_1421/klagomålsmail/A 74306-2021 klagomålsmail.docx", "A 74306-2021")</f>
        <v/>
      </c>
      <c r="X77">
        <f>HYPERLINK("https://klasma.github.io/Logging_1421/tillsyn/A 74306-2021 tillsyn.docx", "A 74306-2021")</f>
        <v/>
      </c>
      <c r="Y77">
        <f>HYPERLINK("https://klasma.github.io/Logging_1421/tillsynsmail/A 74306-2021 tillsynsmail.docx", "A 74306-2021")</f>
        <v/>
      </c>
    </row>
    <row r="78" ht="15" customHeight="1">
      <c r="A78" t="inlineStr">
        <is>
          <t>A 5481-2022</t>
        </is>
      </c>
      <c r="B78" s="1" t="n">
        <v>44595</v>
      </c>
      <c r="C78" s="1" t="n">
        <v>45212</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HYPERLINK("https://klasma.github.io/Logging_1496/artfynd/A 5481-2022 artfynd.xlsx", "A 5481-2022")</f>
        <v/>
      </c>
      <c r="T78">
        <f>HYPERLINK("https://klasma.github.io/Logging_1496/karta/A 5481-2022 karta.png", "A 5481-2022")</f>
        <v/>
      </c>
      <c r="U78">
        <f>HYPERLINK("https://klasma.github.io/Logging_1496/knärot/A 5481-2022 knärot.png", "A 5481-2022")</f>
        <v/>
      </c>
      <c r="V78">
        <f>HYPERLINK("https://klasma.github.io/Logging_1496/klagomål/A 5481-2022 klagomål.docx", "A 5481-2022")</f>
        <v/>
      </c>
      <c r="W78">
        <f>HYPERLINK("https://klasma.github.io/Logging_1496/klagomålsmail/A 5481-2022 klagomålsmail.docx", "A 5481-2022")</f>
        <v/>
      </c>
      <c r="X78">
        <f>HYPERLINK("https://klasma.github.io/Logging_1496/tillsyn/A 5481-2022 tillsyn.docx", "A 5481-2022")</f>
        <v/>
      </c>
      <c r="Y78">
        <f>HYPERLINK("https://klasma.github.io/Logging_1496/tillsynsmail/A 5481-2022 tillsynsmail.docx", "A 5481-2022")</f>
        <v/>
      </c>
    </row>
    <row r="79" ht="15" customHeight="1">
      <c r="A79" t="inlineStr">
        <is>
          <t>A 12865-2022</t>
        </is>
      </c>
      <c r="B79" s="1" t="n">
        <v>44642</v>
      </c>
      <c r="C79" s="1" t="n">
        <v>45212</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HYPERLINK("https://klasma.github.io/Logging_1471/artfynd/A 12865-2022 artfynd.xlsx", "A 12865-2022")</f>
        <v/>
      </c>
      <c r="T79">
        <f>HYPERLINK("https://klasma.github.io/Logging_1471/karta/A 12865-2022 karta.png", "A 12865-2022")</f>
        <v/>
      </c>
      <c r="V79">
        <f>HYPERLINK("https://klasma.github.io/Logging_1471/klagomål/A 12865-2022 klagomål.docx", "A 12865-2022")</f>
        <v/>
      </c>
      <c r="W79">
        <f>HYPERLINK("https://klasma.github.io/Logging_1471/klagomålsmail/A 12865-2022 klagomålsmail.docx", "A 12865-2022")</f>
        <v/>
      </c>
      <c r="X79">
        <f>HYPERLINK("https://klasma.github.io/Logging_1471/tillsyn/A 12865-2022 tillsyn.docx", "A 12865-2022")</f>
        <v/>
      </c>
      <c r="Y79">
        <f>HYPERLINK("https://klasma.github.io/Logging_1471/tillsynsmail/A 12865-2022 tillsynsmail.docx", "A 12865-2022")</f>
        <v/>
      </c>
    </row>
    <row r="80" ht="15" customHeight="1">
      <c r="A80" t="inlineStr">
        <is>
          <t>A 44523-2022</t>
        </is>
      </c>
      <c r="B80" s="1" t="n">
        <v>44840</v>
      </c>
      <c r="C80" s="1" t="n">
        <v>45212</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HYPERLINK("https://klasma.github.io/Logging_1461/artfynd/A 44523-2022 artfynd.xlsx", "A 44523-2022")</f>
        <v/>
      </c>
      <c r="T80">
        <f>HYPERLINK("https://klasma.github.io/Logging_1461/karta/A 44523-2022 karta.png", "A 44523-2022")</f>
        <v/>
      </c>
      <c r="V80">
        <f>HYPERLINK("https://klasma.github.io/Logging_1461/klagomål/A 44523-2022 klagomål.docx", "A 44523-2022")</f>
        <v/>
      </c>
      <c r="W80">
        <f>HYPERLINK("https://klasma.github.io/Logging_1461/klagomålsmail/A 44523-2022 klagomålsmail.docx", "A 44523-2022")</f>
        <v/>
      </c>
      <c r="X80">
        <f>HYPERLINK("https://klasma.github.io/Logging_1461/tillsyn/A 44523-2022 tillsyn.docx", "A 44523-2022")</f>
        <v/>
      </c>
      <c r="Y80">
        <f>HYPERLINK("https://klasma.github.io/Logging_1461/tillsynsmail/A 44523-2022 tillsynsmail.docx", "A 44523-2022")</f>
        <v/>
      </c>
    </row>
    <row r="81" ht="15" customHeight="1">
      <c r="A81" t="inlineStr">
        <is>
          <t>A 29487-2023</t>
        </is>
      </c>
      <c r="B81" s="1" t="n">
        <v>45106</v>
      </c>
      <c r="C81" s="1" t="n">
        <v>45212</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HYPERLINK("https://klasma.github.io/Logging_1485/artfynd/A 29487-2023 artfynd.xlsx", "A 29487-2023")</f>
        <v/>
      </c>
      <c r="T81">
        <f>HYPERLINK("https://klasma.github.io/Logging_1485/karta/A 29487-2023 karta.png", "A 29487-2023")</f>
        <v/>
      </c>
      <c r="V81">
        <f>HYPERLINK("https://klasma.github.io/Logging_1485/klagomål/A 29487-2023 klagomål.docx", "A 29487-2023")</f>
        <v/>
      </c>
      <c r="W81">
        <f>HYPERLINK("https://klasma.github.io/Logging_1485/klagomålsmail/A 29487-2023 klagomålsmail.docx", "A 29487-2023")</f>
        <v/>
      </c>
      <c r="X81">
        <f>HYPERLINK("https://klasma.github.io/Logging_1485/tillsyn/A 29487-2023 tillsyn.docx", "A 29487-2023")</f>
        <v/>
      </c>
      <c r="Y81">
        <f>HYPERLINK("https://klasma.github.io/Logging_1485/tillsynsmail/A 29487-2023 tillsynsmail.docx", "A 29487-2023")</f>
        <v/>
      </c>
    </row>
    <row r="82" ht="15" customHeight="1">
      <c r="A82" t="inlineStr">
        <is>
          <t>A 38230-2018</t>
        </is>
      </c>
      <c r="B82" s="1" t="n">
        <v>43338</v>
      </c>
      <c r="C82" s="1" t="n">
        <v>45212</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HYPERLINK("https://klasma.github.io/Logging_1492/artfynd/A 38230-2018 artfynd.xlsx", "A 38230-2018")</f>
        <v/>
      </c>
      <c r="T82">
        <f>HYPERLINK("https://klasma.github.io/Logging_1492/karta/A 38230-2018 karta.png", "A 38230-2018")</f>
        <v/>
      </c>
      <c r="V82">
        <f>HYPERLINK("https://klasma.github.io/Logging_1492/klagomål/A 38230-2018 klagomål.docx", "A 38230-2018")</f>
        <v/>
      </c>
      <c r="W82">
        <f>HYPERLINK("https://klasma.github.io/Logging_1492/klagomålsmail/A 38230-2018 klagomålsmail.docx", "A 38230-2018")</f>
        <v/>
      </c>
      <c r="X82">
        <f>HYPERLINK("https://klasma.github.io/Logging_1492/tillsyn/A 38230-2018 tillsyn.docx", "A 38230-2018")</f>
        <v/>
      </c>
      <c r="Y82">
        <f>HYPERLINK("https://klasma.github.io/Logging_1492/tillsynsmail/A 38230-2018 tillsynsmail.docx", "A 38230-2018")</f>
        <v/>
      </c>
    </row>
    <row r="83" ht="15" customHeight="1">
      <c r="A83" t="inlineStr">
        <is>
          <t>A 40399-2018</t>
        </is>
      </c>
      <c r="B83" s="1" t="n">
        <v>43346</v>
      </c>
      <c r="C83" s="1" t="n">
        <v>45212</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HYPERLINK("https://klasma.github.io/Logging_1443/artfynd/A 40399-2018 artfynd.xlsx", "A 40399-2018")</f>
        <v/>
      </c>
      <c r="T83">
        <f>HYPERLINK("https://klasma.github.io/Logging_1443/karta/A 40399-2018 karta.png", "A 40399-2018")</f>
        <v/>
      </c>
      <c r="V83">
        <f>HYPERLINK("https://klasma.github.io/Logging_1443/klagomål/A 40399-2018 klagomål.docx", "A 40399-2018")</f>
        <v/>
      </c>
      <c r="W83">
        <f>HYPERLINK("https://klasma.github.io/Logging_1443/klagomålsmail/A 40399-2018 klagomålsmail.docx", "A 40399-2018")</f>
        <v/>
      </c>
      <c r="X83">
        <f>HYPERLINK("https://klasma.github.io/Logging_1443/tillsyn/A 40399-2018 tillsyn.docx", "A 40399-2018")</f>
        <v/>
      </c>
      <c r="Y83">
        <f>HYPERLINK("https://klasma.github.io/Logging_1443/tillsynsmail/A 40399-2018 tillsynsmail.docx", "A 40399-2018")</f>
        <v/>
      </c>
    </row>
    <row r="84" ht="15" customHeight="1">
      <c r="A84" t="inlineStr">
        <is>
          <t>A 41818-2018</t>
        </is>
      </c>
      <c r="B84" s="1" t="n">
        <v>43350</v>
      </c>
      <c r="C84" s="1" t="n">
        <v>45212</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HYPERLINK("https://klasma.github.io/Logging_1490/artfynd/A 41818-2018 artfynd.xlsx", "A 41818-2018")</f>
        <v/>
      </c>
      <c r="T84">
        <f>HYPERLINK("https://klasma.github.io/Logging_1490/karta/A 41818-2018 karta.png", "A 41818-2018")</f>
        <v/>
      </c>
      <c r="V84">
        <f>HYPERLINK("https://klasma.github.io/Logging_1490/klagomål/A 41818-2018 klagomål.docx", "A 41818-2018")</f>
        <v/>
      </c>
      <c r="W84">
        <f>HYPERLINK("https://klasma.github.io/Logging_1490/klagomålsmail/A 41818-2018 klagomålsmail.docx", "A 41818-2018")</f>
        <v/>
      </c>
      <c r="X84">
        <f>HYPERLINK("https://klasma.github.io/Logging_1490/tillsyn/A 41818-2018 tillsyn.docx", "A 41818-2018")</f>
        <v/>
      </c>
      <c r="Y84">
        <f>HYPERLINK("https://klasma.github.io/Logging_1490/tillsynsmail/A 41818-2018 tillsynsmail.docx", "A 41818-2018")</f>
        <v/>
      </c>
    </row>
    <row r="85" ht="15" customHeight="1">
      <c r="A85" t="inlineStr">
        <is>
          <t>A 48098-2018</t>
        </is>
      </c>
      <c r="B85" s="1" t="n">
        <v>43371</v>
      </c>
      <c r="C85" s="1" t="n">
        <v>45212</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HYPERLINK("https://klasma.github.io/Logging_1461/artfynd/A 48098-2018 artfynd.xlsx", "A 48098-2018")</f>
        <v/>
      </c>
      <c r="T85">
        <f>HYPERLINK("https://klasma.github.io/Logging_1461/karta/A 48098-2018 karta.png", "A 48098-2018")</f>
        <v/>
      </c>
      <c r="V85">
        <f>HYPERLINK("https://klasma.github.io/Logging_1461/klagomål/A 48098-2018 klagomål.docx", "A 48098-2018")</f>
        <v/>
      </c>
      <c r="W85">
        <f>HYPERLINK("https://klasma.github.io/Logging_1461/klagomålsmail/A 48098-2018 klagomålsmail.docx", "A 48098-2018")</f>
        <v/>
      </c>
      <c r="X85">
        <f>HYPERLINK("https://klasma.github.io/Logging_1461/tillsyn/A 48098-2018 tillsyn.docx", "A 48098-2018")</f>
        <v/>
      </c>
      <c r="Y85">
        <f>HYPERLINK("https://klasma.github.io/Logging_1461/tillsynsmail/A 48098-2018 tillsynsmail.docx", "A 48098-2018")</f>
        <v/>
      </c>
    </row>
    <row r="86" ht="15" customHeight="1">
      <c r="A86" t="inlineStr">
        <is>
          <t>A 61434-2018</t>
        </is>
      </c>
      <c r="B86" s="1" t="n">
        <v>43424</v>
      </c>
      <c r="C86" s="1" t="n">
        <v>45212</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HYPERLINK("https://klasma.github.io/Logging_1495/artfynd/A 61434-2018 artfynd.xlsx", "A 61434-2018")</f>
        <v/>
      </c>
      <c r="T86">
        <f>HYPERLINK("https://klasma.github.io/Logging_1495/karta/A 61434-2018 karta.png", "A 61434-2018")</f>
        <v/>
      </c>
      <c r="V86">
        <f>HYPERLINK("https://klasma.github.io/Logging_1495/klagomål/A 61434-2018 klagomål.docx", "A 61434-2018")</f>
        <v/>
      </c>
      <c r="W86">
        <f>HYPERLINK("https://klasma.github.io/Logging_1495/klagomålsmail/A 61434-2018 klagomålsmail.docx", "A 61434-2018")</f>
        <v/>
      </c>
      <c r="X86">
        <f>HYPERLINK("https://klasma.github.io/Logging_1495/tillsyn/A 61434-2018 tillsyn.docx", "A 61434-2018")</f>
        <v/>
      </c>
      <c r="Y86">
        <f>HYPERLINK("https://klasma.github.io/Logging_1495/tillsynsmail/A 61434-2018 tillsynsmail.docx", "A 61434-2018")</f>
        <v/>
      </c>
    </row>
    <row r="87" ht="15" customHeight="1">
      <c r="A87" t="inlineStr">
        <is>
          <t>A 69614-2018</t>
        </is>
      </c>
      <c r="B87" s="1" t="n">
        <v>43447</v>
      </c>
      <c r="C87" s="1" t="n">
        <v>45212</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HYPERLINK("https://klasma.github.io/Logging_1463/artfynd/A 69614-2018 artfynd.xlsx", "A 69614-2018")</f>
        <v/>
      </c>
      <c r="T87">
        <f>HYPERLINK("https://klasma.github.io/Logging_1463/karta/A 69614-2018 karta.png", "A 69614-2018")</f>
        <v/>
      </c>
      <c r="V87">
        <f>HYPERLINK("https://klasma.github.io/Logging_1463/klagomål/A 69614-2018 klagomål.docx", "A 69614-2018")</f>
        <v/>
      </c>
      <c r="W87">
        <f>HYPERLINK("https://klasma.github.io/Logging_1463/klagomålsmail/A 69614-2018 klagomålsmail.docx", "A 69614-2018")</f>
        <v/>
      </c>
      <c r="X87">
        <f>HYPERLINK("https://klasma.github.io/Logging_1463/tillsyn/A 69614-2018 tillsyn.docx", "A 69614-2018")</f>
        <v/>
      </c>
      <c r="Y87">
        <f>HYPERLINK("https://klasma.github.io/Logging_1463/tillsynsmail/A 69614-2018 tillsynsmail.docx", "A 69614-2018")</f>
        <v/>
      </c>
    </row>
    <row r="88" ht="15" customHeight="1">
      <c r="A88" t="inlineStr">
        <is>
          <t>A 9721-2019</t>
        </is>
      </c>
      <c r="B88" s="1" t="n">
        <v>43508</v>
      </c>
      <c r="C88" s="1" t="n">
        <v>45212</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HYPERLINK("https://klasma.github.io/Logging_1460/artfynd/A 9721-2019 artfynd.xlsx", "A 9721-2019")</f>
        <v/>
      </c>
      <c r="T88">
        <f>HYPERLINK("https://klasma.github.io/Logging_1460/karta/A 9721-2019 karta.png", "A 9721-2019")</f>
        <v/>
      </c>
      <c r="V88">
        <f>HYPERLINK("https://klasma.github.io/Logging_1460/klagomål/A 9721-2019 klagomål.docx", "A 9721-2019")</f>
        <v/>
      </c>
      <c r="W88">
        <f>HYPERLINK("https://klasma.github.io/Logging_1460/klagomålsmail/A 9721-2019 klagomålsmail.docx", "A 9721-2019")</f>
        <v/>
      </c>
      <c r="X88">
        <f>HYPERLINK("https://klasma.github.io/Logging_1460/tillsyn/A 9721-2019 tillsyn.docx", "A 9721-2019")</f>
        <v/>
      </c>
      <c r="Y88">
        <f>HYPERLINK("https://klasma.github.io/Logging_1460/tillsynsmail/A 9721-2019 tillsynsmail.docx", "A 9721-2019")</f>
        <v/>
      </c>
    </row>
    <row r="89" ht="15" customHeight="1">
      <c r="A89" t="inlineStr">
        <is>
          <t>A 11376-2019</t>
        </is>
      </c>
      <c r="B89" s="1" t="n">
        <v>43517</v>
      </c>
      <c r="C89" s="1" t="n">
        <v>45212</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HYPERLINK("https://klasma.github.io/Logging_1493/artfynd/A 11376-2019 artfynd.xlsx", "A 11376-2019")</f>
        <v/>
      </c>
      <c r="T89">
        <f>HYPERLINK("https://klasma.github.io/Logging_1493/karta/A 11376-2019 karta.png", "A 11376-2019")</f>
        <v/>
      </c>
      <c r="V89">
        <f>HYPERLINK("https://klasma.github.io/Logging_1493/klagomål/A 11376-2019 klagomål.docx", "A 11376-2019")</f>
        <v/>
      </c>
      <c r="W89">
        <f>HYPERLINK("https://klasma.github.io/Logging_1493/klagomålsmail/A 11376-2019 klagomålsmail.docx", "A 11376-2019")</f>
        <v/>
      </c>
      <c r="X89">
        <f>HYPERLINK("https://klasma.github.io/Logging_1493/tillsyn/A 11376-2019 tillsyn.docx", "A 11376-2019")</f>
        <v/>
      </c>
      <c r="Y89">
        <f>HYPERLINK("https://klasma.github.io/Logging_1493/tillsynsmail/A 11376-2019 tillsynsmail.docx", "A 11376-2019")</f>
        <v/>
      </c>
    </row>
    <row r="90" ht="15" customHeight="1">
      <c r="A90" t="inlineStr">
        <is>
          <t>A 14609-2019</t>
        </is>
      </c>
      <c r="B90" s="1" t="n">
        <v>43537</v>
      </c>
      <c r="C90" s="1" t="n">
        <v>45212</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HYPERLINK("https://klasma.github.io/Logging_1495/artfynd/A 14609-2019 artfynd.xlsx", "A 14609-2019")</f>
        <v/>
      </c>
      <c r="T90">
        <f>HYPERLINK("https://klasma.github.io/Logging_1495/karta/A 14609-2019 karta.png", "A 14609-2019")</f>
        <v/>
      </c>
      <c r="V90">
        <f>HYPERLINK("https://klasma.github.io/Logging_1495/klagomål/A 14609-2019 klagomål.docx", "A 14609-2019")</f>
        <v/>
      </c>
      <c r="W90">
        <f>HYPERLINK("https://klasma.github.io/Logging_1495/klagomålsmail/A 14609-2019 klagomålsmail.docx", "A 14609-2019")</f>
        <v/>
      </c>
      <c r="X90">
        <f>HYPERLINK("https://klasma.github.io/Logging_1495/tillsyn/A 14609-2019 tillsyn.docx", "A 14609-2019")</f>
        <v/>
      </c>
      <c r="Y90">
        <f>HYPERLINK("https://klasma.github.io/Logging_1495/tillsynsmail/A 14609-2019 tillsynsmail.docx", "A 14609-2019")</f>
        <v/>
      </c>
    </row>
    <row r="91" ht="15" customHeight="1">
      <c r="A91" t="inlineStr">
        <is>
          <t>A 19823-2019</t>
        </is>
      </c>
      <c r="B91" s="1" t="n">
        <v>43567</v>
      </c>
      <c r="C91" s="1" t="n">
        <v>45212</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HYPERLINK("https://klasma.github.io/Logging_1401/artfynd/A 19823-2019 artfynd.xlsx", "A 19823-2019")</f>
        <v/>
      </c>
      <c r="T91">
        <f>HYPERLINK("https://klasma.github.io/Logging_1401/karta/A 19823-2019 karta.png", "A 19823-2019")</f>
        <v/>
      </c>
      <c r="V91">
        <f>HYPERLINK("https://klasma.github.io/Logging_1401/klagomål/A 19823-2019 klagomål.docx", "A 19823-2019")</f>
        <v/>
      </c>
      <c r="W91">
        <f>HYPERLINK("https://klasma.github.io/Logging_1401/klagomålsmail/A 19823-2019 klagomålsmail.docx", "A 19823-2019")</f>
        <v/>
      </c>
      <c r="X91">
        <f>HYPERLINK("https://klasma.github.io/Logging_1401/tillsyn/A 19823-2019 tillsyn.docx", "A 19823-2019")</f>
        <v/>
      </c>
      <c r="Y91">
        <f>HYPERLINK("https://klasma.github.io/Logging_1401/tillsynsmail/A 19823-2019 tillsynsmail.docx", "A 19823-2019")</f>
        <v/>
      </c>
    </row>
    <row r="92" ht="15" customHeight="1">
      <c r="A92" t="inlineStr">
        <is>
          <t>A 25131-2019</t>
        </is>
      </c>
      <c r="B92" s="1" t="n">
        <v>43605</v>
      </c>
      <c r="C92" s="1" t="n">
        <v>45212</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HYPERLINK("https://klasma.github.io/Logging_1482/artfynd/A 25131-2019 artfynd.xlsx", "A 25131-2019")</f>
        <v/>
      </c>
      <c r="T92">
        <f>HYPERLINK("https://klasma.github.io/Logging_1482/karta/A 25131-2019 karta.png", "A 25131-2019")</f>
        <v/>
      </c>
      <c r="V92">
        <f>HYPERLINK("https://klasma.github.io/Logging_1482/klagomål/A 25131-2019 klagomål.docx", "A 25131-2019")</f>
        <v/>
      </c>
      <c r="W92">
        <f>HYPERLINK("https://klasma.github.io/Logging_1482/klagomålsmail/A 25131-2019 klagomålsmail.docx", "A 25131-2019")</f>
        <v/>
      </c>
      <c r="X92">
        <f>HYPERLINK("https://klasma.github.io/Logging_1482/tillsyn/A 25131-2019 tillsyn.docx", "A 25131-2019")</f>
        <v/>
      </c>
      <c r="Y92">
        <f>HYPERLINK("https://klasma.github.io/Logging_1482/tillsynsmail/A 25131-2019 tillsynsmail.docx", "A 25131-2019")</f>
        <v/>
      </c>
    </row>
    <row r="93" ht="15" customHeight="1">
      <c r="A93" t="inlineStr">
        <is>
          <t>A 29458-2019</t>
        </is>
      </c>
      <c r="B93" s="1" t="n">
        <v>43629</v>
      </c>
      <c r="C93" s="1" t="n">
        <v>45212</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HYPERLINK("https://klasma.github.io/Logging_1495/artfynd/A 29458-2019 artfynd.xlsx", "A 29458-2019")</f>
        <v/>
      </c>
      <c r="T93">
        <f>HYPERLINK("https://klasma.github.io/Logging_1495/karta/A 29458-2019 karta.png", "A 29458-2019")</f>
        <v/>
      </c>
      <c r="V93">
        <f>HYPERLINK("https://klasma.github.io/Logging_1495/klagomål/A 29458-2019 klagomål.docx", "A 29458-2019")</f>
        <v/>
      </c>
      <c r="W93">
        <f>HYPERLINK("https://klasma.github.io/Logging_1495/klagomålsmail/A 29458-2019 klagomålsmail.docx", "A 29458-2019")</f>
        <v/>
      </c>
      <c r="X93">
        <f>HYPERLINK("https://klasma.github.io/Logging_1495/tillsyn/A 29458-2019 tillsyn.docx", "A 29458-2019")</f>
        <v/>
      </c>
      <c r="Y93">
        <f>HYPERLINK("https://klasma.github.io/Logging_1495/tillsynsmail/A 29458-2019 tillsynsmail.docx", "A 29458-2019")</f>
        <v/>
      </c>
    </row>
    <row r="94" ht="15" customHeight="1">
      <c r="A94" t="inlineStr">
        <is>
          <t>A 30913-2019</t>
        </is>
      </c>
      <c r="B94" s="1" t="n">
        <v>43636</v>
      </c>
      <c r="C94" s="1" t="n">
        <v>45212</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HYPERLINK("https://klasma.github.io/Logging_1439/artfynd/A 30913-2019 artfynd.xlsx", "A 30913-2019")</f>
        <v/>
      </c>
      <c r="T94">
        <f>HYPERLINK("https://klasma.github.io/Logging_1439/karta/A 30913-2019 karta.png", "A 30913-2019")</f>
        <v/>
      </c>
      <c r="V94">
        <f>HYPERLINK("https://klasma.github.io/Logging_1439/klagomål/A 30913-2019 klagomål.docx", "A 30913-2019")</f>
        <v/>
      </c>
      <c r="W94">
        <f>HYPERLINK("https://klasma.github.io/Logging_1439/klagomålsmail/A 30913-2019 klagomålsmail.docx", "A 30913-2019")</f>
        <v/>
      </c>
      <c r="X94">
        <f>HYPERLINK("https://klasma.github.io/Logging_1439/tillsyn/A 30913-2019 tillsyn.docx", "A 30913-2019")</f>
        <v/>
      </c>
      <c r="Y94">
        <f>HYPERLINK("https://klasma.github.io/Logging_1439/tillsynsmail/A 30913-2019 tillsynsmail.docx", "A 30913-2019")</f>
        <v/>
      </c>
    </row>
    <row r="95" ht="15" customHeight="1">
      <c r="A95" t="inlineStr">
        <is>
          <t>A 33148-2019</t>
        </is>
      </c>
      <c r="B95" s="1" t="n">
        <v>43649</v>
      </c>
      <c r="C95" s="1" t="n">
        <v>45212</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HYPERLINK("https://klasma.github.io/Logging_1482/artfynd/A 33148-2019 artfynd.xlsx", "A 33148-2019")</f>
        <v/>
      </c>
      <c r="T95">
        <f>HYPERLINK("https://klasma.github.io/Logging_1482/karta/A 33148-2019 karta.png", "A 33148-2019")</f>
        <v/>
      </c>
      <c r="V95">
        <f>HYPERLINK("https://klasma.github.io/Logging_1482/klagomål/A 33148-2019 klagomål.docx", "A 33148-2019")</f>
        <v/>
      </c>
      <c r="W95">
        <f>HYPERLINK("https://klasma.github.io/Logging_1482/klagomålsmail/A 33148-2019 klagomålsmail.docx", "A 33148-2019")</f>
        <v/>
      </c>
      <c r="X95">
        <f>HYPERLINK("https://klasma.github.io/Logging_1482/tillsyn/A 33148-2019 tillsyn.docx", "A 33148-2019")</f>
        <v/>
      </c>
      <c r="Y95">
        <f>HYPERLINK("https://klasma.github.io/Logging_1482/tillsynsmail/A 33148-2019 tillsynsmail.docx", "A 33148-2019")</f>
        <v/>
      </c>
    </row>
    <row r="96" ht="15" customHeight="1">
      <c r="A96" t="inlineStr">
        <is>
          <t>A 39255-2019</t>
        </is>
      </c>
      <c r="B96" s="1" t="n">
        <v>43690</v>
      </c>
      <c r="C96" s="1" t="n">
        <v>45212</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HYPERLINK("https://klasma.github.io/Logging_1480/artfynd/A 39255-2019 artfynd.xlsx", "A 39255-2019")</f>
        <v/>
      </c>
      <c r="T96">
        <f>HYPERLINK("https://klasma.github.io/Logging_1480/karta/A 39255-2019 karta.png", "A 39255-2019")</f>
        <v/>
      </c>
      <c r="V96">
        <f>HYPERLINK("https://klasma.github.io/Logging_1480/klagomål/A 39255-2019 klagomål.docx", "A 39255-2019")</f>
        <v/>
      </c>
      <c r="W96">
        <f>HYPERLINK("https://klasma.github.io/Logging_1480/klagomålsmail/A 39255-2019 klagomålsmail.docx", "A 39255-2019")</f>
        <v/>
      </c>
      <c r="X96">
        <f>HYPERLINK("https://klasma.github.io/Logging_1480/tillsyn/A 39255-2019 tillsyn.docx", "A 39255-2019")</f>
        <v/>
      </c>
      <c r="Y96">
        <f>HYPERLINK("https://klasma.github.io/Logging_1480/tillsynsmail/A 39255-2019 tillsynsmail.docx", "A 39255-2019")</f>
        <v/>
      </c>
    </row>
    <row r="97" ht="15" customHeight="1">
      <c r="A97" t="inlineStr">
        <is>
          <t>A 42309-2019</t>
        </is>
      </c>
      <c r="B97" s="1" t="n">
        <v>43698</v>
      </c>
      <c r="C97" s="1" t="n">
        <v>45212</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HYPERLINK("https://klasma.github.io/Logging_1435/artfynd/A 42309-2019 artfynd.xlsx", "A 42309-2019")</f>
        <v/>
      </c>
      <c r="T97">
        <f>HYPERLINK("https://klasma.github.io/Logging_1435/karta/A 42309-2019 karta.png", "A 42309-2019")</f>
        <v/>
      </c>
      <c r="V97">
        <f>HYPERLINK("https://klasma.github.io/Logging_1435/klagomål/A 42309-2019 klagomål.docx", "A 42309-2019")</f>
        <v/>
      </c>
      <c r="W97">
        <f>HYPERLINK("https://klasma.github.io/Logging_1435/klagomålsmail/A 42309-2019 klagomålsmail.docx", "A 42309-2019")</f>
        <v/>
      </c>
      <c r="X97">
        <f>HYPERLINK("https://klasma.github.io/Logging_1435/tillsyn/A 42309-2019 tillsyn.docx", "A 42309-2019")</f>
        <v/>
      </c>
      <c r="Y97">
        <f>HYPERLINK("https://klasma.github.io/Logging_1435/tillsynsmail/A 42309-2019 tillsynsmail.docx", "A 42309-2019")</f>
        <v/>
      </c>
    </row>
    <row r="98" ht="15" customHeight="1">
      <c r="A98" t="inlineStr">
        <is>
          <t>A 45791-2019</t>
        </is>
      </c>
      <c r="B98" s="1" t="n">
        <v>43717</v>
      </c>
      <c r="C98" s="1" t="n">
        <v>45212</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HYPERLINK("https://klasma.github.io/Logging_1466/artfynd/A 45791-2019 artfynd.xlsx", "A 45791-2019")</f>
        <v/>
      </c>
      <c r="T98">
        <f>HYPERLINK("https://klasma.github.io/Logging_1466/karta/A 45791-2019 karta.png", "A 45791-2019")</f>
        <v/>
      </c>
      <c r="V98">
        <f>HYPERLINK("https://klasma.github.io/Logging_1466/klagomål/A 45791-2019 klagomål.docx", "A 45791-2019")</f>
        <v/>
      </c>
      <c r="W98">
        <f>HYPERLINK("https://klasma.github.io/Logging_1466/klagomålsmail/A 45791-2019 klagomålsmail.docx", "A 45791-2019")</f>
        <v/>
      </c>
      <c r="X98">
        <f>HYPERLINK("https://klasma.github.io/Logging_1466/tillsyn/A 45791-2019 tillsyn.docx", "A 45791-2019")</f>
        <v/>
      </c>
      <c r="Y98">
        <f>HYPERLINK("https://klasma.github.io/Logging_1466/tillsynsmail/A 45791-2019 tillsynsmail.docx", "A 45791-2019")</f>
        <v/>
      </c>
    </row>
    <row r="99" ht="15" customHeight="1">
      <c r="A99" t="inlineStr">
        <is>
          <t>A 49533-2019</t>
        </is>
      </c>
      <c r="B99" s="1" t="n">
        <v>43732</v>
      </c>
      <c r="C99" s="1" t="n">
        <v>45212</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HYPERLINK("https://klasma.github.io/Logging_1492/artfynd/A 49533-2019 artfynd.xlsx", "A 49533-2019")</f>
        <v/>
      </c>
      <c r="T99">
        <f>HYPERLINK("https://klasma.github.io/Logging_1492/karta/A 49533-2019 karta.png", "A 49533-2019")</f>
        <v/>
      </c>
      <c r="V99">
        <f>HYPERLINK("https://klasma.github.io/Logging_1492/klagomål/A 49533-2019 klagomål.docx", "A 49533-2019")</f>
        <v/>
      </c>
      <c r="W99">
        <f>HYPERLINK("https://klasma.github.io/Logging_1492/klagomålsmail/A 49533-2019 klagomålsmail.docx", "A 49533-2019")</f>
        <v/>
      </c>
      <c r="X99">
        <f>HYPERLINK("https://klasma.github.io/Logging_1492/tillsyn/A 49533-2019 tillsyn.docx", "A 49533-2019")</f>
        <v/>
      </c>
      <c r="Y99">
        <f>HYPERLINK("https://klasma.github.io/Logging_1492/tillsynsmail/A 49533-2019 tillsynsmail.docx", "A 49533-2019")</f>
        <v/>
      </c>
    </row>
    <row r="100" ht="15" customHeight="1">
      <c r="A100" t="inlineStr">
        <is>
          <t>A 56461-2019</t>
        </is>
      </c>
      <c r="B100" s="1" t="n">
        <v>43762</v>
      </c>
      <c r="C100" s="1" t="n">
        <v>45212</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HYPERLINK("https://klasma.github.io/Logging_1482/artfynd/A 56461-2019 artfynd.xlsx", "A 56461-2019")</f>
        <v/>
      </c>
      <c r="T100">
        <f>HYPERLINK("https://klasma.github.io/Logging_1482/karta/A 56461-2019 karta.png", "A 56461-2019")</f>
        <v/>
      </c>
      <c r="V100">
        <f>HYPERLINK("https://klasma.github.io/Logging_1482/klagomål/A 56461-2019 klagomål.docx", "A 56461-2019")</f>
        <v/>
      </c>
      <c r="W100">
        <f>HYPERLINK("https://klasma.github.io/Logging_1482/klagomålsmail/A 56461-2019 klagomålsmail.docx", "A 56461-2019")</f>
        <v/>
      </c>
      <c r="X100">
        <f>HYPERLINK("https://klasma.github.io/Logging_1482/tillsyn/A 56461-2019 tillsyn.docx", "A 56461-2019")</f>
        <v/>
      </c>
      <c r="Y100">
        <f>HYPERLINK("https://klasma.github.io/Logging_1482/tillsynsmail/A 56461-2019 tillsynsmail.docx", "A 56461-2019")</f>
        <v/>
      </c>
    </row>
    <row r="101" ht="15" customHeight="1">
      <c r="A101" t="inlineStr">
        <is>
          <t>A 1067-2020</t>
        </is>
      </c>
      <c r="B101" s="1" t="n">
        <v>43819</v>
      </c>
      <c r="C101" s="1" t="n">
        <v>45212</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HYPERLINK("https://klasma.github.io/Logging_1430/artfynd/A 1067-2020 artfynd.xlsx", "A 1067-2020")</f>
        <v/>
      </c>
      <c r="T101">
        <f>HYPERLINK("https://klasma.github.io/Logging_1430/karta/A 1067-2020 karta.png", "A 1067-2020")</f>
        <v/>
      </c>
      <c r="V101">
        <f>HYPERLINK("https://klasma.github.io/Logging_1430/klagomål/A 1067-2020 klagomål.docx", "A 1067-2020")</f>
        <v/>
      </c>
      <c r="W101">
        <f>HYPERLINK("https://klasma.github.io/Logging_1430/klagomålsmail/A 1067-2020 klagomålsmail.docx", "A 1067-2020")</f>
        <v/>
      </c>
      <c r="X101">
        <f>HYPERLINK("https://klasma.github.io/Logging_1430/tillsyn/A 1067-2020 tillsyn.docx", "A 1067-2020")</f>
        <v/>
      </c>
      <c r="Y101">
        <f>HYPERLINK("https://klasma.github.io/Logging_1430/tillsynsmail/A 1067-2020 tillsynsmail.docx", "A 1067-2020")</f>
        <v/>
      </c>
    </row>
    <row r="102" ht="15" customHeight="1">
      <c r="A102" t="inlineStr">
        <is>
          <t>A 1456-2020</t>
        </is>
      </c>
      <c r="B102" s="1" t="n">
        <v>43843</v>
      </c>
      <c r="C102" s="1" t="n">
        <v>45212</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HYPERLINK("https://klasma.github.io/Logging_1440/artfynd/A 1456-2020 artfynd.xlsx", "A 1456-2020")</f>
        <v/>
      </c>
      <c r="T102">
        <f>HYPERLINK("https://klasma.github.io/Logging_1440/karta/A 1456-2020 karta.png", "A 1456-2020")</f>
        <v/>
      </c>
      <c r="V102">
        <f>HYPERLINK("https://klasma.github.io/Logging_1440/klagomål/A 1456-2020 klagomål.docx", "A 1456-2020")</f>
        <v/>
      </c>
      <c r="W102">
        <f>HYPERLINK("https://klasma.github.io/Logging_1440/klagomålsmail/A 1456-2020 klagomålsmail.docx", "A 1456-2020")</f>
        <v/>
      </c>
      <c r="X102">
        <f>HYPERLINK("https://klasma.github.io/Logging_1440/tillsyn/A 1456-2020 tillsyn.docx", "A 1456-2020")</f>
        <v/>
      </c>
      <c r="Y102">
        <f>HYPERLINK("https://klasma.github.io/Logging_1440/tillsynsmail/A 1456-2020 tillsynsmail.docx", "A 1456-2020")</f>
        <v/>
      </c>
    </row>
    <row r="103" ht="15" customHeight="1">
      <c r="A103" t="inlineStr">
        <is>
          <t>A 5516-2020</t>
        </is>
      </c>
      <c r="B103" s="1" t="n">
        <v>43858</v>
      </c>
      <c r="C103" s="1" t="n">
        <v>45212</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HYPERLINK("https://klasma.github.io/Logging_1430/artfynd/A 5516-2020 artfynd.xlsx", "A 5516-2020")</f>
        <v/>
      </c>
      <c r="T103">
        <f>HYPERLINK("https://klasma.github.io/Logging_1430/karta/A 5516-2020 karta.png", "A 5516-2020")</f>
        <v/>
      </c>
      <c r="V103">
        <f>HYPERLINK("https://klasma.github.io/Logging_1430/klagomål/A 5516-2020 klagomål.docx", "A 5516-2020")</f>
        <v/>
      </c>
      <c r="W103">
        <f>HYPERLINK("https://klasma.github.io/Logging_1430/klagomålsmail/A 5516-2020 klagomålsmail.docx", "A 5516-2020")</f>
        <v/>
      </c>
      <c r="X103">
        <f>HYPERLINK("https://klasma.github.io/Logging_1430/tillsyn/A 5516-2020 tillsyn.docx", "A 5516-2020")</f>
        <v/>
      </c>
      <c r="Y103">
        <f>HYPERLINK("https://klasma.github.io/Logging_1430/tillsynsmail/A 5516-2020 tillsynsmail.docx", "A 5516-2020")</f>
        <v/>
      </c>
    </row>
    <row r="104" ht="15" customHeight="1">
      <c r="A104" t="inlineStr">
        <is>
          <t>A 5490-2020</t>
        </is>
      </c>
      <c r="B104" s="1" t="n">
        <v>43858</v>
      </c>
      <c r="C104" s="1" t="n">
        <v>45212</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5490-2020 artfynd.xlsx", "A 5490-2020")</f>
        <v/>
      </c>
      <c r="T104">
        <f>HYPERLINK("https://klasma.github.io/Logging_1430/karta/A 5490-2020 karta.png", "A 5490-2020")</f>
        <v/>
      </c>
      <c r="V104">
        <f>HYPERLINK("https://klasma.github.io/Logging_1430/klagomål/A 5490-2020 klagomål.docx", "A 5490-2020")</f>
        <v/>
      </c>
      <c r="W104">
        <f>HYPERLINK("https://klasma.github.io/Logging_1430/klagomålsmail/A 5490-2020 klagomålsmail.docx", "A 5490-2020")</f>
        <v/>
      </c>
      <c r="X104">
        <f>HYPERLINK("https://klasma.github.io/Logging_1430/tillsyn/A 5490-2020 tillsyn.docx", "A 5490-2020")</f>
        <v/>
      </c>
      <c r="Y104">
        <f>HYPERLINK("https://klasma.github.io/Logging_1430/tillsynsmail/A 5490-2020 tillsynsmail.docx", "A 5490-2020")</f>
        <v/>
      </c>
    </row>
    <row r="105" ht="15" customHeight="1">
      <c r="A105" t="inlineStr">
        <is>
          <t>A 5620-2020</t>
        </is>
      </c>
      <c r="B105" s="1" t="n">
        <v>43861</v>
      </c>
      <c r="C105" s="1" t="n">
        <v>45212</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HYPERLINK("https://klasma.github.io/Logging_1488/artfynd/A 5620-2020 artfynd.xlsx", "A 5620-2020")</f>
        <v/>
      </c>
      <c r="T105">
        <f>HYPERLINK("https://klasma.github.io/Logging_1488/karta/A 5620-2020 karta.png", "A 5620-2020")</f>
        <v/>
      </c>
      <c r="V105">
        <f>HYPERLINK("https://klasma.github.io/Logging_1488/klagomål/A 5620-2020 klagomål.docx", "A 5620-2020")</f>
        <v/>
      </c>
      <c r="W105">
        <f>HYPERLINK("https://klasma.github.io/Logging_1488/klagomålsmail/A 5620-2020 klagomålsmail.docx", "A 5620-2020")</f>
        <v/>
      </c>
      <c r="X105">
        <f>HYPERLINK("https://klasma.github.io/Logging_1488/tillsyn/A 5620-2020 tillsyn.docx", "A 5620-2020")</f>
        <v/>
      </c>
      <c r="Y105">
        <f>HYPERLINK("https://klasma.github.io/Logging_1488/tillsynsmail/A 5620-2020 tillsynsmail.docx", "A 5620-2020")</f>
        <v/>
      </c>
    </row>
    <row r="106" ht="15" customHeight="1">
      <c r="A106" t="inlineStr">
        <is>
          <t>A 13029-2020</t>
        </is>
      </c>
      <c r="B106" s="1" t="n">
        <v>43900</v>
      </c>
      <c r="C106" s="1" t="n">
        <v>45212</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HYPERLINK("https://klasma.github.io/Logging_1440/artfynd/A 13029-2020 artfynd.xlsx", "A 13029-2020")</f>
        <v/>
      </c>
      <c r="T106">
        <f>HYPERLINK("https://klasma.github.io/Logging_1440/karta/A 13029-2020 karta.png", "A 13029-2020")</f>
        <v/>
      </c>
      <c r="V106">
        <f>HYPERLINK("https://klasma.github.io/Logging_1440/klagomål/A 13029-2020 klagomål.docx", "A 13029-2020")</f>
        <v/>
      </c>
      <c r="W106">
        <f>HYPERLINK("https://klasma.github.io/Logging_1440/klagomålsmail/A 13029-2020 klagomålsmail.docx", "A 13029-2020")</f>
        <v/>
      </c>
      <c r="X106">
        <f>HYPERLINK("https://klasma.github.io/Logging_1440/tillsyn/A 13029-2020 tillsyn.docx", "A 13029-2020")</f>
        <v/>
      </c>
      <c r="Y106">
        <f>HYPERLINK("https://klasma.github.io/Logging_1440/tillsynsmail/A 13029-2020 tillsynsmail.docx", "A 13029-2020")</f>
        <v/>
      </c>
    </row>
    <row r="107" ht="15" customHeight="1">
      <c r="A107" t="inlineStr">
        <is>
          <t>A 17382-2020</t>
        </is>
      </c>
      <c r="B107" s="1" t="n">
        <v>43923</v>
      </c>
      <c r="C107" s="1" t="n">
        <v>45212</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HYPERLINK("https://klasma.github.io/Logging_1463/artfynd/A 17382-2020 artfynd.xlsx", "A 17382-2020")</f>
        <v/>
      </c>
      <c r="T107">
        <f>HYPERLINK("https://klasma.github.io/Logging_1463/karta/A 17382-2020 karta.png", "A 17382-2020")</f>
        <v/>
      </c>
      <c r="V107">
        <f>HYPERLINK("https://klasma.github.io/Logging_1463/klagomål/A 17382-2020 klagomål.docx", "A 17382-2020")</f>
        <v/>
      </c>
      <c r="W107">
        <f>HYPERLINK("https://klasma.github.io/Logging_1463/klagomålsmail/A 17382-2020 klagomålsmail.docx", "A 17382-2020")</f>
        <v/>
      </c>
      <c r="X107">
        <f>HYPERLINK("https://klasma.github.io/Logging_1463/tillsyn/A 17382-2020 tillsyn.docx", "A 17382-2020")</f>
        <v/>
      </c>
      <c r="Y107">
        <f>HYPERLINK("https://klasma.github.io/Logging_1463/tillsynsmail/A 17382-2020 tillsynsmail.docx", "A 17382-2020")</f>
        <v/>
      </c>
    </row>
    <row r="108" ht="15" customHeight="1">
      <c r="A108" t="inlineStr">
        <is>
          <t>A 36315-2020</t>
        </is>
      </c>
      <c r="B108" s="1" t="n">
        <v>44049</v>
      </c>
      <c r="C108" s="1" t="n">
        <v>45212</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HYPERLINK("https://klasma.github.io/Logging_1415/artfynd/A 36315-2020 artfynd.xlsx", "A 36315-2020")</f>
        <v/>
      </c>
      <c r="T108">
        <f>HYPERLINK("https://klasma.github.io/Logging_1415/karta/A 36315-2020 karta.png", "A 36315-2020")</f>
        <v/>
      </c>
      <c r="V108">
        <f>HYPERLINK("https://klasma.github.io/Logging_1415/klagomål/A 36315-2020 klagomål.docx", "A 36315-2020")</f>
        <v/>
      </c>
      <c r="W108">
        <f>HYPERLINK("https://klasma.github.io/Logging_1415/klagomålsmail/A 36315-2020 klagomålsmail.docx", "A 36315-2020")</f>
        <v/>
      </c>
      <c r="X108">
        <f>HYPERLINK("https://klasma.github.io/Logging_1415/tillsyn/A 36315-2020 tillsyn.docx", "A 36315-2020")</f>
        <v/>
      </c>
      <c r="Y108">
        <f>HYPERLINK("https://klasma.github.io/Logging_1415/tillsynsmail/A 36315-2020 tillsynsmail.docx", "A 36315-2020")</f>
        <v/>
      </c>
    </row>
    <row r="109" ht="15" customHeight="1">
      <c r="A109" t="inlineStr">
        <is>
          <t>A 39025-2020</t>
        </is>
      </c>
      <c r="B109" s="1" t="n">
        <v>44062</v>
      </c>
      <c r="C109" s="1" t="n">
        <v>45212</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HYPERLINK("https://klasma.github.io/Logging_1485/artfynd/A 39025-2020 artfynd.xlsx", "A 39025-2020")</f>
        <v/>
      </c>
      <c r="T109">
        <f>HYPERLINK("https://klasma.github.io/Logging_1485/karta/A 39025-2020 karta.png", "A 39025-2020")</f>
        <v/>
      </c>
      <c r="V109">
        <f>HYPERLINK("https://klasma.github.io/Logging_1485/klagomål/A 39025-2020 klagomål.docx", "A 39025-2020")</f>
        <v/>
      </c>
      <c r="W109">
        <f>HYPERLINK("https://klasma.github.io/Logging_1485/klagomålsmail/A 39025-2020 klagomålsmail.docx", "A 39025-2020")</f>
        <v/>
      </c>
      <c r="X109">
        <f>HYPERLINK("https://klasma.github.io/Logging_1485/tillsyn/A 39025-2020 tillsyn.docx", "A 39025-2020")</f>
        <v/>
      </c>
      <c r="Y109">
        <f>HYPERLINK("https://klasma.github.io/Logging_1485/tillsynsmail/A 39025-2020 tillsynsmail.docx", "A 39025-2020")</f>
        <v/>
      </c>
    </row>
    <row r="110" ht="15" customHeight="1">
      <c r="A110" t="inlineStr">
        <is>
          <t>A 57107-2020</t>
        </is>
      </c>
      <c r="B110" s="1" t="n">
        <v>44139</v>
      </c>
      <c r="C110" s="1" t="n">
        <v>45212</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HYPERLINK("https://klasma.github.io/Logging_1486/artfynd/A 57107-2020 artfynd.xlsx", "A 57107-2020")</f>
        <v/>
      </c>
      <c r="T110">
        <f>HYPERLINK("https://klasma.github.io/Logging_1486/karta/A 57107-2020 karta.png", "A 57107-2020")</f>
        <v/>
      </c>
      <c r="V110">
        <f>HYPERLINK("https://klasma.github.io/Logging_1486/klagomål/A 57107-2020 klagomål.docx", "A 57107-2020")</f>
        <v/>
      </c>
      <c r="W110">
        <f>HYPERLINK("https://klasma.github.io/Logging_1486/klagomålsmail/A 57107-2020 klagomålsmail.docx", "A 57107-2020")</f>
        <v/>
      </c>
      <c r="X110">
        <f>HYPERLINK("https://klasma.github.io/Logging_1486/tillsyn/A 57107-2020 tillsyn.docx", "A 57107-2020")</f>
        <v/>
      </c>
      <c r="Y110">
        <f>HYPERLINK("https://klasma.github.io/Logging_1486/tillsynsmail/A 57107-2020 tillsynsmail.docx", "A 57107-2020")</f>
        <v/>
      </c>
    </row>
    <row r="111" ht="15" customHeight="1">
      <c r="A111" t="inlineStr">
        <is>
          <t>A 58801-2020</t>
        </is>
      </c>
      <c r="B111" s="1" t="n">
        <v>44146</v>
      </c>
      <c r="C111" s="1" t="n">
        <v>45212</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HYPERLINK("https://klasma.github.io/Logging_1480/artfynd/A 58801-2020 artfynd.xlsx", "A 58801-2020")</f>
        <v/>
      </c>
      <c r="T111">
        <f>HYPERLINK("https://klasma.github.io/Logging_1480/karta/A 58801-2020 karta.png", "A 58801-2020")</f>
        <v/>
      </c>
      <c r="V111">
        <f>HYPERLINK("https://klasma.github.io/Logging_1480/klagomål/A 58801-2020 klagomål.docx", "A 58801-2020")</f>
        <v/>
      </c>
      <c r="W111">
        <f>HYPERLINK("https://klasma.github.io/Logging_1480/klagomålsmail/A 58801-2020 klagomålsmail.docx", "A 58801-2020")</f>
        <v/>
      </c>
      <c r="X111">
        <f>HYPERLINK("https://klasma.github.io/Logging_1480/tillsyn/A 58801-2020 tillsyn.docx", "A 58801-2020")</f>
        <v/>
      </c>
      <c r="Y111">
        <f>HYPERLINK("https://klasma.github.io/Logging_1480/tillsynsmail/A 58801-2020 tillsynsmail.docx", "A 58801-2020")</f>
        <v/>
      </c>
    </row>
    <row r="112" ht="15" customHeight="1">
      <c r="A112" t="inlineStr">
        <is>
          <t>A 1383-2021</t>
        </is>
      </c>
      <c r="B112" s="1" t="n">
        <v>44208</v>
      </c>
      <c r="C112" s="1" t="n">
        <v>45212</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HYPERLINK("https://klasma.github.io/Logging_1461/artfynd/A 1383-2021 artfynd.xlsx", "A 1383-2021")</f>
        <v/>
      </c>
      <c r="T112">
        <f>HYPERLINK("https://klasma.github.io/Logging_1461/karta/A 1383-2021 karta.png", "A 1383-2021")</f>
        <v/>
      </c>
      <c r="V112">
        <f>HYPERLINK("https://klasma.github.io/Logging_1461/klagomål/A 1383-2021 klagomål.docx", "A 1383-2021")</f>
        <v/>
      </c>
      <c r="W112">
        <f>HYPERLINK("https://klasma.github.io/Logging_1461/klagomålsmail/A 1383-2021 klagomålsmail.docx", "A 1383-2021")</f>
        <v/>
      </c>
      <c r="X112">
        <f>HYPERLINK("https://klasma.github.io/Logging_1461/tillsyn/A 1383-2021 tillsyn.docx", "A 1383-2021")</f>
        <v/>
      </c>
      <c r="Y112">
        <f>HYPERLINK("https://klasma.github.io/Logging_1461/tillsynsmail/A 1383-2021 tillsynsmail.docx", "A 1383-2021")</f>
        <v/>
      </c>
    </row>
    <row r="113" ht="15" customHeight="1">
      <c r="A113" t="inlineStr">
        <is>
          <t>A 12626-2021</t>
        </is>
      </c>
      <c r="B113" s="1" t="n">
        <v>44270</v>
      </c>
      <c r="C113" s="1" t="n">
        <v>45212</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HYPERLINK("https://klasma.github.io/Logging_1487/artfynd/A 12626-2021 artfynd.xlsx", "A 12626-2021")</f>
        <v/>
      </c>
      <c r="T113">
        <f>HYPERLINK("https://klasma.github.io/Logging_1487/karta/A 12626-2021 karta.png", "A 12626-2021")</f>
        <v/>
      </c>
      <c r="V113">
        <f>HYPERLINK("https://klasma.github.io/Logging_1487/klagomål/A 12626-2021 klagomål.docx", "A 12626-2021")</f>
        <v/>
      </c>
      <c r="W113">
        <f>HYPERLINK("https://klasma.github.io/Logging_1487/klagomålsmail/A 12626-2021 klagomålsmail.docx", "A 12626-2021")</f>
        <v/>
      </c>
      <c r="X113">
        <f>HYPERLINK("https://klasma.github.io/Logging_1487/tillsyn/A 12626-2021 tillsyn.docx", "A 12626-2021")</f>
        <v/>
      </c>
      <c r="Y113">
        <f>HYPERLINK("https://klasma.github.io/Logging_1487/tillsynsmail/A 12626-2021 tillsynsmail.docx", "A 12626-2021")</f>
        <v/>
      </c>
    </row>
    <row r="114" ht="15" customHeight="1">
      <c r="A114" t="inlineStr">
        <is>
          <t>A 20145-2021</t>
        </is>
      </c>
      <c r="B114" s="1" t="n">
        <v>44314</v>
      </c>
      <c r="C114" s="1" t="n">
        <v>45212</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HYPERLINK("https://klasma.github.io/Logging_1490/artfynd/A 20145-2021 artfynd.xlsx", "A 20145-2021")</f>
        <v/>
      </c>
      <c r="T114">
        <f>HYPERLINK("https://klasma.github.io/Logging_1490/karta/A 20145-2021 karta.png", "A 20145-2021")</f>
        <v/>
      </c>
      <c r="V114">
        <f>HYPERLINK("https://klasma.github.io/Logging_1490/klagomål/A 20145-2021 klagomål.docx", "A 20145-2021")</f>
        <v/>
      </c>
      <c r="W114">
        <f>HYPERLINK("https://klasma.github.io/Logging_1490/klagomålsmail/A 20145-2021 klagomålsmail.docx", "A 20145-2021")</f>
        <v/>
      </c>
      <c r="X114">
        <f>HYPERLINK("https://klasma.github.io/Logging_1490/tillsyn/A 20145-2021 tillsyn.docx", "A 20145-2021")</f>
        <v/>
      </c>
      <c r="Y114">
        <f>HYPERLINK("https://klasma.github.io/Logging_1490/tillsynsmail/A 20145-2021 tillsynsmail.docx", "A 20145-2021")</f>
        <v/>
      </c>
    </row>
    <row r="115" ht="15" customHeight="1">
      <c r="A115" t="inlineStr">
        <is>
          <t>A 35302-2021</t>
        </is>
      </c>
      <c r="B115" s="1" t="n">
        <v>44384</v>
      </c>
      <c r="C115" s="1" t="n">
        <v>45212</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HYPERLINK("https://klasma.github.io/Logging_1444/artfynd/A 35302-2021 artfynd.xlsx", "A 35302-2021")</f>
        <v/>
      </c>
      <c r="T115">
        <f>HYPERLINK("https://klasma.github.io/Logging_1444/karta/A 35302-2021 karta.png", "A 35302-2021")</f>
        <v/>
      </c>
      <c r="V115">
        <f>HYPERLINK("https://klasma.github.io/Logging_1444/klagomål/A 35302-2021 klagomål.docx", "A 35302-2021")</f>
        <v/>
      </c>
      <c r="W115">
        <f>HYPERLINK("https://klasma.github.io/Logging_1444/klagomålsmail/A 35302-2021 klagomålsmail.docx", "A 35302-2021")</f>
        <v/>
      </c>
      <c r="X115">
        <f>HYPERLINK("https://klasma.github.io/Logging_1444/tillsyn/A 35302-2021 tillsyn.docx", "A 35302-2021")</f>
        <v/>
      </c>
      <c r="Y115">
        <f>HYPERLINK("https://klasma.github.io/Logging_1444/tillsynsmail/A 35302-2021 tillsynsmail.docx", "A 35302-2021")</f>
        <v/>
      </c>
    </row>
    <row r="116" ht="15" customHeight="1">
      <c r="A116" t="inlineStr">
        <is>
          <t>A 42644-2021</t>
        </is>
      </c>
      <c r="B116" s="1" t="n">
        <v>44428</v>
      </c>
      <c r="C116" s="1" t="n">
        <v>45212</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HYPERLINK("https://klasma.github.io/Logging_1463/artfynd/A 42644-2021 artfynd.xlsx", "A 42644-2021")</f>
        <v/>
      </c>
      <c r="T116">
        <f>HYPERLINK("https://klasma.github.io/Logging_1463/karta/A 42644-2021 karta.png", "A 42644-2021")</f>
        <v/>
      </c>
      <c r="V116">
        <f>HYPERLINK("https://klasma.github.io/Logging_1463/klagomål/A 42644-2021 klagomål.docx", "A 42644-2021")</f>
        <v/>
      </c>
      <c r="W116">
        <f>HYPERLINK("https://klasma.github.io/Logging_1463/klagomålsmail/A 42644-2021 klagomålsmail.docx", "A 42644-2021")</f>
        <v/>
      </c>
      <c r="X116">
        <f>HYPERLINK("https://klasma.github.io/Logging_1463/tillsyn/A 42644-2021 tillsyn.docx", "A 42644-2021")</f>
        <v/>
      </c>
      <c r="Y116">
        <f>HYPERLINK("https://klasma.github.io/Logging_1463/tillsynsmail/A 42644-2021 tillsynsmail.docx", "A 42644-2021")</f>
        <v/>
      </c>
    </row>
    <row r="117" ht="15" customHeight="1">
      <c r="A117" t="inlineStr">
        <is>
          <t>A 54706-2021</t>
        </is>
      </c>
      <c r="B117" s="1" t="n">
        <v>44473</v>
      </c>
      <c r="C117" s="1" t="n">
        <v>45212</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HYPERLINK("https://klasma.github.io/Logging_1493/artfynd/A 54706-2021 artfynd.xlsx", "A 54706-2021")</f>
        <v/>
      </c>
      <c r="T117">
        <f>HYPERLINK("https://klasma.github.io/Logging_1493/karta/A 54706-2021 karta.png", "A 54706-2021")</f>
        <v/>
      </c>
      <c r="V117">
        <f>HYPERLINK("https://klasma.github.io/Logging_1493/klagomål/A 54706-2021 klagomål.docx", "A 54706-2021")</f>
        <v/>
      </c>
      <c r="W117">
        <f>HYPERLINK("https://klasma.github.io/Logging_1493/klagomålsmail/A 54706-2021 klagomålsmail.docx", "A 54706-2021")</f>
        <v/>
      </c>
      <c r="X117">
        <f>HYPERLINK("https://klasma.github.io/Logging_1493/tillsyn/A 54706-2021 tillsyn.docx", "A 54706-2021")</f>
        <v/>
      </c>
      <c r="Y117">
        <f>HYPERLINK("https://klasma.github.io/Logging_1493/tillsynsmail/A 54706-2021 tillsynsmail.docx", "A 54706-2021")</f>
        <v/>
      </c>
    </row>
    <row r="118" ht="15" customHeight="1">
      <c r="A118" t="inlineStr">
        <is>
          <t>A 60176-2021</t>
        </is>
      </c>
      <c r="B118" s="1" t="n">
        <v>44495</v>
      </c>
      <c r="C118" s="1" t="n">
        <v>45212</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HYPERLINK("https://klasma.github.io/Logging_1496/artfynd/A 60176-2021 artfynd.xlsx", "A 60176-2021")</f>
        <v/>
      </c>
      <c r="T118">
        <f>HYPERLINK("https://klasma.github.io/Logging_1496/karta/A 60176-2021 karta.png", "A 60176-2021")</f>
        <v/>
      </c>
      <c r="V118">
        <f>HYPERLINK("https://klasma.github.io/Logging_1496/klagomål/A 60176-2021 klagomål.docx", "A 60176-2021")</f>
        <v/>
      </c>
      <c r="W118">
        <f>HYPERLINK("https://klasma.github.io/Logging_1496/klagomålsmail/A 60176-2021 klagomålsmail.docx", "A 60176-2021")</f>
        <v/>
      </c>
      <c r="X118">
        <f>HYPERLINK("https://klasma.github.io/Logging_1496/tillsyn/A 60176-2021 tillsyn.docx", "A 60176-2021")</f>
        <v/>
      </c>
      <c r="Y118">
        <f>HYPERLINK("https://klasma.github.io/Logging_1496/tillsynsmail/A 60176-2021 tillsynsmail.docx", "A 60176-2021")</f>
        <v/>
      </c>
    </row>
    <row r="119" ht="15" customHeight="1">
      <c r="A119" t="inlineStr">
        <is>
          <t>A 72588-2021</t>
        </is>
      </c>
      <c r="B119" s="1" t="n">
        <v>44546</v>
      </c>
      <c r="C119" s="1" t="n">
        <v>45212</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HYPERLINK("https://klasma.github.io/Logging_1421/artfynd/A 72588-2021 artfynd.xlsx", "A 72588-2021")</f>
        <v/>
      </c>
      <c r="T119">
        <f>HYPERLINK("https://klasma.github.io/Logging_1421/karta/A 72588-2021 karta.png", "A 72588-2021")</f>
        <v/>
      </c>
      <c r="U119">
        <f>HYPERLINK("https://klasma.github.io/Logging_1421/knärot/A 72588-2021 knärot.png", "A 72588-2021")</f>
        <v/>
      </c>
      <c r="V119">
        <f>HYPERLINK("https://klasma.github.io/Logging_1421/klagomål/A 72588-2021 klagomål.docx", "A 72588-2021")</f>
        <v/>
      </c>
      <c r="W119">
        <f>HYPERLINK("https://klasma.github.io/Logging_1421/klagomålsmail/A 72588-2021 klagomålsmail.docx", "A 72588-2021")</f>
        <v/>
      </c>
      <c r="X119">
        <f>HYPERLINK("https://klasma.github.io/Logging_1421/tillsyn/A 72588-2021 tillsyn.docx", "A 72588-2021")</f>
        <v/>
      </c>
      <c r="Y119">
        <f>HYPERLINK("https://klasma.github.io/Logging_1421/tillsynsmail/A 72588-2021 tillsynsmail.docx", "A 72588-2021")</f>
        <v/>
      </c>
    </row>
    <row r="120" ht="15" customHeight="1">
      <c r="A120" t="inlineStr">
        <is>
          <t>A 18152-2022</t>
        </is>
      </c>
      <c r="B120" s="1" t="n">
        <v>44684</v>
      </c>
      <c r="C120" s="1" t="n">
        <v>45212</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HYPERLINK("https://klasma.github.io/Logging_1487/artfynd/A 18152-2022 artfynd.xlsx", "A 18152-2022")</f>
        <v/>
      </c>
      <c r="T120">
        <f>HYPERLINK("https://klasma.github.io/Logging_1487/karta/A 18152-2022 karta.png", "A 18152-2022")</f>
        <v/>
      </c>
      <c r="V120">
        <f>HYPERLINK("https://klasma.github.io/Logging_1487/klagomål/A 18152-2022 klagomål.docx", "A 18152-2022")</f>
        <v/>
      </c>
      <c r="W120">
        <f>HYPERLINK("https://klasma.github.io/Logging_1487/klagomålsmail/A 18152-2022 klagomålsmail.docx", "A 18152-2022")</f>
        <v/>
      </c>
      <c r="X120">
        <f>HYPERLINK("https://klasma.github.io/Logging_1487/tillsyn/A 18152-2022 tillsyn.docx", "A 18152-2022")</f>
        <v/>
      </c>
      <c r="Y120">
        <f>HYPERLINK("https://klasma.github.io/Logging_1487/tillsynsmail/A 18152-2022 tillsynsmail.docx", "A 18152-2022")</f>
        <v/>
      </c>
    </row>
    <row r="121" ht="15" customHeight="1">
      <c r="A121" t="inlineStr">
        <is>
          <t>A 25441-2022</t>
        </is>
      </c>
      <c r="B121" s="1" t="n">
        <v>44732</v>
      </c>
      <c r="C121" s="1" t="n">
        <v>45212</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HYPERLINK("https://klasma.github.io/Logging_1401/artfynd/A 25441-2022 artfynd.xlsx", "A 25441-2022")</f>
        <v/>
      </c>
      <c r="T121">
        <f>HYPERLINK("https://klasma.github.io/Logging_1401/karta/A 25441-2022 karta.png", "A 25441-2022")</f>
        <v/>
      </c>
      <c r="V121">
        <f>HYPERLINK("https://klasma.github.io/Logging_1401/klagomål/A 25441-2022 klagomål.docx", "A 25441-2022")</f>
        <v/>
      </c>
      <c r="W121">
        <f>HYPERLINK("https://klasma.github.io/Logging_1401/klagomålsmail/A 25441-2022 klagomålsmail.docx", "A 25441-2022")</f>
        <v/>
      </c>
      <c r="X121">
        <f>HYPERLINK("https://klasma.github.io/Logging_1401/tillsyn/A 25441-2022 tillsyn.docx", "A 25441-2022")</f>
        <v/>
      </c>
      <c r="Y121">
        <f>HYPERLINK("https://klasma.github.io/Logging_1401/tillsynsmail/A 25441-2022 tillsynsmail.docx", "A 25441-2022")</f>
        <v/>
      </c>
    </row>
    <row r="122" ht="15" customHeight="1">
      <c r="A122" t="inlineStr">
        <is>
          <t>A 36627-2022</t>
        </is>
      </c>
      <c r="B122" s="1" t="n">
        <v>44804</v>
      </c>
      <c r="C122" s="1" t="n">
        <v>45212</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HYPERLINK("https://klasma.github.io/Logging_1496/artfynd/A 36627-2022 artfynd.xlsx", "A 36627-2022")</f>
        <v/>
      </c>
      <c r="T122">
        <f>HYPERLINK("https://klasma.github.io/Logging_1496/karta/A 36627-2022 karta.png", "A 36627-2022")</f>
        <v/>
      </c>
      <c r="V122">
        <f>HYPERLINK("https://klasma.github.io/Logging_1496/klagomål/A 36627-2022 klagomål.docx", "A 36627-2022")</f>
        <v/>
      </c>
      <c r="W122">
        <f>HYPERLINK("https://klasma.github.io/Logging_1496/klagomålsmail/A 36627-2022 klagomålsmail.docx", "A 36627-2022")</f>
        <v/>
      </c>
      <c r="X122">
        <f>HYPERLINK("https://klasma.github.io/Logging_1496/tillsyn/A 36627-2022 tillsyn.docx", "A 36627-2022")</f>
        <v/>
      </c>
      <c r="Y122">
        <f>HYPERLINK("https://klasma.github.io/Logging_1496/tillsynsmail/A 36627-2022 tillsynsmail.docx", "A 36627-2022")</f>
        <v/>
      </c>
    </row>
    <row r="123" ht="15" customHeight="1">
      <c r="A123" t="inlineStr">
        <is>
          <t>A 41152-2022</t>
        </is>
      </c>
      <c r="B123" s="1" t="n">
        <v>44825</v>
      </c>
      <c r="C123" s="1" t="n">
        <v>45212</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HYPERLINK("https://klasma.github.io/Logging_1438/artfynd/A 41152-2022 artfynd.xlsx", "A 41152-2022")</f>
        <v/>
      </c>
      <c r="T123">
        <f>HYPERLINK("https://klasma.github.io/Logging_1438/karta/A 41152-2022 karta.png", "A 41152-2022")</f>
        <v/>
      </c>
      <c r="V123">
        <f>HYPERLINK("https://klasma.github.io/Logging_1438/klagomål/A 41152-2022 klagomål.docx", "A 41152-2022")</f>
        <v/>
      </c>
      <c r="W123">
        <f>HYPERLINK("https://klasma.github.io/Logging_1438/klagomålsmail/A 41152-2022 klagomålsmail.docx", "A 41152-2022")</f>
        <v/>
      </c>
      <c r="X123">
        <f>HYPERLINK("https://klasma.github.io/Logging_1438/tillsyn/A 41152-2022 tillsyn.docx", "A 41152-2022")</f>
        <v/>
      </c>
      <c r="Y123">
        <f>HYPERLINK("https://klasma.github.io/Logging_1438/tillsynsmail/A 41152-2022 tillsynsmail.docx", "A 41152-2022")</f>
        <v/>
      </c>
    </row>
    <row r="124" ht="15" customHeight="1">
      <c r="A124" t="inlineStr">
        <is>
          <t>A 43911-2022</t>
        </is>
      </c>
      <c r="B124" s="1" t="n">
        <v>44838</v>
      </c>
      <c r="C124" s="1" t="n">
        <v>45212</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HYPERLINK("https://klasma.github.io/Logging_1465/artfynd/A 43911-2022 artfynd.xlsx", "A 43911-2022")</f>
        <v/>
      </c>
      <c r="T124">
        <f>HYPERLINK("https://klasma.github.io/Logging_1465/karta/A 43911-2022 karta.png", "A 43911-2022")</f>
        <v/>
      </c>
      <c r="V124">
        <f>HYPERLINK("https://klasma.github.io/Logging_1465/klagomål/A 43911-2022 klagomål.docx", "A 43911-2022")</f>
        <v/>
      </c>
      <c r="W124">
        <f>HYPERLINK("https://klasma.github.io/Logging_1465/klagomålsmail/A 43911-2022 klagomålsmail.docx", "A 43911-2022")</f>
        <v/>
      </c>
      <c r="X124">
        <f>HYPERLINK("https://klasma.github.io/Logging_1465/tillsyn/A 43911-2022 tillsyn.docx", "A 43911-2022")</f>
        <v/>
      </c>
      <c r="Y124">
        <f>HYPERLINK("https://klasma.github.io/Logging_1465/tillsynsmail/A 43911-2022 tillsynsmail.docx", "A 43911-2022")</f>
        <v/>
      </c>
    </row>
    <row r="125" ht="15" customHeight="1">
      <c r="A125" t="inlineStr">
        <is>
          <t>A 47947-2022</t>
        </is>
      </c>
      <c r="B125" s="1" t="n">
        <v>44855</v>
      </c>
      <c r="C125" s="1" t="n">
        <v>45212</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HYPERLINK("https://klasma.github.io/Logging_1489/artfynd/A 47947-2022 artfynd.xlsx", "A 47947-2022")</f>
        <v/>
      </c>
      <c r="T125">
        <f>HYPERLINK("https://klasma.github.io/Logging_1489/karta/A 47947-2022 karta.png", "A 47947-2022")</f>
        <v/>
      </c>
      <c r="V125">
        <f>HYPERLINK("https://klasma.github.io/Logging_1489/klagomål/A 47947-2022 klagomål.docx", "A 47947-2022")</f>
        <v/>
      </c>
      <c r="W125">
        <f>HYPERLINK("https://klasma.github.io/Logging_1489/klagomålsmail/A 47947-2022 klagomålsmail.docx", "A 47947-2022")</f>
        <v/>
      </c>
      <c r="X125">
        <f>HYPERLINK("https://klasma.github.io/Logging_1489/tillsyn/A 47947-2022 tillsyn.docx", "A 47947-2022")</f>
        <v/>
      </c>
      <c r="Y125">
        <f>HYPERLINK("https://klasma.github.io/Logging_1489/tillsynsmail/A 47947-2022 tillsynsmail.docx", "A 47947-2022")</f>
        <v/>
      </c>
    </row>
    <row r="126" ht="15" customHeight="1">
      <c r="A126" t="inlineStr">
        <is>
          <t>A 51852-2022</t>
        </is>
      </c>
      <c r="B126" s="1" t="n">
        <v>44872</v>
      </c>
      <c r="C126" s="1" t="n">
        <v>45212</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HYPERLINK("https://klasma.github.io/Logging_1452/artfynd/A 51852-2022 artfynd.xlsx", "A 51852-2022")</f>
        <v/>
      </c>
      <c r="T126">
        <f>HYPERLINK("https://klasma.github.io/Logging_1452/karta/A 51852-2022 karta.png", "A 51852-2022")</f>
        <v/>
      </c>
      <c r="V126">
        <f>HYPERLINK("https://klasma.github.io/Logging_1452/klagomål/A 51852-2022 klagomål.docx", "A 51852-2022")</f>
        <v/>
      </c>
      <c r="W126">
        <f>HYPERLINK("https://klasma.github.io/Logging_1452/klagomålsmail/A 51852-2022 klagomålsmail.docx", "A 51852-2022")</f>
        <v/>
      </c>
      <c r="X126">
        <f>HYPERLINK("https://klasma.github.io/Logging_1452/tillsyn/A 51852-2022 tillsyn.docx", "A 51852-2022")</f>
        <v/>
      </c>
      <c r="Y126">
        <f>HYPERLINK("https://klasma.github.io/Logging_1452/tillsynsmail/A 51852-2022 tillsynsmail.docx", "A 51852-2022")</f>
        <v/>
      </c>
    </row>
    <row r="127" ht="15" customHeight="1">
      <c r="A127" t="inlineStr">
        <is>
          <t>A 56381-2022</t>
        </is>
      </c>
      <c r="B127" s="1" t="n">
        <v>44890</v>
      </c>
      <c r="C127" s="1" t="n">
        <v>45212</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HYPERLINK("https://klasma.github.io/Logging_1499/artfynd/A 56381-2022 artfynd.xlsx", "A 56381-2022")</f>
        <v/>
      </c>
      <c r="T127">
        <f>HYPERLINK("https://klasma.github.io/Logging_1499/karta/A 56381-2022 karta.png", "A 56381-2022")</f>
        <v/>
      </c>
      <c r="V127">
        <f>HYPERLINK("https://klasma.github.io/Logging_1499/klagomål/A 56381-2022 klagomål.docx", "A 56381-2022")</f>
        <v/>
      </c>
      <c r="W127">
        <f>HYPERLINK("https://klasma.github.io/Logging_1499/klagomålsmail/A 56381-2022 klagomålsmail.docx", "A 56381-2022")</f>
        <v/>
      </c>
      <c r="X127">
        <f>HYPERLINK("https://klasma.github.io/Logging_1499/tillsyn/A 56381-2022 tillsyn.docx", "A 56381-2022")</f>
        <v/>
      </c>
      <c r="Y127">
        <f>HYPERLINK("https://klasma.github.io/Logging_1499/tillsynsmail/A 56381-2022 tillsynsmail.docx", "A 56381-2022")</f>
        <v/>
      </c>
    </row>
    <row r="128" ht="15" customHeight="1">
      <c r="A128" t="inlineStr">
        <is>
          <t>A 62104-2022</t>
        </is>
      </c>
      <c r="B128" s="1" t="n">
        <v>44920</v>
      </c>
      <c r="C128" s="1" t="n">
        <v>45212</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HYPERLINK("https://klasma.github.io/Logging_1430/artfynd/A 62104-2022 artfynd.xlsx", "A 62104-2022")</f>
        <v/>
      </c>
      <c r="T128">
        <f>HYPERLINK("https://klasma.github.io/Logging_1430/karta/A 62104-2022 karta.png", "A 62104-2022")</f>
        <v/>
      </c>
      <c r="V128">
        <f>HYPERLINK("https://klasma.github.io/Logging_1430/klagomål/A 62104-2022 klagomål.docx", "A 62104-2022")</f>
        <v/>
      </c>
      <c r="W128">
        <f>HYPERLINK("https://klasma.github.io/Logging_1430/klagomålsmail/A 62104-2022 klagomålsmail.docx", "A 62104-2022")</f>
        <v/>
      </c>
      <c r="X128">
        <f>HYPERLINK("https://klasma.github.io/Logging_1430/tillsyn/A 62104-2022 tillsyn.docx", "A 62104-2022")</f>
        <v/>
      </c>
      <c r="Y128">
        <f>HYPERLINK("https://klasma.github.io/Logging_1430/tillsynsmail/A 62104-2022 tillsynsmail.docx", "A 62104-2022")</f>
        <v/>
      </c>
    </row>
    <row r="129" ht="15" customHeight="1">
      <c r="A129" t="inlineStr">
        <is>
          <t>A 14805-2023</t>
        </is>
      </c>
      <c r="B129" s="1" t="n">
        <v>45014</v>
      </c>
      <c r="C129" s="1" t="n">
        <v>45212</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HYPERLINK("https://klasma.github.io/Logging_1421/artfynd/A 14805-2023 artfynd.xlsx", "A 14805-2023")</f>
        <v/>
      </c>
      <c r="T129">
        <f>HYPERLINK("https://klasma.github.io/Logging_1421/karta/A 14805-2023 karta.png", "A 14805-2023")</f>
        <v/>
      </c>
      <c r="U129">
        <f>HYPERLINK("https://klasma.github.io/Logging_1421/knärot/A 14805-2023 knärot.png", "A 14805-2023")</f>
        <v/>
      </c>
      <c r="V129">
        <f>HYPERLINK("https://klasma.github.io/Logging_1421/klagomål/A 14805-2023 klagomål.docx", "A 14805-2023")</f>
        <v/>
      </c>
      <c r="W129">
        <f>HYPERLINK("https://klasma.github.io/Logging_1421/klagomålsmail/A 14805-2023 klagomålsmail.docx", "A 14805-2023")</f>
        <v/>
      </c>
      <c r="X129">
        <f>HYPERLINK("https://klasma.github.io/Logging_1421/tillsyn/A 14805-2023 tillsyn.docx", "A 14805-2023")</f>
        <v/>
      </c>
      <c r="Y129">
        <f>HYPERLINK("https://klasma.github.io/Logging_1421/tillsynsmail/A 14805-2023 tillsynsmail.docx", "A 14805-2023")</f>
        <v/>
      </c>
    </row>
    <row r="130" ht="15" customHeight="1">
      <c r="A130" t="inlineStr">
        <is>
          <t>A 29908-2023</t>
        </is>
      </c>
      <c r="B130" s="1" t="n">
        <v>45099</v>
      </c>
      <c r="C130" s="1" t="n">
        <v>45212</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HYPERLINK("https://klasma.github.io/Logging_1490/artfynd/A 29908-2023 artfynd.xlsx", "A 29908-2023")</f>
        <v/>
      </c>
      <c r="T130">
        <f>HYPERLINK("https://klasma.github.io/Logging_1490/karta/A 29908-2023 karta.png", "A 29908-2023")</f>
        <v/>
      </c>
      <c r="V130">
        <f>HYPERLINK("https://klasma.github.io/Logging_1490/klagomål/A 29908-2023 klagomål.docx", "A 29908-2023")</f>
        <v/>
      </c>
      <c r="W130">
        <f>HYPERLINK("https://klasma.github.io/Logging_1490/klagomålsmail/A 29908-2023 klagomålsmail.docx", "A 29908-2023")</f>
        <v/>
      </c>
      <c r="X130">
        <f>HYPERLINK("https://klasma.github.io/Logging_1490/tillsyn/A 29908-2023 tillsyn.docx", "A 29908-2023")</f>
        <v/>
      </c>
      <c r="Y130">
        <f>HYPERLINK("https://klasma.github.io/Logging_1490/tillsynsmail/A 29908-2023 tillsynsmail.docx", "A 29908-2023")</f>
        <v/>
      </c>
    </row>
    <row r="131" ht="15" customHeight="1">
      <c r="A131" t="inlineStr">
        <is>
          <t>A 38501-2018</t>
        </is>
      </c>
      <c r="B131" s="1" t="n">
        <v>43339</v>
      </c>
      <c r="C131" s="1" t="n">
        <v>45212</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HYPERLINK("https://klasma.github.io/Logging_1452/artfynd/A 38501-2018 artfynd.xlsx", "A 38501-2018")</f>
        <v/>
      </c>
      <c r="T131">
        <f>HYPERLINK("https://klasma.github.io/Logging_1452/karta/A 38501-2018 karta.png", "A 38501-2018")</f>
        <v/>
      </c>
      <c r="V131">
        <f>HYPERLINK("https://klasma.github.io/Logging_1452/klagomål/A 38501-2018 klagomål.docx", "A 38501-2018")</f>
        <v/>
      </c>
      <c r="W131">
        <f>HYPERLINK("https://klasma.github.io/Logging_1452/klagomålsmail/A 38501-2018 klagomålsmail.docx", "A 38501-2018")</f>
        <v/>
      </c>
      <c r="X131">
        <f>HYPERLINK("https://klasma.github.io/Logging_1452/tillsyn/A 38501-2018 tillsyn.docx", "A 38501-2018")</f>
        <v/>
      </c>
      <c r="Y131">
        <f>HYPERLINK("https://klasma.github.io/Logging_1452/tillsynsmail/A 38501-2018 tillsynsmail.docx", "A 38501-2018")</f>
        <v/>
      </c>
    </row>
    <row r="132" ht="15" customHeight="1">
      <c r="A132" t="inlineStr">
        <is>
          <t>A 55448-2018</t>
        </is>
      </c>
      <c r="B132" s="1" t="n">
        <v>43397</v>
      </c>
      <c r="C132" s="1" t="n">
        <v>45212</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HYPERLINK("https://klasma.github.io/Logging_1482/artfynd/A 55448-2018 artfynd.xlsx", "A 55448-2018")</f>
        <v/>
      </c>
      <c r="T132">
        <f>HYPERLINK("https://klasma.github.io/Logging_1482/karta/A 55448-2018 karta.png", "A 55448-2018")</f>
        <v/>
      </c>
      <c r="V132">
        <f>HYPERLINK("https://klasma.github.io/Logging_1482/klagomål/A 55448-2018 klagomål.docx", "A 55448-2018")</f>
        <v/>
      </c>
      <c r="W132">
        <f>HYPERLINK("https://klasma.github.io/Logging_1482/klagomålsmail/A 55448-2018 klagomålsmail.docx", "A 55448-2018")</f>
        <v/>
      </c>
      <c r="X132">
        <f>HYPERLINK("https://klasma.github.io/Logging_1482/tillsyn/A 55448-2018 tillsyn.docx", "A 55448-2018")</f>
        <v/>
      </c>
      <c r="Y132">
        <f>HYPERLINK("https://klasma.github.io/Logging_1482/tillsynsmail/A 55448-2018 tillsynsmail.docx", "A 55448-2018")</f>
        <v/>
      </c>
    </row>
    <row r="133" ht="15" customHeight="1">
      <c r="A133" t="inlineStr">
        <is>
          <t>A 62597-2018</t>
        </is>
      </c>
      <c r="B133" s="1" t="n">
        <v>43426</v>
      </c>
      <c r="C133" s="1" t="n">
        <v>45212</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HYPERLINK("https://klasma.github.io/Logging_1415/artfynd/A 62597-2018 artfynd.xlsx", "A 62597-2018")</f>
        <v/>
      </c>
      <c r="T133">
        <f>HYPERLINK("https://klasma.github.io/Logging_1415/karta/A 62597-2018 karta.png", "A 62597-2018")</f>
        <v/>
      </c>
      <c r="V133">
        <f>HYPERLINK("https://klasma.github.io/Logging_1415/klagomål/A 62597-2018 klagomål.docx", "A 62597-2018")</f>
        <v/>
      </c>
      <c r="W133">
        <f>HYPERLINK("https://klasma.github.io/Logging_1415/klagomålsmail/A 62597-2018 klagomålsmail.docx", "A 62597-2018")</f>
        <v/>
      </c>
      <c r="X133">
        <f>HYPERLINK("https://klasma.github.io/Logging_1415/tillsyn/A 62597-2018 tillsyn.docx", "A 62597-2018")</f>
        <v/>
      </c>
      <c r="Y133">
        <f>HYPERLINK("https://klasma.github.io/Logging_1415/tillsynsmail/A 62597-2018 tillsynsmail.docx", "A 62597-2018")</f>
        <v/>
      </c>
    </row>
    <row r="134" ht="15" customHeight="1">
      <c r="A134" t="inlineStr">
        <is>
          <t>A 5968-2019</t>
        </is>
      </c>
      <c r="B134" s="1" t="n">
        <v>43493</v>
      </c>
      <c r="C134" s="1" t="n">
        <v>45212</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HYPERLINK("https://klasma.github.io/Logging_1421/artfynd/A 5968-2019 artfynd.xlsx", "A 5968-2019")</f>
        <v/>
      </c>
      <c r="T134">
        <f>HYPERLINK("https://klasma.github.io/Logging_1421/karta/A 5968-2019 karta.png", "A 5968-2019")</f>
        <v/>
      </c>
      <c r="U134">
        <f>HYPERLINK("https://klasma.github.io/Logging_1421/knärot/A 5968-2019 knärot.png", "A 5968-2019")</f>
        <v/>
      </c>
      <c r="V134">
        <f>HYPERLINK("https://klasma.github.io/Logging_1421/klagomål/A 5968-2019 klagomål.docx", "A 5968-2019")</f>
        <v/>
      </c>
      <c r="W134">
        <f>HYPERLINK("https://klasma.github.io/Logging_1421/klagomålsmail/A 5968-2019 klagomålsmail.docx", "A 5968-2019")</f>
        <v/>
      </c>
      <c r="X134">
        <f>HYPERLINK("https://klasma.github.io/Logging_1421/tillsyn/A 5968-2019 tillsyn.docx", "A 5968-2019")</f>
        <v/>
      </c>
      <c r="Y134">
        <f>HYPERLINK("https://klasma.github.io/Logging_1421/tillsynsmail/A 5968-2019 tillsynsmail.docx", "A 5968-2019")</f>
        <v/>
      </c>
    </row>
    <row r="135" ht="15" customHeight="1">
      <c r="A135" t="inlineStr">
        <is>
          <t>A 10583-2019</t>
        </is>
      </c>
      <c r="B135" s="1" t="n">
        <v>43514</v>
      </c>
      <c r="C135" s="1" t="n">
        <v>45212</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HYPERLINK("https://klasma.github.io/Logging_1421/artfynd/A 10583-2019 artfynd.xlsx", "A 10583-2019")</f>
        <v/>
      </c>
      <c r="T135">
        <f>HYPERLINK("https://klasma.github.io/Logging_1421/karta/A 10583-2019 karta.png", "A 10583-2019")</f>
        <v/>
      </c>
      <c r="V135">
        <f>HYPERLINK("https://klasma.github.io/Logging_1421/klagomål/A 10583-2019 klagomål.docx", "A 10583-2019")</f>
        <v/>
      </c>
      <c r="W135">
        <f>HYPERLINK("https://klasma.github.io/Logging_1421/klagomålsmail/A 10583-2019 klagomålsmail.docx", "A 10583-2019")</f>
        <v/>
      </c>
      <c r="X135">
        <f>HYPERLINK("https://klasma.github.io/Logging_1421/tillsyn/A 10583-2019 tillsyn.docx", "A 10583-2019")</f>
        <v/>
      </c>
      <c r="Y135">
        <f>HYPERLINK("https://klasma.github.io/Logging_1421/tillsynsmail/A 10583-2019 tillsynsmail.docx", "A 10583-2019")</f>
        <v/>
      </c>
    </row>
    <row r="136" ht="15" customHeight="1">
      <c r="A136" t="inlineStr">
        <is>
          <t>A 10931-2019</t>
        </is>
      </c>
      <c r="B136" s="1" t="n">
        <v>43515</v>
      </c>
      <c r="C136" s="1" t="n">
        <v>45212</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HYPERLINK("https://klasma.github.io/Logging_1452/artfynd/A 10931-2019 artfynd.xlsx", "A 10931-2019")</f>
        <v/>
      </c>
      <c r="T136">
        <f>HYPERLINK("https://klasma.github.io/Logging_1452/karta/A 10931-2019 karta.png", "A 10931-2019")</f>
        <v/>
      </c>
      <c r="V136">
        <f>HYPERLINK("https://klasma.github.io/Logging_1452/klagomål/A 10931-2019 klagomål.docx", "A 10931-2019")</f>
        <v/>
      </c>
      <c r="W136">
        <f>HYPERLINK("https://klasma.github.io/Logging_1452/klagomålsmail/A 10931-2019 klagomålsmail.docx", "A 10931-2019")</f>
        <v/>
      </c>
      <c r="X136">
        <f>HYPERLINK("https://klasma.github.io/Logging_1452/tillsyn/A 10931-2019 tillsyn.docx", "A 10931-2019")</f>
        <v/>
      </c>
      <c r="Y136">
        <f>HYPERLINK("https://klasma.github.io/Logging_1452/tillsynsmail/A 10931-2019 tillsynsmail.docx", "A 10931-2019")</f>
        <v/>
      </c>
    </row>
    <row r="137" ht="15" customHeight="1">
      <c r="A137" t="inlineStr">
        <is>
          <t>A 12217-2019</t>
        </is>
      </c>
      <c r="B137" s="1" t="n">
        <v>43522</v>
      </c>
      <c r="C137" s="1" t="n">
        <v>45212</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HYPERLINK("https://klasma.github.io/Logging_1490/artfynd/A 12217-2019 artfynd.xlsx", "A 12217-2019")</f>
        <v/>
      </c>
      <c r="T137">
        <f>HYPERLINK("https://klasma.github.io/Logging_1490/karta/A 12217-2019 karta.png", "A 12217-2019")</f>
        <v/>
      </c>
      <c r="V137">
        <f>HYPERLINK("https://klasma.github.io/Logging_1490/klagomål/A 12217-2019 klagomål.docx", "A 12217-2019")</f>
        <v/>
      </c>
      <c r="W137">
        <f>HYPERLINK("https://klasma.github.io/Logging_1490/klagomålsmail/A 12217-2019 klagomålsmail.docx", "A 12217-2019")</f>
        <v/>
      </c>
      <c r="X137">
        <f>HYPERLINK("https://klasma.github.io/Logging_1490/tillsyn/A 12217-2019 tillsyn.docx", "A 12217-2019")</f>
        <v/>
      </c>
      <c r="Y137">
        <f>HYPERLINK("https://klasma.github.io/Logging_1490/tillsynsmail/A 12217-2019 tillsynsmail.docx", "A 12217-2019")</f>
        <v/>
      </c>
    </row>
    <row r="138" ht="15" customHeight="1">
      <c r="A138" t="inlineStr">
        <is>
          <t>A 17141-2019</t>
        </is>
      </c>
      <c r="B138" s="1" t="n">
        <v>43549</v>
      </c>
      <c r="C138" s="1" t="n">
        <v>45212</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HYPERLINK("https://klasma.github.io/Logging_1484/artfynd/A 17141-2019 artfynd.xlsx", "A 17141-2019")</f>
        <v/>
      </c>
      <c r="T138">
        <f>HYPERLINK("https://klasma.github.io/Logging_1484/karta/A 17141-2019 karta.png", "A 17141-2019")</f>
        <v/>
      </c>
      <c r="V138">
        <f>HYPERLINK("https://klasma.github.io/Logging_1484/klagomål/A 17141-2019 klagomål.docx", "A 17141-2019")</f>
        <v/>
      </c>
      <c r="W138">
        <f>HYPERLINK("https://klasma.github.io/Logging_1484/klagomålsmail/A 17141-2019 klagomålsmail.docx", "A 17141-2019")</f>
        <v/>
      </c>
      <c r="X138">
        <f>HYPERLINK("https://klasma.github.io/Logging_1484/tillsyn/A 17141-2019 tillsyn.docx", "A 17141-2019")</f>
        <v/>
      </c>
      <c r="Y138">
        <f>HYPERLINK("https://klasma.github.io/Logging_1484/tillsynsmail/A 17141-2019 tillsynsmail.docx", "A 17141-2019")</f>
        <v/>
      </c>
    </row>
    <row r="139" ht="15" customHeight="1">
      <c r="A139" t="inlineStr">
        <is>
          <t>A 24713-2019</t>
        </is>
      </c>
      <c r="B139" s="1" t="n">
        <v>43601</v>
      </c>
      <c r="C139" s="1" t="n">
        <v>45212</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HYPERLINK("https://klasma.github.io/Logging_1441/artfynd/A 24713-2019 artfynd.xlsx", "A 24713-2019")</f>
        <v/>
      </c>
      <c r="T139">
        <f>HYPERLINK("https://klasma.github.io/Logging_1441/karta/A 24713-2019 karta.png", "A 24713-2019")</f>
        <v/>
      </c>
      <c r="V139">
        <f>HYPERLINK("https://klasma.github.io/Logging_1441/klagomål/A 24713-2019 klagomål.docx", "A 24713-2019")</f>
        <v/>
      </c>
      <c r="W139">
        <f>HYPERLINK("https://klasma.github.io/Logging_1441/klagomålsmail/A 24713-2019 klagomålsmail.docx", "A 24713-2019")</f>
        <v/>
      </c>
      <c r="X139">
        <f>HYPERLINK("https://klasma.github.io/Logging_1441/tillsyn/A 24713-2019 tillsyn.docx", "A 24713-2019")</f>
        <v/>
      </c>
      <c r="Y139">
        <f>HYPERLINK("https://klasma.github.io/Logging_1441/tillsynsmail/A 24713-2019 tillsynsmail.docx", "A 24713-2019")</f>
        <v/>
      </c>
    </row>
    <row r="140" ht="15" customHeight="1">
      <c r="A140" t="inlineStr">
        <is>
          <t>A 25432-2019</t>
        </is>
      </c>
      <c r="B140" s="1" t="n">
        <v>43606</v>
      </c>
      <c r="C140" s="1" t="n">
        <v>45212</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HYPERLINK("https://klasma.github.io/Logging_1440/artfynd/A 25432-2019 artfynd.xlsx", "A 25432-2019")</f>
        <v/>
      </c>
      <c r="T140">
        <f>HYPERLINK("https://klasma.github.io/Logging_1440/karta/A 25432-2019 karta.png", "A 25432-2019")</f>
        <v/>
      </c>
      <c r="V140">
        <f>HYPERLINK("https://klasma.github.io/Logging_1440/klagomål/A 25432-2019 klagomål.docx", "A 25432-2019")</f>
        <v/>
      </c>
      <c r="W140">
        <f>HYPERLINK("https://klasma.github.io/Logging_1440/klagomålsmail/A 25432-2019 klagomålsmail.docx", "A 25432-2019")</f>
        <v/>
      </c>
      <c r="X140">
        <f>HYPERLINK("https://klasma.github.io/Logging_1440/tillsyn/A 25432-2019 tillsyn.docx", "A 25432-2019")</f>
        <v/>
      </c>
      <c r="Y140">
        <f>HYPERLINK("https://klasma.github.io/Logging_1440/tillsynsmail/A 25432-2019 tillsynsmail.docx", "A 25432-2019")</f>
        <v/>
      </c>
    </row>
    <row r="141" ht="15" customHeight="1">
      <c r="A141" t="inlineStr">
        <is>
          <t>A 26114-2019</t>
        </is>
      </c>
      <c r="B141" s="1" t="n">
        <v>43609</v>
      </c>
      <c r="C141" s="1" t="n">
        <v>45212</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HYPERLINK("https://klasma.github.io/Logging_1419/artfynd/A 26114-2019 artfynd.xlsx", "A 26114-2019")</f>
        <v/>
      </c>
      <c r="T141">
        <f>HYPERLINK("https://klasma.github.io/Logging_1419/karta/A 26114-2019 karta.png", "A 26114-2019")</f>
        <v/>
      </c>
      <c r="V141">
        <f>HYPERLINK("https://klasma.github.io/Logging_1419/klagomål/A 26114-2019 klagomål.docx", "A 26114-2019")</f>
        <v/>
      </c>
      <c r="W141">
        <f>HYPERLINK("https://klasma.github.io/Logging_1419/klagomålsmail/A 26114-2019 klagomålsmail.docx", "A 26114-2019")</f>
        <v/>
      </c>
      <c r="X141">
        <f>HYPERLINK("https://klasma.github.io/Logging_1419/tillsyn/A 26114-2019 tillsyn.docx", "A 26114-2019")</f>
        <v/>
      </c>
      <c r="Y141">
        <f>HYPERLINK("https://klasma.github.io/Logging_1419/tillsynsmail/A 26114-2019 tillsynsmail.docx", "A 26114-2019")</f>
        <v/>
      </c>
    </row>
    <row r="142" ht="15" customHeight="1">
      <c r="A142" t="inlineStr">
        <is>
          <t>A 28477-2019</t>
        </is>
      </c>
      <c r="B142" s="1" t="n">
        <v>43626</v>
      </c>
      <c r="C142" s="1" t="n">
        <v>45212</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HYPERLINK("https://klasma.github.io/Logging_1496/artfynd/A 28477-2019 artfynd.xlsx", "A 28477-2019")</f>
        <v/>
      </c>
      <c r="T142">
        <f>HYPERLINK("https://klasma.github.io/Logging_1496/karta/A 28477-2019 karta.png", "A 28477-2019")</f>
        <v/>
      </c>
      <c r="V142">
        <f>HYPERLINK("https://klasma.github.io/Logging_1496/klagomål/A 28477-2019 klagomål.docx", "A 28477-2019")</f>
        <v/>
      </c>
      <c r="W142">
        <f>HYPERLINK("https://klasma.github.io/Logging_1496/klagomålsmail/A 28477-2019 klagomålsmail.docx", "A 28477-2019")</f>
        <v/>
      </c>
      <c r="X142">
        <f>HYPERLINK("https://klasma.github.io/Logging_1496/tillsyn/A 28477-2019 tillsyn.docx", "A 28477-2019")</f>
        <v/>
      </c>
      <c r="Y142">
        <f>HYPERLINK("https://klasma.github.io/Logging_1496/tillsynsmail/A 28477-2019 tillsynsmail.docx", "A 28477-2019")</f>
        <v/>
      </c>
    </row>
    <row r="143" ht="15" customHeight="1">
      <c r="A143" t="inlineStr">
        <is>
          <t>A 29573-2019</t>
        </is>
      </c>
      <c r="B143" s="1" t="n">
        <v>43628</v>
      </c>
      <c r="C143" s="1" t="n">
        <v>45212</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HYPERLINK("https://klasma.github.io/Logging_1460/artfynd/A 29573-2019 artfynd.xlsx", "A 29573-2019")</f>
        <v/>
      </c>
      <c r="T143">
        <f>HYPERLINK("https://klasma.github.io/Logging_1460/karta/A 29573-2019 karta.png", "A 29573-2019")</f>
        <v/>
      </c>
      <c r="V143">
        <f>HYPERLINK("https://klasma.github.io/Logging_1460/klagomål/A 29573-2019 klagomål.docx", "A 29573-2019")</f>
        <v/>
      </c>
      <c r="W143">
        <f>HYPERLINK("https://klasma.github.io/Logging_1460/klagomålsmail/A 29573-2019 klagomålsmail.docx", "A 29573-2019")</f>
        <v/>
      </c>
      <c r="X143">
        <f>HYPERLINK("https://klasma.github.io/Logging_1460/tillsyn/A 29573-2019 tillsyn.docx", "A 29573-2019")</f>
        <v/>
      </c>
      <c r="Y143">
        <f>HYPERLINK("https://klasma.github.io/Logging_1460/tillsynsmail/A 29573-2019 tillsynsmail.docx", "A 29573-2019")</f>
        <v/>
      </c>
    </row>
    <row r="144" ht="15" customHeight="1">
      <c r="A144" t="inlineStr">
        <is>
          <t>A 31881-2019</t>
        </is>
      </c>
      <c r="B144" s="1" t="n">
        <v>43641</v>
      </c>
      <c r="C144" s="1" t="n">
        <v>45212</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HYPERLINK("https://klasma.github.io/Logging_1490/artfynd/A 31881-2019 artfynd.xlsx", "A 31881-2019")</f>
        <v/>
      </c>
      <c r="T144">
        <f>HYPERLINK("https://klasma.github.io/Logging_1490/karta/A 31881-2019 karta.png", "A 31881-2019")</f>
        <v/>
      </c>
      <c r="V144">
        <f>HYPERLINK("https://klasma.github.io/Logging_1490/klagomål/A 31881-2019 klagomål.docx", "A 31881-2019")</f>
        <v/>
      </c>
      <c r="W144">
        <f>HYPERLINK("https://klasma.github.io/Logging_1490/klagomålsmail/A 31881-2019 klagomålsmail.docx", "A 31881-2019")</f>
        <v/>
      </c>
      <c r="X144">
        <f>HYPERLINK("https://klasma.github.io/Logging_1490/tillsyn/A 31881-2019 tillsyn.docx", "A 31881-2019")</f>
        <v/>
      </c>
      <c r="Y144">
        <f>HYPERLINK("https://klasma.github.io/Logging_1490/tillsynsmail/A 31881-2019 tillsynsmail.docx", "A 31881-2019")</f>
        <v/>
      </c>
    </row>
    <row r="145" ht="15" customHeight="1">
      <c r="A145" t="inlineStr">
        <is>
          <t>A 34860-2019</t>
        </is>
      </c>
      <c r="B145" s="1" t="n">
        <v>43658</v>
      </c>
      <c r="C145" s="1" t="n">
        <v>45212</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HYPERLINK("https://klasma.github.io/Logging_1486/artfynd/A 34860-2019 artfynd.xlsx", "A 34860-2019")</f>
        <v/>
      </c>
      <c r="T145">
        <f>HYPERLINK("https://klasma.github.io/Logging_1486/karta/A 34860-2019 karta.png", "A 34860-2019")</f>
        <v/>
      </c>
      <c r="V145">
        <f>HYPERLINK("https://klasma.github.io/Logging_1486/klagomål/A 34860-2019 klagomål.docx", "A 34860-2019")</f>
        <v/>
      </c>
      <c r="W145">
        <f>HYPERLINK("https://klasma.github.io/Logging_1486/klagomålsmail/A 34860-2019 klagomålsmail.docx", "A 34860-2019")</f>
        <v/>
      </c>
      <c r="X145">
        <f>HYPERLINK("https://klasma.github.io/Logging_1486/tillsyn/A 34860-2019 tillsyn.docx", "A 34860-2019")</f>
        <v/>
      </c>
      <c r="Y145">
        <f>HYPERLINK("https://klasma.github.io/Logging_1486/tillsynsmail/A 34860-2019 tillsynsmail.docx", "A 34860-2019")</f>
        <v/>
      </c>
    </row>
    <row r="146" ht="15" customHeight="1">
      <c r="A146" t="inlineStr">
        <is>
          <t>A 38382-2019</t>
        </is>
      </c>
      <c r="B146" s="1" t="n">
        <v>43685</v>
      </c>
      <c r="C146" s="1" t="n">
        <v>45212</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HYPERLINK("https://klasma.github.io/Logging_1440/artfynd/A 38382-2019 artfynd.xlsx", "A 38382-2019")</f>
        <v/>
      </c>
      <c r="T146">
        <f>HYPERLINK("https://klasma.github.io/Logging_1440/karta/A 38382-2019 karta.png", "A 38382-2019")</f>
        <v/>
      </c>
      <c r="V146">
        <f>HYPERLINK("https://klasma.github.io/Logging_1440/klagomål/A 38382-2019 klagomål.docx", "A 38382-2019")</f>
        <v/>
      </c>
      <c r="W146">
        <f>HYPERLINK("https://klasma.github.io/Logging_1440/klagomålsmail/A 38382-2019 klagomålsmail.docx", "A 38382-2019")</f>
        <v/>
      </c>
      <c r="X146">
        <f>HYPERLINK("https://klasma.github.io/Logging_1440/tillsyn/A 38382-2019 tillsyn.docx", "A 38382-2019")</f>
        <v/>
      </c>
      <c r="Y146">
        <f>HYPERLINK("https://klasma.github.io/Logging_1440/tillsynsmail/A 38382-2019 tillsynsmail.docx", "A 38382-2019")</f>
        <v/>
      </c>
    </row>
    <row r="147" ht="15" customHeight="1">
      <c r="A147" t="inlineStr">
        <is>
          <t>A 41077-2019</t>
        </is>
      </c>
      <c r="B147" s="1" t="n">
        <v>43695</v>
      </c>
      <c r="C147" s="1" t="n">
        <v>45212</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HYPERLINK("https://klasma.github.io/Logging_1430/artfynd/A 41077-2019 artfynd.xlsx", "A 41077-2019")</f>
        <v/>
      </c>
      <c r="T147">
        <f>HYPERLINK("https://klasma.github.io/Logging_1430/karta/A 41077-2019 karta.png", "A 41077-2019")</f>
        <v/>
      </c>
      <c r="V147">
        <f>HYPERLINK("https://klasma.github.io/Logging_1430/klagomål/A 41077-2019 klagomål.docx", "A 41077-2019")</f>
        <v/>
      </c>
      <c r="W147">
        <f>HYPERLINK("https://klasma.github.io/Logging_1430/klagomålsmail/A 41077-2019 klagomålsmail.docx", "A 41077-2019")</f>
        <v/>
      </c>
      <c r="X147">
        <f>HYPERLINK("https://klasma.github.io/Logging_1430/tillsyn/A 41077-2019 tillsyn.docx", "A 41077-2019")</f>
        <v/>
      </c>
      <c r="Y147">
        <f>HYPERLINK("https://klasma.github.io/Logging_1430/tillsynsmail/A 41077-2019 tillsynsmail.docx", "A 41077-2019")</f>
        <v/>
      </c>
    </row>
    <row r="148" ht="15" customHeight="1">
      <c r="A148" t="inlineStr">
        <is>
          <t>A 43855-2019</t>
        </is>
      </c>
      <c r="B148" s="1" t="n">
        <v>43703</v>
      </c>
      <c r="C148" s="1" t="n">
        <v>45212</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HYPERLINK("https://klasma.github.io/Logging_1461/artfynd/A 43855-2019 artfynd.xlsx", "A 43855-2019")</f>
        <v/>
      </c>
      <c r="T148">
        <f>HYPERLINK("https://klasma.github.io/Logging_1461/karta/A 43855-2019 karta.png", "A 43855-2019")</f>
        <v/>
      </c>
      <c r="V148">
        <f>HYPERLINK("https://klasma.github.io/Logging_1461/klagomål/A 43855-2019 klagomål.docx", "A 43855-2019")</f>
        <v/>
      </c>
      <c r="W148">
        <f>HYPERLINK("https://klasma.github.io/Logging_1461/klagomålsmail/A 43855-2019 klagomålsmail.docx", "A 43855-2019")</f>
        <v/>
      </c>
      <c r="X148">
        <f>HYPERLINK("https://klasma.github.io/Logging_1461/tillsyn/A 43855-2019 tillsyn.docx", "A 43855-2019")</f>
        <v/>
      </c>
      <c r="Y148">
        <f>HYPERLINK("https://klasma.github.io/Logging_1461/tillsynsmail/A 43855-2019 tillsynsmail.docx", "A 43855-2019")</f>
        <v/>
      </c>
    </row>
    <row r="149" ht="15" customHeight="1">
      <c r="A149" t="inlineStr">
        <is>
          <t>A 46759-2019</t>
        </is>
      </c>
      <c r="B149" s="1" t="n">
        <v>43718</v>
      </c>
      <c r="C149" s="1" t="n">
        <v>45212</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HYPERLINK("https://klasma.github.io/Logging_1447/artfynd/A 46759-2019 artfynd.xlsx", "A 46759-2019")</f>
        <v/>
      </c>
      <c r="T149">
        <f>HYPERLINK("https://klasma.github.io/Logging_1447/karta/A 46759-2019 karta.png", "A 46759-2019")</f>
        <v/>
      </c>
      <c r="V149">
        <f>HYPERLINK("https://klasma.github.io/Logging_1447/klagomål/A 46759-2019 klagomål.docx", "A 46759-2019")</f>
        <v/>
      </c>
      <c r="W149">
        <f>HYPERLINK("https://klasma.github.io/Logging_1447/klagomålsmail/A 46759-2019 klagomålsmail.docx", "A 46759-2019")</f>
        <v/>
      </c>
      <c r="X149">
        <f>HYPERLINK("https://klasma.github.io/Logging_1447/tillsyn/A 46759-2019 tillsyn.docx", "A 46759-2019")</f>
        <v/>
      </c>
      <c r="Y149">
        <f>HYPERLINK("https://klasma.github.io/Logging_1447/tillsynsmail/A 46759-2019 tillsynsmail.docx", "A 46759-2019")</f>
        <v/>
      </c>
    </row>
    <row r="150" ht="15" customHeight="1">
      <c r="A150" t="inlineStr">
        <is>
          <t>A 46463-2019</t>
        </is>
      </c>
      <c r="B150" s="1" t="n">
        <v>43719</v>
      </c>
      <c r="C150" s="1" t="n">
        <v>45212</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HYPERLINK("https://klasma.github.io/Logging_1481/artfynd/A 46463-2019 artfynd.xlsx", "A 46463-2019")</f>
        <v/>
      </c>
      <c r="T150">
        <f>HYPERLINK("https://klasma.github.io/Logging_1481/karta/A 46463-2019 karta.png", "A 46463-2019")</f>
        <v/>
      </c>
      <c r="V150">
        <f>HYPERLINK("https://klasma.github.io/Logging_1481/klagomål/A 46463-2019 klagomål.docx", "A 46463-2019")</f>
        <v/>
      </c>
      <c r="W150">
        <f>HYPERLINK("https://klasma.github.io/Logging_1481/klagomålsmail/A 46463-2019 klagomålsmail.docx", "A 46463-2019")</f>
        <v/>
      </c>
      <c r="X150">
        <f>HYPERLINK("https://klasma.github.io/Logging_1481/tillsyn/A 46463-2019 tillsyn.docx", "A 46463-2019")</f>
        <v/>
      </c>
      <c r="Y150">
        <f>HYPERLINK("https://klasma.github.io/Logging_1481/tillsynsmail/A 46463-2019 tillsynsmail.docx", "A 46463-2019")</f>
        <v/>
      </c>
    </row>
    <row r="151" ht="15" customHeight="1">
      <c r="A151" t="inlineStr">
        <is>
          <t>A 50910-2019</t>
        </is>
      </c>
      <c r="B151" s="1" t="n">
        <v>43738</v>
      </c>
      <c r="C151" s="1" t="n">
        <v>45212</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HYPERLINK("https://klasma.github.io/Logging_1489/artfynd/A 50910-2019 artfynd.xlsx", "A 50910-2019")</f>
        <v/>
      </c>
      <c r="T151">
        <f>HYPERLINK("https://klasma.github.io/Logging_1489/karta/A 50910-2019 karta.png", "A 50910-2019")</f>
        <v/>
      </c>
      <c r="V151">
        <f>HYPERLINK("https://klasma.github.io/Logging_1489/klagomål/A 50910-2019 klagomål.docx", "A 50910-2019")</f>
        <v/>
      </c>
      <c r="W151">
        <f>HYPERLINK("https://klasma.github.io/Logging_1489/klagomålsmail/A 50910-2019 klagomålsmail.docx", "A 50910-2019")</f>
        <v/>
      </c>
      <c r="X151">
        <f>HYPERLINK("https://klasma.github.io/Logging_1489/tillsyn/A 50910-2019 tillsyn.docx", "A 50910-2019")</f>
        <v/>
      </c>
      <c r="Y151">
        <f>HYPERLINK("https://klasma.github.io/Logging_1489/tillsynsmail/A 50910-2019 tillsynsmail.docx", "A 50910-2019")</f>
        <v/>
      </c>
    </row>
    <row r="152" ht="15" customHeight="1">
      <c r="A152" t="inlineStr">
        <is>
          <t>A 58206-2019</t>
        </is>
      </c>
      <c r="B152" s="1" t="n">
        <v>43770</v>
      </c>
      <c r="C152" s="1" t="n">
        <v>45212</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HYPERLINK("https://klasma.github.io/Logging_1489/artfynd/A 58206-2019 artfynd.xlsx", "A 58206-2019")</f>
        <v/>
      </c>
      <c r="T152">
        <f>HYPERLINK("https://klasma.github.io/Logging_1489/karta/A 58206-2019 karta.png", "A 58206-2019")</f>
        <v/>
      </c>
      <c r="V152">
        <f>HYPERLINK("https://klasma.github.io/Logging_1489/klagomål/A 58206-2019 klagomål.docx", "A 58206-2019")</f>
        <v/>
      </c>
      <c r="W152">
        <f>HYPERLINK("https://klasma.github.io/Logging_1489/klagomålsmail/A 58206-2019 klagomålsmail.docx", "A 58206-2019")</f>
        <v/>
      </c>
      <c r="X152">
        <f>HYPERLINK("https://klasma.github.io/Logging_1489/tillsyn/A 58206-2019 tillsyn.docx", "A 58206-2019")</f>
        <v/>
      </c>
      <c r="Y152">
        <f>HYPERLINK("https://klasma.github.io/Logging_1489/tillsynsmail/A 58206-2019 tillsynsmail.docx", "A 58206-2019")</f>
        <v/>
      </c>
    </row>
    <row r="153" ht="15" customHeight="1">
      <c r="A153" t="inlineStr">
        <is>
          <t>A 61052-2019</t>
        </is>
      </c>
      <c r="B153" s="1" t="n">
        <v>43782</v>
      </c>
      <c r="C153" s="1" t="n">
        <v>45212</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HYPERLINK("https://klasma.github.io/Logging_1490/artfynd/A 61052-2019 artfynd.xlsx", "A 61052-2019")</f>
        <v/>
      </c>
      <c r="T153">
        <f>HYPERLINK("https://klasma.github.io/Logging_1490/karta/A 61052-2019 karta.png", "A 61052-2019")</f>
        <v/>
      </c>
      <c r="V153">
        <f>HYPERLINK("https://klasma.github.io/Logging_1490/klagomål/A 61052-2019 klagomål.docx", "A 61052-2019")</f>
        <v/>
      </c>
      <c r="W153">
        <f>HYPERLINK("https://klasma.github.io/Logging_1490/klagomålsmail/A 61052-2019 klagomålsmail.docx", "A 61052-2019")</f>
        <v/>
      </c>
      <c r="X153">
        <f>HYPERLINK("https://klasma.github.io/Logging_1490/tillsyn/A 61052-2019 tillsyn.docx", "A 61052-2019")</f>
        <v/>
      </c>
      <c r="Y153">
        <f>HYPERLINK("https://klasma.github.io/Logging_1490/tillsynsmail/A 61052-2019 tillsynsmail.docx", "A 61052-2019")</f>
        <v/>
      </c>
    </row>
    <row r="154" ht="15" customHeight="1">
      <c r="A154" t="inlineStr">
        <is>
          <t>A 65336-2019</t>
        </is>
      </c>
      <c r="B154" s="1" t="n">
        <v>43802</v>
      </c>
      <c r="C154" s="1" t="n">
        <v>45212</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HYPERLINK("https://klasma.github.io/Logging_1491/artfynd/A 65336-2019 artfynd.xlsx", "A 65336-2019")</f>
        <v/>
      </c>
      <c r="T154">
        <f>HYPERLINK("https://klasma.github.io/Logging_1491/karta/A 65336-2019 karta.png", "A 65336-2019")</f>
        <v/>
      </c>
      <c r="V154">
        <f>HYPERLINK("https://klasma.github.io/Logging_1491/klagomål/A 65336-2019 klagomål.docx", "A 65336-2019")</f>
        <v/>
      </c>
      <c r="W154">
        <f>HYPERLINK("https://klasma.github.io/Logging_1491/klagomålsmail/A 65336-2019 klagomålsmail.docx", "A 65336-2019")</f>
        <v/>
      </c>
      <c r="X154">
        <f>HYPERLINK("https://klasma.github.io/Logging_1491/tillsyn/A 65336-2019 tillsyn.docx", "A 65336-2019")</f>
        <v/>
      </c>
      <c r="Y154">
        <f>HYPERLINK("https://klasma.github.io/Logging_1491/tillsynsmail/A 65336-2019 tillsynsmail.docx", "A 65336-2019")</f>
        <v/>
      </c>
    </row>
    <row r="155" ht="15" customHeight="1">
      <c r="A155" t="inlineStr">
        <is>
          <t>A 1486-2020</t>
        </is>
      </c>
      <c r="B155" s="1" t="n">
        <v>43843</v>
      </c>
      <c r="C155" s="1" t="n">
        <v>45212</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HYPERLINK("https://klasma.github.io/Logging_1471/artfynd/A 1486-2020 artfynd.xlsx", "A 1486-2020")</f>
        <v/>
      </c>
      <c r="T155">
        <f>HYPERLINK("https://klasma.github.io/Logging_1471/karta/A 1486-2020 karta.png", "A 1486-2020")</f>
        <v/>
      </c>
      <c r="V155">
        <f>HYPERLINK("https://klasma.github.io/Logging_1471/klagomål/A 1486-2020 klagomål.docx", "A 1486-2020")</f>
        <v/>
      </c>
      <c r="W155">
        <f>HYPERLINK("https://klasma.github.io/Logging_1471/klagomålsmail/A 1486-2020 klagomålsmail.docx", "A 1486-2020")</f>
        <v/>
      </c>
      <c r="X155">
        <f>HYPERLINK("https://klasma.github.io/Logging_1471/tillsyn/A 1486-2020 tillsyn.docx", "A 1486-2020")</f>
        <v/>
      </c>
      <c r="Y155">
        <f>HYPERLINK("https://klasma.github.io/Logging_1471/tillsynsmail/A 1486-2020 tillsynsmail.docx", "A 1486-2020")</f>
        <v/>
      </c>
    </row>
    <row r="156" ht="15" customHeight="1">
      <c r="A156" t="inlineStr">
        <is>
          <t>A 2233-2020</t>
        </is>
      </c>
      <c r="B156" s="1" t="n">
        <v>43846</v>
      </c>
      <c r="C156" s="1" t="n">
        <v>45212</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HYPERLINK("https://klasma.github.io/Logging_1419/artfynd/A 2233-2020 artfynd.xlsx", "A 2233-2020")</f>
        <v/>
      </c>
      <c r="T156">
        <f>HYPERLINK("https://klasma.github.io/Logging_1419/karta/A 2233-2020 karta.png", "A 2233-2020")</f>
        <v/>
      </c>
      <c r="V156">
        <f>HYPERLINK("https://klasma.github.io/Logging_1419/klagomål/A 2233-2020 klagomål.docx", "A 2233-2020")</f>
        <v/>
      </c>
      <c r="W156">
        <f>HYPERLINK("https://klasma.github.io/Logging_1419/klagomålsmail/A 2233-2020 klagomålsmail.docx", "A 2233-2020")</f>
        <v/>
      </c>
      <c r="X156">
        <f>HYPERLINK("https://klasma.github.io/Logging_1419/tillsyn/A 2233-2020 tillsyn.docx", "A 2233-2020")</f>
        <v/>
      </c>
      <c r="Y156">
        <f>HYPERLINK("https://klasma.github.io/Logging_1419/tillsynsmail/A 2233-2020 tillsynsmail.docx", "A 2233-2020")</f>
        <v/>
      </c>
    </row>
    <row r="157" ht="15" customHeight="1">
      <c r="A157" t="inlineStr">
        <is>
          <t>A 7169-2020</t>
        </is>
      </c>
      <c r="B157" s="1" t="n">
        <v>43870</v>
      </c>
      <c r="C157" s="1" t="n">
        <v>45212</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HYPERLINK("https://klasma.github.io/Logging_1421/artfynd/A 7169-2020 artfynd.xlsx", "A 7169-2020")</f>
        <v/>
      </c>
      <c r="T157">
        <f>HYPERLINK("https://klasma.github.io/Logging_1421/karta/A 7169-2020 karta.png", "A 7169-2020")</f>
        <v/>
      </c>
      <c r="U157">
        <f>HYPERLINK("https://klasma.github.io/Logging_1421/knärot/A 7169-2020 knärot.png", "A 7169-2020")</f>
        <v/>
      </c>
      <c r="V157">
        <f>HYPERLINK("https://klasma.github.io/Logging_1421/klagomål/A 7169-2020 klagomål.docx", "A 7169-2020")</f>
        <v/>
      </c>
      <c r="W157">
        <f>HYPERLINK("https://klasma.github.io/Logging_1421/klagomålsmail/A 7169-2020 klagomålsmail.docx", "A 7169-2020")</f>
        <v/>
      </c>
      <c r="X157">
        <f>HYPERLINK("https://klasma.github.io/Logging_1421/tillsyn/A 7169-2020 tillsyn.docx", "A 7169-2020")</f>
        <v/>
      </c>
      <c r="Y157">
        <f>HYPERLINK("https://klasma.github.io/Logging_1421/tillsynsmail/A 7169-2020 tillsynsmail.docx", "A 7169-2020")</f>
        <v/>
      </c>
    </row>
    <row r="158" ht="15" customHeight="1">
      <c r="A158" t="inlineStr">
        <is>
          <t>A 9953-2020</t>
        </is>
      </c>
      <c r="B158" s="1" t="n">
        <v>43882</v>
      </c>
      <c r="C158" s="1" t="n">
        <v>45212</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HYPERLINK("https://klasma.github.io/Logging_1435/artfynd/A 9953-2020 artfynd.xlsx", "A 9953-2020")</f>
        <v/>
      </c>
      <c r="T158">
        <f>HYPERLINK("https://klasma.github.io/Logging_1435/karta/A 9953-2020 karta.png", "A 9953-2020")</f>
        <v/>
      </c>
      <c r="V158">
        <f>HYPERLINK("https://klasma.github.io/Logging_1435/klagomål/A 9953-2020 klagomål.docx", "A 9953-2020")</f>
        <v/>
      </c>
      <c r="W158">
        <f>HYPERLINK("https://klasma.github.io/Logging_1435/klagomålsmail/A 9953-2020 klagomålsmail.docx", "A 9953-2020")</f>
        <v/>
      </c>
      <c r="X158">
        <f>HYPERLINK("https://klasma.github.io/Logging_1435/tillsyn/A 9953-2020 tillsyn.docx", "A 9953-2020")</f>
        <v/>
      </c>
      <c r="Y158">
        <f>HYPERLINK("https://klasma.github.io/Logging_1435/tillsynsmail/A 9953-2020 tillsynsmail.docx", "A 9953-2020")</f>
        <v/>
      </c>
    </row>
    <row r="159" ht="15" customHeight="1">
      <c r="A159" t="inlineStr">
        <is>
          <t>A 11099-2020</t>
        </is>
      </c>
      <c r="B159" s="1" t="n">
        <v>43889</v>
      </c>
      <c r="C159" s="1" t="n">
        <v>45212</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HYPERLINK("https://klasma.github.io/Logging_1496/artfynd/A 11099-2020 artfynd.xlsx", "A 11099-2020")</f>
        <v/>
      </c>
      <c r="T159">
        <f>HYPERLINK("https://klasma.github.io/Logging_1496/karta/A 11099-2020 karta.png", "A 11099-2020")</f>
        <v/>
      </c>
      <c r="V159">
        <f>HYPERLINK("https://klasma.github.io/Logging_1496/klagomål/A 11099-2020 klagomål.docx", "A 11099-2020")</f>
        <v/>
      </c>
      <c r="W159">
        <f>HYPERLINK("https://klasma.github.io/Logging_1496/klagomålsmail/A 11099-2020 klagomålsmail.docx", "A 11099-2020")</f>
        <v/>
      </c>
      <c r="X159">
        <f>HYPERLINK("https://klasma.github.io/Logging_1496/tillsyn/A 11099-2020 tillsyn.docx", "A 11099-2020")</f>
        <v/>
      </c>
      <c r="Y159">
        <f>HYPERLINK("https://klasma.github.io/Logging_1496/tillsynsmail/A 11099-2020 tillsynsmail.docx", "A 11099-2020")</f>
        <v/>
      </c>
    </row>
    <row r="160" ht="15" customHeight="1">
      <c r="A160" t="inlineStr">
        <is>
          <t>A 12972-2020</t>
        </is>
      </c>
      <c r="B160" s="1" t="n">
        <v>43900</v>
      </c>
      <c r="C160" s="1" t="n">
        <v>45212</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HYPERLINK("https://klasma.github.io/Logging_1462/artfynd/A 12972-2020 artfynd.xlsx", "A 12972-2020")</f>
        <v/>
      </c>
      <c r="T160">
        <f>HYPERLINK("https://klasma.github.io/Logging_1462/karta/A 12972-2020 karta.png", "A 12972-2020")</f>
        <v/>
      </c>
      <c r="V160">
        <f>HYPERLINK("https://klasma.github.io/Logging_1462/klagomål/A 12972-2020 klagomål.docx", "A 12972-2020")</f>
        <v/>
      </c>
      <c r="W160">
        <f>HYPERLINK("https://klasma.github.io/Logging_1462/klagomålsmail/A 12972-2020 klagomålsmail.docx", "A 12972-2020")</f>
        <v/>
      </c>
      <c r="X160">
        <f>HYPERLINK("https://klasma.github.io/Logging_1462/tillsyn/A 12972-2020 tillsyn.docx", "A 12972-2020")</f>
        <v/>
      </c>
      <c r="Y160">
        <f>HYPERLINK("https://klasma.github.io/Logging_1462/tillsynsmail/A 12972-2020 tillsynsmail.docx", "A 12972-2020")</f>
        <v/>
      </c>
    </row>
    <row r="161" ht="15" customHeight="1">
      <c r="A161" t="inlineStr">
        <is>
          <t>A 15284-2020</t>
        </is>
      </c>
      <c r="B161" s="1" t="n">
        <v>43908</v>
      </c>
      <c r="C161" s="1" t="n">
        <v>45212</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HYPERLINK("https://klasma.github.io/Logging_1494/artfynd/A 15284-2020 artfynd.xlsx", "A 15284-2020")</f>
        <v/>
      </c>
      <c r="T161">
        <f>HYPERLINK("https://klasma.github.io/Logging_1494/karta/A 15284-2020 karta.png", "A 15284-2020")</f>
        <v/>
      </c>
      <c r="U161">
        <f>HYPERLINK("https://klasma.github.io/Logging_1494/knärot/A 15284-2020 knärot.png", "A 15284-2020")</f>
        <v/>
      </c>
      <c r="V161">
        <f>HYPERLINK("https://klasma.github.io/Logging_1494/klagomål/A 15284-2020 klagomål.docx", "A 15284-2020")</f>
        <v/>
      </c>
      <c r="W161">
        <f>HYPERLINK("https://klasma.github.io/Logging_1494/klagomålsmail/A 15284-2020 klagomålsmail.docx", "A 15284-2020")</f>
        <v/>
      </c>
      <c r="X161">
        <f>HYPERLINK("https://klasma.github.io/Logging_1494/tillsyn/A 15284-2020 tillsyn.docx", "A 15284-2020")</f>
        <v/>
      </c>
      <c r="Y161">
        <f>HYPERLINK("https://klasma.github.io/Logging_1494/tillsynsmail/A 15284-2020 tillsynsmail.docx", "A 15284-2020")</f>
        <v/>
      </c>
    </row>
    <row r="162" ht="15" customHeight="1">
      <c r="A162" t="inlineStr">
        <is>
          <t>A 14675-2020</t>
        </is>
      </c>
      <c r="B162" s="1" t="n">
        <v>43909</v>
      </c>
      <c r="C162" s="1" t="n">
        <v>45212</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HYPERLINK("https://klasma.github.io/Logging_1490/artfynd/A 14675-2020 artfynd.xlsx", "A 14675-2020")</f>
        <v/>
      </c>
      <c r="T162">
        <f>HYPERLINK("https://klasma.github.io/Logging_1490/karta/A 14675-2020 karta.png", "A 14675-2020")</f>
        <v/>
      </c>
      <c r="V162">
        <f>HYPERLINK("https://klasma.github.io/Logging_1490/klagomål/A 14675-2020 klagomål.docx", "A 14675-2020")</f>
        <v/>
      </c>
      <c r="W162">
        <f>HYPERLINK("https://klasma.github.io/Logging_1490/klagomålsmail/A 14675-2020 klagomålsmail.docx", "A 14675-2020")</f>
        <v/>
      </c>
      <c r="X162">
        <f>HYPERLINK("https://klasma.github.io/Logging_1490/tillsyn/A 14675-2020 tillsyn.docx", "A 14675-2020")</f>
        <v/>
      </c>
      <c r="Y162">
        <f>HYPERLINK("https://klasma.github.io/Logging_1490/tillsynsmail/A 14675-2020 tillsynsmail.docx", "A 14675-2020")</f>
        <v/>
      </c>
    </row>
    <row r="163" ht="15" customHeight="1">
      <c r="A163" t="inlineStr">
        <is>
          <t>A 19775-2020</t>
        </is>
      </c>
      <c r="B163" s="1" t="n">
        <v>43942</v>
      </c>
      <c r="C163" s="1" t="n">
        <v>45212</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HYPERLINK("https://klasma.github.io/Logging_1496/artfynd/A 19775-2020 artfynd.xlsx", "A 19775-2020")</f>
        <v/>
      </c>
      <c r="T163">
        <f>HYPERLINK("https://klasma.github.io/Logging_1496/karta/A 19775-2020 karta.png", "A 19775-2020")</f>
        <v/>
      </c>
      <c r="V163">
        <f>HYPERLINK("https://klasma.github.io/Logging_1496/klagomål/A 19775-2020 klagomål.docx", "A 19775-2020")</f>
        <v/>
      </c>
      <c r="W163">
        <f>HYPERLINK("https://klasma.github.io/Logging_1496/klagomålsmail/A 19775-2020 klagomålsmail.docx", "A 19775-2020")</f>
        <v/>
      </c>
      <c r="X163">
        <f>HYPERLINK("https://klasma.github.io/Logging_1496/tillsyn/A 19775-2020 tillsyn.docx", "A 19775-2020")</f>
        <v/>
      </c>
      <c r="Y163">
        <f>HYPERLINK("https://klasma.github.io/Logging_1496/tillsynsmail/A 19775-2020 tillsynsmail.docx", "A 19775-2020")</f>
        <v/>
      </c>
    </row>
    <row r="164" ht="15" customHeight="1">
      <c r="A164" t="inlineStr">
        <is>
          <t>A 23847-2020</t>
        </is>
      </c>
      <c r="B164" s="1" t="n">
        <v>43970</v>
      </c>
      <c r="C164" s="1" t="n">
        <v>45212</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HYPERLINK("https://klasma.github.io/Logging_1460/artfynd/A 23847-2020 artfynd.xlsx", "A 23847-2020")</f>
        <v/>
      </c>
      <c r="T164">
        <f>HYPERLINK("https://klasma.github.io/Logging_1460/karta/A 23847-2020 karta.png", "A 23847-2020")</f>
        <v/>
      </c>
      <c r="V164">
        <f>HYPERLINK("https://klasma.github.io/Logging_1460/klagomål/A 23847-2020 klagomål.docx", "A 23847-2020")</f>
        <v/>
      </c>
      <c r="W164">
        <f>HYPERLINK("https://klasma.github.io/Logging_1460/klagomålsmail/A 23847-2020 klagomålsmail.docx", "A 23847-2020")</f>
        <v/>
      </c>
      <c r="X164">
        <f>HYPERLINK("https://klasma.github.io/Logging_1460/tillsyn/A 23847-2020 tillsyn.docx", "A 23847-2020")</f>
        <v/>
      </c>
      <c r="Y164">
        <f>HYPERLINK("https://klasma.github.io/Logging_1460/tillsynsmail/A 23847-2020 tillsynsmail.docx", "A 23847-2020")</f>
        <v/>
      </c>
    </row>
    <row r="165" ht="15" customHeight="1">
      <c r="A165" t="inlineStr">
        <is>
          <t>A 27439-2020</t>
        </is>
      </c>
      <c r="B165" s="1" t="n">
        <v>43993</v>
      </c>
      <c r="C165" s="1" t="n">
        <v>45212</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HYPERLINK("https://klasma.github.io/Logging_1471/artfynd/A 27439-2020 artfynd.xlsx", "A 27439-2020")</f>
        <v/>
      </c>
      <c r="T165">
        <f>HYPERLINK("https://klasma.github.io/Logging_1471/karta/A 27439-2020 karta.png", "A 27439-2020")</f>
        <v/>
      </c>
      <c r="V165">
        <f>HYPERLINK("https://klasma.github.io/Logging_1471/klagomål/A 27439-2020 klagomål.docx", "A 27439-2020")</f>
        <v/>
      </c>
      <c r="W165">
        <f>HYPERLINK("https://klasma.github.io/Logging_1471/klagomålsmail/A 27439-2020 klagomålsmail.docx", "A 27439-2020")</f>
        <v/>
      </c>
      <c r="X165">
        <f>HYPERLINK("https://klasma.github.io/Logging_1471/tillsyn/A 27439-2020 tillsyn.docx", "A 27439-2020")</f>
        <v/>
      </c>
      <c r="Y165">
        <f>HYPERLINK("https://klasma.github.io/Logging_1471/tillsynsmail/A 27439-2020 tillsynsmail.docx", "A 27439-2020")</f>
        <v/>
      </c>
    </row>
    <row r="166" ht="15" customHeight="1">
      <c r="A166" t="inlineStr">
        <is>
          <t>A 30704-2020</t>
        </is>
      </c>
      <c r="B166" s="1" t="n">
        <v>44007</v>
      </c>
      <c r="C166" s="1" t="n">
        <v>45212</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HYPERLINK("https://klasma.github.io/Logging_1435/artfynd/A 30704-2020 artfynd.xlsx", "A 30704-2020")</f>
        <v/>
      </c>
      <c r="T166">
        <f>HYPERLINK("https://klasma.github.io/Logging_1435/karta/A 30704-2020 karta.png", "A 30704-2020")</f>
        <v/>
      </c>
      <c r="V166">
        <f>HYPERLINK("https://klasma.github.io/Logging_1435/klagomål/A 30704-2020 klagomål.docx", "A 30704-2020")</f>
        <v/>
      </c>
      <c r="W166">
        <f>HYPERLINK("https://klasma.github.io/Logging_1435/klagomålsmail/A 30704-2020 klagomålsmail.docx", "A 30704-2020")</f>
        <v/>
      </c>
      <c r="X166">
        <f>HYPERLINK("https://klasma.github.io/Logging_1435/tillsyn/A 30704-2020 tillsyn.docx", "A 30704-2020")</f>
        <v/>
      </c>
      <c r="Y166">
        <f>HYPERLINK("https://klasma.github.io/Logging_1435/tillsynsmail/A 30704-2020 tillsynsmail.docx", "A 30704-2020")</f>
        <v/>
      </c>
    </row>
    <row r="167" ht="15" customHeight="1">
      <c r="A167" t="inlineStr">
        <is>
          <t>A 30638-2020</t>
        </is>
      </c>
      <c r="B167" s="1" t="n">
        <v>44008</v>
      </c>
      <c r="C167" s="1" t="n">
        <v>45212</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HYPERLINK("https://klasma.github.io/Logging_1452/artfynd/A 30638-2020 artfynd.xlsx", "A 30638-2020")</f>
        <v/>
      </c>
      <c r="T167">
        <f>HYPERLINK("https://klasma.github.io/Logging_1452/karta/A 30638-2020 karta.png", "A 30638-2020")</f>
        <v/>
      </c>
      <c r="V167">
        <f>HYPERLINK("https://klasma.github.io/Logging_1452/klagomål/A 30638-2020 klagomål.docx", "A 30638-2020")</f>
        <v/>
      </c>
      <c r="W167">
        <f>HYPERLINK("https://klasma.github.io/Logging_1452/klagomålsmail/A 30638-2020 klagomålsmail.docx", "A 30638-2020")</f>
        <v/>
      </c>
      <c r="X167">
        <f>HYPERLINK("https://klasma.github.io/Logging_1452/tillsyn/A 30638-2020 tillsyn.docx", "A 30638-2020")</f>
        <v/>
      </c>
      <c r="Y167">
        <f>HYPERLINK("https://klasma.github.io/Logging_1452/tillsynsmail/A 30638-2020 tillsynsmail.docx", "A 30638-2020")</f>
        <v/>
      </c>
    </row>
    <row r="168" ht="15" customHeight="1">
      <c r="A168" t="inlineStr">
        <is>
          <t>A 30824-2020</t>
        </is>
      </c>
      <c r="B168" s="1" t="n">
        <v>44011</v>
      </c>
      <c r="C168" s="1" t="n">
        <v>45212</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HYPERLINK("https://klasma.github.io/Logging_1452/artfynd/A 30824-2020 artfynd.xlsx", "A 30824-2020")</f>
        <v/>
      </c>
      <c r="T168">
        <f>HYPERLINK("https://klasma.github.io/Logging_1452/karta/A 30824-2020 karta.png", "A 30824-2020")</f>
        <v/>
      </c>
      <c r="V168">
        <f>HYPERLINK("https://klasma.github.io/Logging_1452/klagomål/A 30824-2020 klagomål.docx", "A 30824-2020")</f>
        <v/>
      </c>
      <c r="W168">
        <f>HYPERLINK("https://klasma.github.io/Logging_1452/klagomålsmail/A 30824-2020 klagomålsmail.docx", "A 30824-2020")</f>
        <v/>
      </c>
      <c r="X168">
        <f>HYPERLINK("https://klasma.github.io/Logging_1452/tillsyn/A 30824-2020 tillsyn.docx", "A 30824-2020")</f>
        <v/>
      </c>
      <c r="Y168">
        <f>HYPERLINK("https://klasma.github.io/Logging_1452/tillsynsmail/A 30824-2020 tillsynsmail.docx", "A 30824-2020")</f>
        <v/>
      </c>
    </row>
    <row r="169" ht="15" customHeight="1">
      <c r="A169" t="inlineStr">
        <is>
          <t>A 36339-2020</t>
        </is>
      </c>
      <c r="B169" s="1" t="n">
        <v>44049</v>
      </c>
      <c r="C169" s="1" t="n">
        <v>45212</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HYPERLINK("https://klasma.github.io/Logging_1415/artfynd/A 36339-2020 artfynd.xlsx", "A 36339-2020")</f>
        <v/>
      </c>
      <c r="T169">
        <f>HYPERLINK("https://klasma.github.io/Logging_1415/karta/A 36339-2020 karta.png", "A 36339-2020")</f>
        <v/>
      </c>
      <c r="V169">
        <f>HYPERLINK("https://klasma.github.io/Logging_1415/klagomål/A 36339-2020 klagomål.docx", "A 36339-2020")</f>
        <v/>
      </c>
      <c r="W169">
        <f>HYPERLINK("https://klasma.github.io/Logging_1415/klagomålsmail/A 36339-2020 klagomålsmail.docx", "A 36339-2020")</f>
        <v/>
      </c>
      <c r="X169">
        <f>HYPERLINK("https://klasma.github.io/Logging_1415/tillsyn/A 36339-2020 tillsyn.docx", "A 36339-2020")</f>
        <v/>
      </c>
      <c r="Y169">
        <f>HYPERLINK("https://klasma.github.io/Logging_1415/tillsynsmail/A 36339-2020 tillsynsmail.docx", "A 36339-2020")</f>
        <v/>
      </c>
    </row>
    <row r="170" ht="15" customHeight="1">
      <c r="A170" t="inlineStr">
        <is>
          <t>A 36337-2020</t>
        </is>
      </c>
      <c r="B170" s="1" t="n">
        <v>44049</v>
      </c>
      <c r="C170" s="1" t="n">
        <v>45212</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HYPERLINK("https://klasma.github.io/Logging_1415/artfynd/A 36337-2020 artfynd.xlsx", "A 36337-2020")</f>
        <v/>
      </c>
      <c r="T170">
        <f>HYPERLINK("https://klasma.github.io/Logging_1415/karta/A 36337-2020 karta.png", "A 36337-2020")</f>
        <v/>
      </c>
      <c r="V170">
        <f>HYPERLINK("https://klasma.github.io/Logging_1415/klagomål/A 36337-2020 klagomål.docx", "A 36337-2020")</f>
        <v/>
      </c>
      <c r="W170">
        <f>HYPERLINK("https://klasma.github.io/Logging_1415/klagomålsmail/A 36337-2020 klagomålsmail.docx", "A 36337-2020")</f>
        <v/>
      </c>
      <c r="X170">
        <f>HYPERLINK("https://klasma.github.io/Logging_1415/tillsyn/A 36337-2020 tillsyn.docx", "A 36337-2020")</f>
        <v/>
      </c>
      <c r="Y170">
        <f>HYPERLINK("https://klasma.github.io/Logging_1415/tillsynsmail/A 36337-2020 tillsynsmail.docx", "A 36337-2020")</f>
        <v/>
      </c>
    </row>
    <row r="171" ht="15" customHeight="1">
      <c r="A171" t="inlineStr">
        <is>
          <t>A 43665-2020</t>
        </is>
      </c>
      <c r="B171" s="1" t="n">
        <v>44078</v>
      </c>
      <c r="C171" s="1" t="n">
        <v>45212</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HYPERLINK("https://klasma.github.io/Logging_1430/artfynd/A 43665-2020 artfynd.xlsx", "A 43665-2020")</f>
        <v/>
      </c>
      <c r="T171">
        <f>HYPERLINK("https://klasma.github.io/Logging_1430/karta/A 43665-2020 karta.png", "A 43665-2020")</f>
        <v/>
      </c>
      <c r="V171">
        <f>HYPERLINK("https://klasma.github.io/Logging_1430/klagomål/A 43665-2020 klagomål.docx", "A 43665-2020")</f>
        <v/>
      </c>
      <c r="W171">
        <f>HYPERLINK("https://klasma.github.io/Logging_1430/klagomålsmail/A 43665-2020 klagomålsmail.docx", "A 43665-2020")</f>
        <v/>
      </c>
      <c r="X171">
        <f>HYPERLINK("https://klasma.github.io/Logging_1430/tillsyn/A 43665-2020 tillsyn.docx", "A 43665-2020")</f>
        <v/>
      </c>
      <c r="Y171">
        <f>HYPERLINK("https://klasma.github.io/Logging_1430/tillsynsmail/A 43665-2020 tillsynsmail.docx", "A 43665-2020")</f>
        <v/>
      </c>
    </row>
    <row r="172" ht="15" customHeight="1">
      <c r="A172" t="inlineStr">
        <is>
          <t>A 44608-2020</t>
        </is>
      </c>
      <c r="B172" s="1" t="n">
        <v>44085</v>
      </c>
      <c r="C172" s="1" t="n">
        <v>45212</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HYPERLINK("https://klasma.github.io/Logging_1419/artfynd/A 44608-2020 artfynd.xlsx", "A 44608-2020")</f>
        <v/>
      </c>
      <c r="T172">
        <f>HYPERLINK("https://klasma.github.io/Logging_1419/karta/A 44608-2020 karta.png", "A 44608-2020")</f>
        <v/>
      </c>
      <c r="V172">
        <f>HYPERLINK("https://klasma.github.io/Logging_1419/klagomål/A 44608-2020 klagomål.docx", "A 44608-2020")</f>
        <v/>
      </c>
      <c r="W172">
        <f>HYPERLINK("https://klasma.github.io/Logging_1419/klagomålsmail/A 44608-2020 klagomålsmail.docx", "A 44608-2020")</f>
        <v/>
      </c>
      <c r="X172">
        <f>HYPERLINK("https://klasma.github.io/Logging_1419/tillsyn/A 44608-2020 tillsyn.docx", "A 44608-2020")</f>
        <v/>
      </c>
      <c r="Y172">
        <f>HYPERLINK("https://klasma.github.io/Logging_1419/tillsynsmail/A 44608-2020 tillsynsmail.docx", "A 44608-2020")</f>
        <v/>
      </c>
    </row>
    <row r="173" ht="15" customHeight="1">
      <c r="A173" t="inlineStr">
        <is>
          <t>A 45557-2020</t>
        </is>
      </c>
      <c r="B173" s="1" t="n">
        <v>44090</v>
      </c>
      <c r="C173" s="1" t="n">
        <v>45212</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HYPERLINK("https://klasma.github.io/Logging_1498/artfynd/A 45557-2020 artfynd.xlsx", "A 45557-2020")</f>
        <v/>
      </c>
      <c r="T173">
        <f>HYPERLINK("https://klasma.github.io/Logging_1498/karta/A 45557-2020 karta.png", "A 45557-2020")</f>
        <v/>
      </c>
      <c r="V173">
        <f>HYPERLINK("https://klasma.github.io/Logging_1498/klagomål/A 45557-2020 klagomål.docx", "A 45557-2020")</f>
        <v/>
      </c>
      <c r="W173">
        <f>HYPERLINK("https://klasma.github.io/Logging_1498/klagomålsmail/A 45557-2020 klagomålsmail.docx", "A 45557-2020")</f>
        <v/>
      </c>
      <c r="X173">
        <f>HYPERLINK("https://klasma.github.io/Logging_1498/tillsyn/A 45557-2020 tillsyn.docx", "A 45557-2020")</f>
        <v/>
      </c>
      <c r="Y173">
        <f>HYPERLINK("https://klasma.github.io/Logging_1498/tillsynsmail/A 45557-2020 tillsynsmail.docx", "A 45557-2020")</f>
        <v/>
      </c>
    </row>
    <row r="174" ht="15" customHeight="1">
      <c r="A174" t="inlineStr">
        <is>
          <t>A 57325-2020</t>
        </is>
      </c>
      <c r="B174" s="1" t="n">
        <v>44139</v>
      </c>
      <c r="C174" s="1" t="n">
        <v>45212</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HYPERLINK("https://klasma.github.io/Logging_1485/artfynd/A 57325-2020 artfynd.xlsx", "A 57325-2020")</f>
        <v/>
      </c>
      <c r="T174">
        <f>HYPERLINK("https://klasma.github.io/Logging_1485/karta/A 57325-2020 karta.png", "A 57325-2020")</f>
        <v/>
      </c>
      <c r="U174">
        <f>HYPERLINK("https://klasma.github.io/Logging_1485/knärot/A 57325-2020 knärot.png", "A 57325-2020")</f>
        <v/>
      </c>
      <c r="V174">
        <f>HYPERLINK("https://klasma.github.io/Logging_1485/klagomål/A 57325-2020 klagomål.docx", "A 57325-2020")</f>
        <v/>
      </c>
      <c r="W174">
        <f>HYPERLINK("https://klasma.github.io/Logging_1485/klagomålsmail/A 57325-2020 klagomålsmail.docx", "A 57325-2020")</f>
        <v/>
      </c>
      <c r="X174">
        <f>HYPERLINK("https://klasma.github.io/Logging_1485/tillsyn/A 57325-2020 tillsyn.docx", "A 57325-2020")</f>
        <v/>
      </c>
      <c r="Y174">
        <f>HYPERLINK("https://klasma.github.io/Logging_1485/tillsynsmail/A 57325-2020 tillsynsmail.docx", "A 57325-2020")</f>
        <v/>
      </c>
    </row>
    <row r="175" ht="15" customHeight="1">
      <c r="A175" t="inlineStr">
        <is>
          <t>A 58360-2020</t>
        </is>
      </c>
      <c r="B175" s="1" t="n">
        <v>44144</v>
      </c>
      <c r="C175" s="1" t="n">
        <v>45212</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HYPERLINK("https://klasma.github.io/Logging_1461/artfynd/A 58360-2020 artfynd.xlsx", "A 58360-2020")</f>
        <v/>
      </c>
      <c r="T175">
        <f>HYPERLINK("https://klasma.github.io/Logging_1461/karta/A 58360-2020 karta.png", "A 58360-2020")</f>
        <v/>
      </c>
      <c r="V175">
        <f>HYPERLINK("https://klasma.github.io/Logging_1461/klagomål/A 58360-2020 klagomål.docx", "A 58360-2020")</f>
        <v/>
      </c>
      <c r="W175">
        <f>HYPERLINK("https://klasma.github.io/Logging_1461/klagomålsmail/A 58360-2020 klagomålsmail.docx", "A 58360-2020")</f>
        <v/>
      </c>
      <c r="X175">
        <f>HYPERLINK("https://klasma.github.io/Logging_1461/tillsyn/A 58360-2020 tillsyn.docx", "A 58360-2020")</f>
        <v/>
      </c>
      <c r="Y175">
        <f>HYPERLINK("https://klasma.github.io/Logging_1461/tillsynsmail/A 58360-2020 tillsynsmail.docx", "A 58360-2020")</f>
        <v/>
      </c>
    </row>
    <row r="176" ht="15" customHeight="1">
      <c r="A176" t="inlineStr">
        <is>
          <t>A 58804-2020</t>
        </is>
      </c>
      <c r="B176" s="1" t="n">
        <v>44146</v>
      </c>
      <c r="C176" s="1" t="n">
        <v>45212</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HYPERLINK("https://klasma.github.io/Logging_1480/artfynd/A 58804-2020 artfynd.xlsx", "A 58804-2020")</f>
        <v/>
      </c>
      <c r="T176">
        <f>HYPERLINK("https://klasma.github.io/Logging_1480/karta/A 58804-2020 karta.png", "A 58804-2020")</f>
        <v/>
      </c>
      <c r="V176">
        <f>HYPERLINK("https://klasma.github.io/Logging_1480/klagomål/A 58804-2020 klagomål.docx", "A 58804-2020")</f>
        <v/>
      </c>
      <c r="W176">
        <f>HYPERLINK("https://klasma.github.io/Logging_1480/klagomålsmail/A 58804-2020 klagomålsmail.docx", "A 58804-2020")</f>
        <v/>
      </c>
      <c r="X176">
        <f>HYPERLINK("https://klasma.github.io/Logging_1480/tillsyn/A 58804-2020 tillsyn.docx", "A 58804-2020")</f>
        <v/>
      </c>
      <c r="Y176">
        <f>HYPERLINK("https://klasma.github.io/Logging_1480/tillsynsmail/A 58804-2020 tillsynsmail.docx", "A 58804-2020")</f>
        <v/>
      </c>
    </row>
    <row r="177" ht="15" customHeight="1">
      <c r="A177" t="inlineStr">
        <is>
          <t>A 61845-2020</t>
        </is>
      </c>
      <c r="B177" s="1" t="n">
        <v>44159</v>
      </c>
      <c r="C177" s="1" t="n">
        <v>45212</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HYPERLINK("https://klasma.github.io/Logging_1490/artfynd/A 61845-2020 artfynd.xlsx", "A 61845-2020")</f>
        <v/>
      </c>
      <c r="T177">
        <f>HYPERLINK("https://klasma.github.io/Logging_1490/karta/A 61845-2020 karta.png", "A 61845-2020")</f>
        <v/>
      </c>
      <c r="V177">
        <f>HYPERLINK("https://klasma.github.io/Logging_1490/klagomål/A 61845-2020 klagomål.docx", "A 61845-2020")</f>
        <v/>
      </c>
      <c r="W177">
        <f>HYPERLINK("https://klasma.github.io/Logging_1490/klagomålsmail/A 61845-2020 klagomålsmail.docx", "A 61845-2020")</f>
        <v/>
      </c>
      <c r="X177">
        <f>HYPERLINK("https://klasma.github.io/Logging_1490/tillsyn/A 61845-2020 tillsyn.docx", "A 61845-2020")</f>
        <v/>
      </c>
      <c r="Y177">
        <f>HYPERLINK("https://klasma.github.io/Logging_1490/tillsynsmail/A 61845-2020 tillsynsmail.docx", "A 61845-2020")</f>
        <v/>
      </c>
    </row>
    <row r="178" ht="15" customHeight="1">
      <c r="A178" t="inlineStr">
        <is>
          <t>A 64042-2020</t>
        </is>
      </c>
      <c r="B178" s="1" t="n">
        <v>44167</v>
      </c>
      <c r="C178" s="1" t="n">
        <v>45212</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HYPERLINK("https://klasma.github.io/Logging_1487/artfynd/A 64042-2020 artfynd.xlsx", "A 64042-2020")</f>
        <v/>
      </c>
      <c r="T178">
        <f>HYPERLINK("https://klasma.github.io/Logging_1487/karta/A 64042-2020 karta.png", "A 64042-2020")</f>
        <v/>
      </c>
      <c r="V178">
        <f>HYPERLINK("https://klasma.github.io/Logging_1487/klagomål/A 64042-2020 klagomål.docx", "A 64042-2020")</f>
        <v/>
      </c>
      <c r="W178">
        <f>HYPERLINK("https://klasma.github.io/Logging_1487/klagomålsmail/A 64042-2020 klagomålsmail.docx", "A 64042-2020")</f>
        <v/>
      </c>
      <c r="X178">
        <f>HYPERLINK("https://klasma.github.io/Logging_1487/tillsyn/A 64042-2020 tillsyn.docx", "A 64042-2020")</f>
        <v/>
      </c>
      <c r="Y178">
        <f>HYPERLINK("https://klasma.github.io/Logging_1487/tillsynsmail/A 64042-2020 tillsynsmail.docx", "A 64042-2020")</f>
        <v/>
      </c>
    </row>
    <row r="179" ht="15" customHeight="1">
      <c r="A179" t="inlineStr">
        <is>
          <t>A 65506-2020</t>
        </is>
      </c>
      <c r="B179" s="1" t="n">
        <v>44173</v>
      </c>
      <c r="C179" s="1" t="n">
        <v>45212</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HYPERLINK("https://klasma.github.io/Logging_1443/artfynd/A 65506-2020 artfynd.xlsx", "A 65506-2020")</f>
        <v/>
      </c>
      <c r="T179">
        <f>HYPERLINK("https://klasma.github.io/Logging_1443/karta/A 65506-2020 karta.png", "A 65506-2020")</f>
        <v/>
      </c>
      <c r="V179">
        <f>HYPERLINK("https://klasma.github.io/Logging_1443/klagomål/A 65506-2020 klagomål.docx", "A 65506-2020")</f>
        <v/>
      </c>
      <c r="W179">
        <f>HYPERLINK("https://klasma.github.io/Logging_1443/klagomålsmail/A 65506-2020 klagomålsmail.docx", "A 65506-2020")</f>
        <v/>
      </c>
      <c r="X179">
        <f>HYPERLINK("https://klasma.github.io/Logging_1443/tillsyn/A 65506-2020 tillsyn.docx", "A 65506-2020")</f>
        <v/>
      </c>
      <c r="Y179">
        <f>HYPERLINK("https://klasma.github.io/Logging_1443/tillsynsmail/A 65506-2020 tillsynsmail.docx", "A 65506-2020")</f>
        <v/>
      </c>
    </row>
    <row r="180" ht="15" customHeight="1">
      <c r="A180" t="inlineStr">
        <is>
          <t>A 68546-2020</t>
        </is>
      </c>
      <c r="B180" s="1" t="n">
        <v>44186</v>
      </c>
      <c r="C180" s="1" t="n">
        <v>45212</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HYPERLINK("https://klasma.github.io/Logging_1460/artfynd/A 68546-2020 artfynd.xlsx", "A 68546-2020")</f>
        <v/>
      </c>
      <c r="T180">
        <f>HYPERLINK("https://klasma.github.io/Logging_1460/karta/A 68546-2020 karta.png", "A 68546-2020")</f>
        <v/>
      </c>
      <c r="V180">
        <f>HYPERLINK("https://klasma.github.io/Logging_1460/klagomål/A 68546-2020 klagomål.docx", "A 68546-2020")</f>
        <v/>
      </c>
      <c r="W180">
        <f>HYPERLINK("https://klasma.github.io/Logging_1460/klagomålsmail/A 68546-2020 klagomålsmail.docx", "A 68546-2020")</f>
        <v/>
      </c>
      <c r="X180">
        <f>HYPERLINK("https://klasma.github.io/Logging_1460/tillsyn/A 68546-2020 tillsyn.docx", "A 68546-2020")</f>
        <v/>
      </c>
      <c r="Y180">
        <f>HYPERLINK("https://klasma.github.io/Logging_1460/tillsynsmail/A 68546-2020 tillsynsmail.docx", "A 68546-2020")</f>
        <v/>
      </c>
    </row>
    <row r="181" ht="15" customHeight="1">
      <c r="A181" t="inlineStr">
        <is>
          <t>A 1901-2021</t>
        </is>
      </c>
      <c r="B181" s="1" t="n">
        <v>44210</v>
      </c>
      <c r="C181" s="1" t="n">
        <v>45212</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HYPERLINK("https://klasma.github.io/Logging_1465/artfynd/A 1901-2021 artfynd.xlsx", "A 1901-2021")</f>
        <v/>
      </c>
      <c r="T181">
        <f>HYPERLINK("https://klasma.github.io/Logging_1465/karta/A 1901-2021 karta.png", "A 1901-2021")</f>
        <v/>
      </c>
      <c r="V181">
        <f>HYPERLINK("https://klasma.github.io/Logging_1465/klagomål/A 1901-2021 klagomål.docx", "A 1901-2021")</f>
        <v/>
      </c>
      <c r="W181">
        <f>HYPERLINK("https://klasma.github.io/Logging_1465/klagomålsmail/A 1901-2021 klagomålsmail.docx", "A 1901-2021")</f>
        <v/>
      </c>
      <c r="X181">
        <f>HYPERLINK("https://klasma.github.io/Logging_1465/tillsyn/A 1901-2021 tillsyn.docx", "A 1901-2021")</f>
        <v/>
      </c>
      <c r="Y181">
        <f>HYPERLINK("https://klasma.github.io/Logging_1465/tillsynsmail/A 1901-2021 tillsynsmail.docx", "A 1901-2021")</f>
        <v/>
      </c>
    </row>
    <row r="182" ht="15" customHeight="1">
      <c r="A182" t="inlineStr">
        <is>
          <t>A 2674-2021</t>
        </is>
      </c>
      <c r="B182" s="1" t="n">
        <v>44215</v>
      </c>
      <c r="C182" s="1" t="n">
        <v>45212</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HYPERLINK("https://klasma.github.io/Logging_1486/artfynd/A 2674-2021 artfynd.xlsx", "A 2674-2021")</f>
        <v/>
      </c>
      <c r="T182">
        <f>HYPERLINK("https://klasma.github.io/Logging_1486/karta/A 2674-2021 karta.png", "A 2674-2021")</f>
        <v/>
      </c>
      <c r="V182">
        <f>HYPERLINK("https://klasma.github.io/Logging_1486/klagomål/A 2674-2021 klagomål.docx", "A 2674-2021")</f>
        <v/>
      </c>
      <c r="W182">
        <f>HYPERLINK("https://klasma.github.io/Logging_1486/klagomålsmail/A 2674-2021 klagomålsmail.docx", "A 2674-2021")</f>
        <v/>
      </c>
      <c r="X182">
        <f>HYPERLINK("https://klasma.github.io/Logging_1486/tillsyn/A 2674-2021 tillsyn.docx", "A 2674-2021")</f>
        <v/>
      </c>
      <c r="Y182">
        <f>HYPERLINK("https://klasma.github.io/Logging_1486/tillsynsmail/A 2674-2021 tillsynsmail.docx", "A 2674-2021")</f>
        <v/>
      </c>
    </row>
    <row r="183" ht="15" customHeight="1">
      <c r="A183" t="inlineStr">
        <is>
          <t>A 2680-2021</t>
        </is>
      </c>
      <c r="B183" s="1" t="n">
        <v>44215</v>
      </c>
      <c r="C183" s="1" t="n">
        <v>45212</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HYPERLINK("https://klasma.github.io/Logging_1486/artfynd/A 2680-2021 artfynd.xlsx", "A 2680-2021")</f>
        <v/>
      </c>
      <c r="T183">
        <f>HYPERLINK("https://klasma.github.io/Logging_1486/karta/A 2680-2021 karta.png", "A 2680-2021")</f>
        <v/>
      </c>
      <c r="V183">
        <f>HYPERLINK("https://klasma.github.io/Logging_1486/klagomål/A 2680-2021 klagomål.docx", "A 2680-2021")</f>
        <v/>
      </c>
      <c r="W183">
        <f>HYPERLINK("https://klasma.github.io/Logging_1486/klagomålsmail/A 2680-2021 klagomålsmail.docx", "A 2680-2021")</f>
        <v/>
      </c>
      <c r="X183">
        <f>HYPERLINK("https://klasma.github.io/Logging_1486/tillsyn/A 2680-2021 tillsyn.docx", "A 2680-2021")</f>
        <v/>
      </c>
      <c r="Y183">
        <f>HYPERLINK("https://klasma.github.io/Logging_1486/tillsynsmail/A 2680-2021 tillsynsmail.docx", "A 2680-2021")</f>
        <v/>
      </c>
    </row>
    <row r="184" ht="15" customHeight="1">
      <c r="A184" t="inlineStr">
        <is>
          <t>A 3329-2021</t>
        </is>
      </c>
      <c r="B184" s="1" t="n">
        <v>44217</v>
      </c>
      <c r="C184" s="1" t="n">
        <v>45212</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HYPERLINK("https://klasma.github.io/Logging_1494/artfynd/A 3329-2021 artfynd.xlsx", "A 3329-2021")</f>
        <v/>
      </c>
      <c r="T184">
        <f>HYPERLINK("https://klasma.github.io/Logging_1494/karta/A 3329-2021 karta.png", "A 3329-2021")</f>
        <v/>
      </c>
      <c r="V184">
        <f>HYPERLINK("https://klasma.github.io/Logging_1494/klagomål/A 3329-2021 klagomål.docx", "A 3329-2021")</f>
        <v/>
      </c>
      <c r="W184">
        <f>HYPERLINK("https://klasma.github.io/Logging_1494/klagomålsmail/A 3329-2021 klagomålsmail.docx", "A 3329-2021")</f>
        <v/>
      </c>
      <c r="X184">
        <f>HYPERLINK("https://klasma.github.io/Logging_1494/tillsyn/A 3329-2021 tillsyn.docx", "A 3329-2021")</f>
        <v/>
      </c>
      <c r="Y184">
        <f>HYPERLINK("https://klasma.github.io/Logging_1494/tillsynsmail/A 3329-2021 tillsynsmail.docx", "A 3329-2021")</f>
        <v/>
      </c>
    </row>
    <row r="185" ht="15" customHeight="1">
      <c r="A185" t="inlineStr">
        <is>
          <t>A 4424-2021</t>
        </is>
      </c>
      <c r="B185" s="1" t="n">
        <v>44224</v>
      </c>
      <c r="C185" s="1" t="n">
        <v>45212</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HYPERLINK("https://klasma.github.io/Logging_1442/artfynd/A 4424-2021 artfynd.xlsx", "A 4424-2021")</f>
        <v/>
      </c>
      <c r="T185">
        <f>HYPERLINK("https://klasma.github.io/Logging_1442/karta/A 4424-2021 karta.png", "A 4424-2021")</f>
        <v/>
      </c>
      <c r="U185">
        <f>HYPERLINK("https://klasma.github.io/Logging_1442/knärot/A 4424-2021 knärot.png", "A 4424-2021")</f>
        <v/>
      </c>
      <c r="V185">
        <f>HYPERLINK("https://klasma.github.io/Logging_1442/klagomål/A 4424-2021 klagomål.docx", "A 4424-2021")</f>
        <v/>
      </c>
      <c r="W185">
        <f>HYPERLINK("https://klasma.github.io/Logging_1442/klagomålsmail/A 4424-2021 klagomålsmail.docx", "A 4424-2021")</f>
        <v/>
      </c>
      <c r="X185">
        <f>HYPERLINK("https://klasma.github.io/Logging_1442/tillsyn/A 4424-2021 tillsyn.docx", "A 4424-2021")</f>
        <v/>
      </c>
      <c r="Y185">
        <f>HYPERLINK("https://klasma.github.io/Logging_1442/tillsynsmail/A 4424-2021 tillsynsmail.docx", "A 4424-2021")</f>
        <v/>
      </c>
    </row>
    <row r="186" ht="15" customHeight="1">
      <c r="A186" t="inlineStr">
        <is>
          <t>A 11984-2021</t>
        </is>
      </c>
      <c r="B186" s="1" t="n">
        <v>44266</v>
      </c>
      <c r="C186" s="1" t="n">
        <v>45212</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HYPERLINK("https://klasma.github.io/Logging_1421/artfynd/A 11984-2021 artfynd.xlsx", "A 11984-2021")</f>
        <v/>
      </c>
      <c r="T186">
        <f>HYPERLINK("https://klasma.github.io/Logging_1421/karta/A 11984-2021 karta.png", "A 11984-2021")</f>
        <v/>
      </c>
      <c r="V186">
        <f>HYPERLINK("https://klasma.github.io/Logging_1421/klagomål/A 11984-2021 klagomål.docx", "A 11984-2021")</f>
        <v/>
      </c>
      <c r="W186">
        <f>HYPERLINK("https://klasma.github.io/Logging_1421/klagomålsmail/A 11984-2021 klagomålsmail.docx", "A 11984-2021")</f>
        <v/>
      </c>
      <c r="X186">
        <f>HYPERLINK("https://klasma.github.io/Logging_1421/tillsyn/A 11984-2021 tillsyn.docx", "A 11984-2021")</f>
        <v/>
      </c>
      <c r="Y186">
        <f>HYPERLINK("https://klasma.github.io/Logging_1421/tillsynsmail/A 11984-2021 tillsynsmail.docx", "A 11984-2021")</f>
        <v/>
      </c>
    </row>
    <row r="187" ht="15" customHeight="1">
      <c r="A187" t="inlineStr">
        <is>
          <t>A 12618-2021</t>
        </is>
      </c>
      <c r="B187" s="1" t="n">
        <v>44270</v>
      </c>
      <c r="C187" s="1" t="n">
        <v>45212</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HYPERLINK("https://klasma.github.io/Logging_1401/artfynd/A 12618-2021 artfynd.xlsx", "A 12618-2021")</f>
        <v/>
      </c>
      <c r="T187">
        <f>HYPERLINK("https://klasma.github.io/Logging_1401/karta/A 12618-2021 karta.png", "A 12618-2021")</f>
        <v/>
      </c>
      <c r="V187">
        <f>HYPERLINK("https://klasma.github.io/Logging_1401/klagomål/A 12618-2021 klagomål.docx", "A 12618-2021")</f>
        <v/>
      </c>
      <c r="W187">
        <f>HYPERLINK("https://klasma.github.io/Logging_1401/klagomålsmail/A 12618-2021 klagomålsmail.docx", "A 12618-2021")</f>
        <v/>
      </c>
      <c r="X187">
        <f>HYPERLINK("https://klasma.github.io/Logging_1401/tillsyn/A 12618-2021 tillsyn.docx", "A 12618-2021")</f>
        <v/>
      </c>
      <c r="Y187">
        <f>HYPERLINK("https://klasma.github.io/Logging_1401/tillsynsmail/A 12618-2021 tillsynsmail.docx", "A 12618-2021")</f>
        <v/>
      </c>
    </row>
    <row r="188" ht="15" customHeight="1">
      <c r="A188" t="inlineStr">
        <is>
          <t>A 12589-2021</t>
        </is>
      </c>
      <c r="B188" s="1" t="n">
        <v>44270</v>
      </c>
      <c r="C188" s="1" t="n">
        <v>45212</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HYPERLINK("https://klasma.github.io/Logging_1470/artfynd/A 12589-2021 artfynd.xlsx", "A 12589-2021")</f>
        <v/>
      </c>
      <c r="T188">
        <f>HYPERLINK("https://klasma.github.io/Logging_1470/karta/A 12589-2021 karta.png", "A 12589-2021")</f>
        <v/>
      </c>
      <c r="V188">
        <f>HYPERLINK("https://klasma.github.io/Logging_1470/klagomål/A 12589-2021 klagomål.docx", "A 12589-2021")</f>
        <v/>
      </c>
      <c r="W188">
        <f>HYPERLINK("https://klasma.github.io/Logging_1470/klagomålsmail/A 12589-2021 klagomålsmail.docx", "A 12589-2021")</f>
        <v/>
      </c>
      <c r="X188">
        <f>HYPERLINK("https://klasma.github.io/Logging_1470/tillsyn/A 12589-2021 tillsyn.docx", "A 12589-2021")</f>
        <v/>
      </c>
      <c r="Y188">
        <f>HYPERLINK("https://klasma.github.io/Logging_1470/tillsynsmail/A 12589-2021 tillsynsmail.docx", "A 12589-2021")</f>
        <v/>
      </c>
    </row>
    <row r="189" ht="15" customHeight="1">
      <c r="A189" t="inlineStr">
        <is>
          <t>A 13199-2021</t>
        </is>
      </c>
      <c r="B189" s="1" t="n">
        <v>44272</v>
      </c>
      <c r="C189" s="1" t="n">
        <v>45212</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HYPERLINK("https://klasma.github.io/Logging_1497/artfynd/A 13199-2021 artfynd.xlsx", "A 13199-2021")</f>
        <v/>
      </c>
      <c r="T189">
        <f>HYPERLINK("https://klasma.github.io/Logging_1497/karta/A 13199-2021 karta.png", "A 13199-2021")</f>
        <v/>
      </c>
      <c r="V189">
        <f>HYPERLINK("https://klasma.github.io/Logging_1497/klagomål/A 13199-2021 klagomål.docx", "A 13199-2021")</f>
        <v/>
      </c>
      <c r="W189">
        <f>HYPERLINK("https://klasma.github.io/Logging_1497/klagomålsmail/A 13199-2021 klagomålsmail.docx", "A 13199-2021")</f>
        <v/>
      </c>
      <c r="X189">
        <f>HYPERLINK("https://klasma.github.io/Logging_1497/tillsyn/A 13199-2021 tillsyn.docx", "A 13199-2021")</f>
        <v/>
      </c>
      <c r="Y189">
        <f>HYPERLINK("https://klasma.github.io/Logging_1497/tillsynsmail/A 13199-2021 tillsynsmail.docx", "A 13199-2021")</f>
        <v/>
      </c>
    </row>
    <row r="190" ht="15" customHeight="1">
      <c r="A190" t="inlineStr">
        <is>
          <t>A 21759-2021</t>
        </is>
      </c>
      <c r="B190" s="1" t="n">
        <v>44322</v>
      </c>
      <c r="C190" s="1" t="n">
        <v>45212</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HYPERLINK("https://klasma.github.io/Logging_1481/artfynd/A 21759-2021 artfynd.xlsx", "A 21759-2021")</f>
        <v/>
      </c>
      <c r="T190">
        <f>HYPERLINK("https://klasma.github.io/Logging_1481/karta/A 21759-2021 karta.png", "A 21759-2021")</f>
        <v/>
      </c>
      <c r="V190">
        <f>HYPERLINK("https://klasma.github.io/Logging_1481/klagomål/A 21759-2021 klagomål.docx", "A 21759-2021")</f>
        <v/>
      </c>
      <c r="W190">
        <f>HYPERLINK("https://klasma.github.io/Logging_1481/klagomålsmail/A 21759-2021 klagomålsmail.docx", "A 21759-2021")</f>
        <v/>
      </c>
      <c r="X190">
        <f>HYPERLINK("https://klasma.github.io/Logging_1481/tillsyn/A 21759-2021 tillsyn.docx", "A 21759-2021")</f>
        <v/>
      </c>
      <c r="Y190">
        <f>HYPERLINK("https://klasma.github.io/Logging_1481/tillsynsmail/A 21759-2021 tillsynsmail.docx", "A 21759-2021")</f>
        <v/>
      </c>
    </row>
    <row r="191" ht="15" customHeight="1">
      <c r="A191" t="inlineStr">
        <is>
          <t>A 23402-2021</t>
        </is>
      </c>
      <c r="B191" s="1" t="n">
        <v>44333</v>
      </c>
      <c r="C191" s="1" t="n">
        <v>45212</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HYPERLINK("https://klasma.github.io/Logging_1496/artfynd/A 23402-2021 artfynd.xlsx", "A 23402-2021")</f>
        <v/>
      </c>
      <c r="T191">
        <f>HYPERLINK("https://klasma.github.io/Logging_1496/karta/A 23402-2021 karta.png", "A 23402-2021")</f>
        <v/>
      </c>
      <c r="V191">
        <f>HYPERLINK("https://klasma.github.io/Logging_1496/klagomål/A 23402-2021 klagomål.docx", "A 23402-2021")</f>
        <v/>
      </c>
      <c r="W191">
        <f>HYPERLINK("https://klasma.github.io/Logging_1496/klagomålsmail/A 23402-2021 klagomålsmail.docx", "A 23402-2021")</f>
        <v/>
      </c>
      <c r="X191">
        <f>HYPERLINK("https://klasma.github.io/Logging_1496/tillsyn/A 23402-2021 tillsyn.docx", "A 23402-2021")</f>
        <v/>
      </c>
      <c r="Y191">
        <f>HYPERLINK("https://klasma.github.io/Logging_1496/tillsynsmail/A 23402-2021 tillsynsmail.docx", "A 23402-2021")</f>
        <v/>
      </c>
    </row>
    <row r="192" ht="15" customHeight="1">
      <c r="A192" t="inlineStr">
        <is>
          <t>A 24680-2021</t>
        </is>
      </c>
      <c r="B192" s="1" t="n">
        <v>44340</v>
      </c>
      <c r="C192" s="1" t="n">
        <v>45212</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HYPERLINK("https://klasma.github.io/Logging_1430/artfynd/A 24680-2021 artfynd.xlsx", "A 24680-2021")</f>
        <v/>
      </c>
      <c r="T192">
        <f>HYPERLINK("https://klasma.github.io/Logging_1430/karta/A 24680-2021 karta.png", "A 24680-2021")</f>
        <v/>
      </c>
      <c r="V192">
        <f>HYPERLINK("https://klasma.github.io/Logging_1430/klagomål/A 24680-2021 klagomål.docx", "A 24680-2021")</f>
        <v/>
      </c>
      <c r="W192">
        <f>HYPERLINK("https://klasma.github.io/Logging_1430/klagomålsmail/A 24680-2021 klagomålsmail.docx", "A 24680-2021")</f>
        <v/>
      </c>
      <c r="X192">
        <f>HYPERLINK("https://klasma.github.io/Logging_1430/tillsyn/A 24680-2021 tillsyn.docx", "A 24680-2021")</f>
        <v/>
      </c>
      <c r="Y192">
        <f>HYPERLINK("https://klasma.github.io/Logging_1430/tillsynsmail/A 24680-2021 tillsynsmail.docx", "A 24680-2021")</f>
        <v/>
      </c>
    </row>
    <row r="193" ht="15" customHeight="1">
      <c r="A193" t="inlineStr">
        <is>
          <t>A 29344-2021</t>
        </is>
      </c>
      <c r="B193" s="1" t="n">
        <v>44361</v>
      </c>
      <c r="C193" s="1" t="n">
        <v>45212</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HYPERLINK("https://klasma.github.io/Logging_1430/artfynd/A 29344-2021 artfynd.xlsx", "A 29344-2021")</f>
        <v/>
      </c>
      <c r="T193">
        <f>HYPERLINK("https://klasma.github.io/Logging_1430/karta/A 29344-2021 karta.png", "A 29344-2021")</f>
        <v/>
      </c>
      <c r="V193">
        <f>HYPERLINK("https://klasma.github.io/Logging_1430/klagomål/A 29344-2021 klagomål.docx", "A 29344-2021")</f>
        <v/>
      </c>
      <c r="W193">
        <f>HYPERLINK("https://klasma.github.io/Logging_1430/klagomålsmail/A 29344-2021 klagomålsmail.docx", "A 29344-2021")</f>
        <v/>
      </c>
      <c r="X193">
        <f>HYPERLINK("https://klasma.github.io/Logging_1430/tillsyn/A 29344-2021 tillsyn.docx", "A 29344-2021")</f>
        <v/>
      </c>
      <c r="Y193">
        <f>HYPERLINK("https://klasma.github.io/Logging_1430/tillsynsmail/A 29344-2021 tillsynsmail.docx", "A 29344-2021")</f>
        <v/>
      </c>
    </row>
    <row r="194" ht="15" customHeight="1">
      <c r="A194" t="inlineStr">
        <is>
          <t>A 31843-2021</t>
        </is>
      </c>
      <c r="B194" s="1" t="n">
        <v>44370</v>
      </c>
      <c r="C194" s="1" t="n">
        <v>45212</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HYPERLINK("https://klasma.github.io/Logging_1443/artfynd/A 31843-2021 artfynd.xlsx", "A 31843-2021")</f>
        <v/>
      </c>
      <c r="T194">
        <f>HYPERLINK("https://klasma.github.io/Logging_1443/karta/A 31843-2021 karta.png", "A 31843-2021")</f>
        <v/>
      </c>
      <c r="V194">
        <f>HYPERLINK("https://klasma.github.io/Logging_1443/klagomål/A 31843-2021 klagomål.docx", "A 31843-2021")</f>
        <v/>
      </c>
      <c r="W194">
        <f>HYPERLINK("https://klasma.github.io/Logging_1443/klagomålsmail/A 31843-2021 klagomålsmail.docx", "A 31843-2021")</f>
        <v/>
      </c>
      <c r="X194">
        <f>HYPERLINK("https://klasma.github.io/Logging_1443/tillsyn/A 31843-2021 tillsyn.docx", "A 31843-2021")</f>
        <v/>
      </c>
      <c r="Y194">
        <f>HYPERLINK("https://klasma.github.io/Logging_1443/tillsynsmail/A 31843-2021 tillsynsmail.docx", "A 31843-2021")</f>
        <v/>
      </c>
    </row>
    <row r="195" ht="15" customHeight="1">
      <c r="A195" t="inlineStr">
        <is>
          <t>A 33273-2021</t>
        </is>
      </c>
      <c r="B195" s="1" t="n">
        <v>44377</v>
      </c>
      <c r="C195" s="1" t="n">
        <v>45212</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HYPERLINK("https://klasma.github.io/Logging_1486/artfynd/A 33273-2021 artfynd.xlsx", "A 33273-2021")</f>
        <v/>
      </c>
      <c r="T195">
        <f>HYPERLINK("https://klasma.github.io/Logging_1486/karta/A 33273-2021 karta.png", "A 33273-2021")</f>
        <v/>
      </c>
      <c r="V195">
        <f>HYPERLINK("https://klasma.github.io/Logging_1486/klagomål/A 33273-2021 klagomål.docx", "A 33273-2021")</f>
        <v/>
      </c>
      <c r="W195">
        <f>HYPERLINK("https://klasma.github.io/Logging_1486/klagomålsmail/A 33273-2021 klagomålsmail.docx", "A 33273-2021")</f>
        <v/>
      </c>
      <c r="X195">
        <f>HYPERLINK("https://klasma.github.io/Logging_1486/tillsyn/A 33273-2021 tillsyn.docx", "A 33273-2021")</f>
        <v/>
      </c>
      <c r="Y195">
        <f>HYPERLINK("https://klasma.github.io/Logging_1486/tillsynsmail/A 33273-2021 tillsynsmail.docx", "A 33273-2021")</f>
        <v/>
      </c>
    </row>
    <row r="196" ht="15" customHeight="1">
      <c r="A196" t="inlineStr">
        <is>
          <t>A 33755-2021</t>
        </is>
      </c>
      <c r="B196" s="1" t="n">
        <v>44378</v>
      </c>
      <c r="C196" s="1" t="n">
        <v>45212</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HYPERLINK("https://klasma.github.io/Logging_1487/artfynd/A 33755-2021 artfynd.xlsx", "A 33755-2021")</f>
        <v/>
      </c>
      <c r="T196">
        <f>HYPERLINK("https://klasma.github.io/Logging_1487/karta/A 33755-2021 karta.png", "A 33755-2021")</f>
        <v/>
      </c>
      <c r="V196">
        <f>HYPERLINK("https://klasma.github.io/Logging_1487/klagomål/A 33755-2021 klagomål.docx", "A 33755-2021")</f>
        <v/>
      </c>
      <c r="W196">
        <f>HYPERLINK("https://klasma.github.io/Logging_1487/klagomålsmail/A 33755-2021 klagomålsmail.docx", "A 33755-2021")</f>
        <v/>
      </c>
      <c r="X196">
        <f>HYPERLINK("https://klasma.github.io/Logging_1487/tillsyn/A 33755-2021 tillsyn.docx", "A 33755-2021")</f>
        <v/>
      </c>
      <c r="Y196">
        <f>HYPERLINK("https://klasma.github.io/Logging_1487/tillsynsmail/A 33755-2021 tillsynsmail.docx", "A 33755-2021")</f>
        <v/>
      </c>
    </row>
    <row r="197" ht="15" customHeight="1">
      <c r="A197" t="inlineStr">
        <is>
          <t>A 37138-2021</t>
        </is>
      </c>
      <c r="B197" s="1" t="n">
        <v>44396</v>
      </c>
      <c r="C197" s="1" t="n">
        <v>45212</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HYPERLINK("https://klasma.github.io/Logging_1447/artfynd/A 37138-2021 artfynd.xlsx", "A 37138-2021")</f>
        <v/>
      </c>
      <c r="T197">
        <f>HYPERLINK("https://klasma.github.io/Logging_1447/karta/A 37138-2021 karta.png", "A 37138-2021")</f>
        <v/>
      </c>
      <c r="V197">
        <f>HYPERLINK("https://klasma.github.io/Logging_1447/klagomål/A 37138-2021 klagomål.docx", "A 37138-2021")</f>
        <v/>
      </c>
      <c r="W197">
        <f>HYPERLINK("https://klasma.github.io/Logging_1447/klagomålsmail/A 37138-2021 klagomålsmail.docx", "A 37138-2021")</f>
        <v/>
      </c>
      <c r="X197">
        <f>HYPERLINK("https://klasma.github.io/Logging_1447/tillsyn/A 37138-2021 tillsyn.docx", "A 37138-2021")</f>
        <v/>
      </c>
      <c r="Y197">
        <f>HYPERLINK("https://klasma.github.io/Logging_1447/tillsynsmail/A 37138-2021 tillsynsmail.docx", "A 37138-2021")</f>
        <v/>
      </c>
    </row>
    <row r="198" ht="15" customHeight="1">
      <c r="A198" t="inlineStr">
        <is>
          <t>A 39460-2021</t>
        </is>
      </c>
      <c r="B198" s="1" t="n">
        <v>44414</v>
      </c>
      <c r="C198" s="1" t="n">
        <v>45212</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HYPERLINK("https://klasma.github.io/Logging_1488/artfynd/A 39460-2021 artfynd.xlsx", "A 39460-2021")</f>
        <v/>
      </c>
      <c r="T198">
        <f>HYPERLINK("https://klasma.github.io/Logging_1488/karta/A 39460-2021 karta.png", "A 39460-2021")</f>
        <v/>
      </c>
      <c r="V198">
        <f>HYPERLINK("https://klasma.github.io/Logging_1488/klagomål/A 39460-2021 klagomål.docx", "A 39460-2021")</f>
        <v/>
      </c>
      <c r="W198">
        <f>HYPERLINK("https://klasma.github.io/Logging_1488/klagomålsmail/A 39460-2021 klagomålsmail.docx", "A 39460-2021")</f>
        <v/>
      </c>
      <c r="X198">
        <f>HYPERLINK("https://klasma.github.io/Logging_1488/tillsyn/A 39460-2021 tillsyn.docx", "A 39460-2021")</f>
        <v/>
      </c>
      <c r="Y198">
        <f>HYPERLINK("https://klasma.github.io/Logging_1488/tillsynsmail/A 39460-2021 tillsynsmail.docx", "A 39460-2021")</f>
        <v/>
      </c>
    </row>
    <row r="199" ht="15" customHeight="1">
      <c r="A199" t="inlineStr">
        <is>
          <t>A 40067-2021</t>
        </is>
      </c>
      <c r="B199" s="1" t="n">
        <v>44418</v>
      </c>
      <c r="C199" s="1" t="n">
        <v>45212</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HYPERLINK("https://klasma.github.io/Logging_1499/artfynd/A 40067-2021 artfynd.xlsx", "A 40067-2021")</f>
        <v/>
      </c>
      <c r="T199">
        <f>HYPERLINK("https://klasma.github.io/Logging_1499/karta/A 40067-2021 karta.png", "A 40067-2021")</f>
        <v/>
      </c>
      <c r="V199">
        <f>HYPERLINK("https://klasma.github.io/Logging_1499/klagomål/A 40067-2021 klagomål.docx", "A 40067-2021")</f>
        <v/>
      </c>
      <c r="W199">
        <f>HYPERLINK("https://klasma.github.io/Logging_1499/klagomålsmail/A 40067-2021 klagomålsmail.docx", "A 40067-2021")</f>
        <v/>
      </c>
      <c r="X199">
        <f>HYPERLINK("https://klasma.github.io/Logging_1499/tillsyn/A 40067-2021 tillsyn.docx", "A 40067-2021")</f>
        <v/>
      </c>
      <c r="Y199">
        <f>HYPERLINK("https://klasma.github.io/Logging_1499/tillsynsmail/A 40067-2021 tillsynsmail.docx", "A 40067-2021")</f>
        <v/>
      </c>
    </row>
    <row r="200" ht="15" customHeight="1">
      <c r="A200" t="inlineStr">
        <is>
          <t>A 44564-2021</t>
        </is>
      </c>
      <c r="B200" s="1" t="n">
        <v>44435</v>
      </c>
      <c r="C200" s="1" t="n">
        <v>45212</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HYPERLINK("https://klasma.github.io/Logging_1439/artfynd/A 44564-2021 artfynd.xlsx", "A 44564-2021")</f>
        <v/>
      </c>
      <c r="T200">
        <f>HYPERLINK("https://klasma.github.io/Logging_1439/karta/A 44564-2021 karta.png", "A 44564-2021")</f>
        <v/>
      </c>
      <c r="V200">
        <f>HYPERLINK("https://klasma.github.io/Logging_1439/klagomål/A 44564-2021 klagomål.docx", "A 44564-2021")</f>
        <v/>
      </c>
      <c r="W200">
        <f>HYPERLINK("https://klasma.github.io/Logging_1439/klagomålsmail/A 44564-2021 klagomålsmail.docx", "A 44564-2021")</f>
        <v/>
      </c>
      <c r="X200">
        <f>HYPERLINK("https://klasma.github.io/Logging_1439/tillsyn/A 44564-2021 tillsyn.docx", "A 44564-2021")</f>
        <v/>
      </c>
      <c r="Y200">
        <f>HYPERLINK("https://klasma.github.io/Logging_1439/tillsynsmail/A 44564-2021 tillsynsmail.docx", "A 44564-2021")</f>
        <v/>
      </c>
    </row>
    <row r="201" ht="15" customHeight="1">
      <c r="A201" t="inlineStr">
        <is>
          <t>A 47429-2021</t>
        </is>
      </c>
      <c r="B201" s="1" t="n">
        <v>44447</v>
      </c>
      <c r="C201" s="1" t="n">
        <v>45212</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HYPERLINK("https://klasma.github.io/Logging_1496/artfynd/A 47429-2021 artfynd.xlsx", "A 47429-2021")</f>
        <v/>
      </c>
      <c r="T201">
        <f>HYPERLINK("https://klasma.github.io/Logging_1496/karta/A 47429-2021 karta.png", "A 47429-2021")</f>
        <v/>
      </c>
      <c r="V201">
        <f>HYPERLINK("https://klasma.github.io/Logging_1496/klagomål/A 47429-2021 klagomål.docx", "A 47429-2021")</f>
        <v/>
      </c>
      <c r="W201">
        <f>HYPERLINK("https://klasma.github.io/Logging_1496/klagomålsmail/A 47429-2021 klagomålsmail.docx", "A 47429-2021")</f>
        <v/>
      </c>
      <c r="X201">
        <f>HYPERLINK("https://klasma.github.io/Logging_1496/tillsyn/A 47429-2021 tillsyn.docx", "A 47429-2021")</f>
        <v/>
      </c>
      <c r="Y201">
        <f>HYPERLINK("https://klasma.github.io/Logging_1496/tillsynsmail/A 47429-2021 tillsynsmail.docx", "A 47429-2021")</f>
        <v/>
      </c>
    </row>
    <row r="202" ht="15" customHeight="1">
      <c r="A202" t="inlineStr">
        <is>
          <t>A 48666-2021</t>
        </is>
      </c>
      <c r="B202" s="1" t="n">
        <v>44452</v>
      </c>
      <c r="C202" s="1" t="n">
        <v>45212</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HYPERLINK("https://klasma.github.io/Logging_1415/artfynd/A 48666-2021 artfynd.xlsx", "A 48666-2021")</f>
        <v/>
      </c>
      <c r="T202">
        <f>HYPERLINK("https://klasma.github.io/Logging_1415/karta/A 48666-2021 karta.png", "A 48666-2021")</f>
        <v/>
      </c>
      <c r="V202">
        <f>HYPERLINK("https://klasma.github.io/Logging_1415/klagomål/A 48666-2021 klagomål.docx", "A 48666-2021")</f>
        <v/>
      </c>
      <c r="W202">
        <f>HYPERLINK("https://klasma.github.io/Logging_1415/klagomålsmail/A 48666-2021 klagomålsmail.docx", "A 48666-2021")</f>
        <v/>
      </c>
      <c r="X202">
        <f>HYPERLINK("https://klasma.github.io/Logging_1415/tillsyn/A 48666-2021 tillsyn.docx", "A 48666-2021")</f>
        <v/>
      </c>
      <c r="Y202">
        <f>HYPERLINK("https://klasma.github.io/Logging_1415/tillsynsmail/A 48666-2021 tillsynsmail.docx", "A 48666-2021")</f>
        <v/>
      </c>
    </row>
    <row r="203" ht="15" customHeight="1">
      <c r="A203" t="inlineStr">
        <is>
          <t>A 55712-2021</t>
        </is>
      </c>
      <c r="B203" s="1" t="n">
        <v>44476</v>
      </c>
      <c r="C203" s="1" t="n">
        <v>45212</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HYPERLINK("https://klasma.github.io/Logging_1490/artfynd/A 55712-2021 artfynd.xlsx", "A 55712-2021")</f>
        <v/>
      </c>
      <c r="T203">
        <f>HYPERLINK("https://klasma.github.io/Logging_1490/karta/A 55712-2021 karta.png", "A 55712-2021")</f>
        <v/>
      </c>
      <c r="U203">
        <f>HYPERLINK("https://klasma.github.io/Logging_1490/knärot/A 55712-2021 knärot.png", "A 55712-2021")</f>
        <v/>
      </c>
      <c r="V203">
        <f>HYPERLINK("https://klasma.github.io/Logging_1490/klagomål/A 55712-2021 klagomål.docx", "A 55712-2021")</f>
        <v/>
      </c>
      <c r="W203">
        <f>HYPERLINK("https://klasma.github.io/Logging_1490/klagomålsmail/A 55712-2021 klagomålsmail.docx", "A 55712-2021")</f>
        <v/>
      </c>
      <c r="X203">
        <f>HYPERLINK("https://klasma.github.io/Logging_1490/tillsyn/A 55712-2021 tillsyn.docx", "A 55712-2021")</f>
        <v/>
      </c>
      <c r="Y203">
        <f>HYPERLINK("https://klasma.github.io/Logging_1490/tillsynsmail/A 55712-2021 tillsynsmail.docx", "A 55712-2021")</f>
        <v/>
      </c>
    </row>
    <row r="204" ht="15" customHeight="1">
      <c r="A204" t="inlineStr">
        <is>
          <t>A 57572-2021</t>
        </is>
      </c>
      <c r="B204" s="1" t="n">
        <v>44482</v>
      </c>
      <c r="C204" s="1" t="n">
        <v>45212</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HYPERLINK("https://klasma.github.io/Logging_1463/artfynd/A 57572-2021 artfynd.xlsx", "A 57572-2021")</f>
        <v/>
      </c>
      <c r="T204">
        <f>HYPERLINK("https://klasma.github.io/Logging_1463/karta/A 57572-2021 karta.png", "A 57572-2021")</f>
        <v/>
      </c>
      <c r="U204">
        <f>HYPERLINK("https://klasma.github.io/Logging_1463/knärot/A 57572-2021 knärot.png", "A 57572-2021")</f>
        <v/>
      </c>
      <c r="V204">
        <f>HYPERLINK("https://klasma.github.io/Logging_1463/klagomål/A 57572-2021 klagomål.docx", "A 57572-2021")</f>
        <v/>
      </c>
      <c r="W204">
        <f>HYPERLINK("https://klasma.github.io/Logging_1463/klagomålsmail/A 57572-2021 klagomålsmail.docx", "A 57572-2021")</f>
        <v/>
      </c>
      <c r="X204">
        <f>HYPERLINK("https://klasma.github.io/Logging_1463/tillsyn/A 57572-2021 tillsyn.docx", "A 57572-2021")</f>
        <v/>
      </c>
      <c r="Y204">
        <f>HYPERLINK("https://klasma.github.io/Logging_1463/tillsynsmail/A 57572-2021 tillsynsmail.docx", "A 57572-2021")</f>
        <v/>
      </c>
    </row>
    <row r="205" ht="15" customHeight="1">
      <c r="A205" t="inlineStr">
        <is>
          <t>A 57791-2021</t>
        </is>
      </c>
      <c r="B205" s="1" t="n">
        <v>44484</v>
      </c>
      <c r="C205" s="1" t="n">
        <v>45212</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HYPERLINK("https://klasma.github.io/Logging_1493/artfynd/A 57791-2021 artfynd.xlsx", "A 57791-2021")</f>
        <v/>
      </c>
      <c r="T205">
        <f>HYPERLINK("https://klasma.github.io/Logging_1493/karta/A 57791-2021 karta.png", "A 57791-2021")</f>
        <v/>
      </c>
      <c r="V205">
        <f>HYPERLINK("https://klasma.github.io/Logging_1493/klagomål/A 57791-2021 klagomål.docx", "A 57791-2021")</f>
        <v/>
      </c>
      <c r="W205">
        <f>HYPERLINK("https://klasma.github.io/Logging_1493/klagomålsmail/A 57791-2021 klagomålsmail.docx", "A 57791-2021")</f>
        <v/>
      </c>
      <c r="X205">
        <f>HYPERLINK("https://klasma.github.io/Logging_1493/tillsyn/A 57791-2021 tillsyn.docx", "A 57791-2021")</f>
        <v/>
      </c>
      <c r="Y205">
        <f>HYPERLINK("https://klasma.github.io/Logging_1493/tillsynsmail/A 57791-2021 tillsynsmail.docx", "A 57791-2021")</f>
        <v/>
      </c>
    </row>
    <row r="206" ht="15" customHeight="1">
      <c r="A206" t="inlineStr">
        <is>
          <t>A 64023-2021</t>
        </is>
      </c>
      <c r="B206" s="1" t="n">
        <v>44508</v>
      </c>
      <c r="C206" s="1" t="n">
        <v>45212</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HYPERLINK("https://klasma.github.io/Logging_1496/artfynd/A 64023-2021 artfynd.xlsx", "A 64023-2021")</f>
        <v/>
      </c>
      <c r="T206">
        <f>HYPERLINK("https://klasma.github.io/Logging_1496/karta/A 64023-2021 karta.png", "A 64023-2021")</f>
        <v/>
      </c>
      <c r="V206">
        <f>HYPERLINK("https://klasma.github.io/Logging_1496/klagomål/A 64023-2021 klagomål.docx", "A 64023-2021")</f>
        <v/>
      </c>
      <c r="W206">
        <f>HYPERLINK("https://klasma.github.io/Logging_1496/klagomålsmail/A 64023-2021 klagomålsmail.docx", "A 64023-2021")</f>
        <v/>
      </c>
      <c r="X206">
        <f>HYPERLINK("https://klasma.github.io/Logging_1496/tillsyn/A 64023-2021 tillsyn.docx", "A 64023-2021")</f>
        <v/>
      </c>
      <c r="Y206">
        <f>HYPERLINK("https://klasma.github.io/Logging_1496/tillsynsmail/A 64023-2021 tillsynsmail.docx", "A 64023-2021")</f>
        <v/>
      </c>
    </row>
    <row r="207" ht="15" customHeight="1">
      <c r="A207" t="inlineStr">
        <is>
          <t>A 66731-2021</t>
        </is>
      </c>
      <c r="B207" s="1" t="n">
        <v>44520</v>
      </c>
      <c r="C207" s="1" t="n">
        <v>45212</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HYPERLINK("https://klasma.github.io/Logging_1491/artfynd/A 66731-2021 artfynd.xlsx", "A 66731-2021")</f>
        <v/>
      </c>
      <c r="T207">
        <f>HYPERLINK("https://klasma.github.io/Logging_1491/karta/A 66731-2021 karta.png", "A 66731-2021")</f>
        <v/>
      </c>
      <c r="V207">
        <f>HYPERLINK("https://klasma.github.io/Logging_1491/klagomål/A 66731-2021 klagomål.docx", "A 66731-2021")</f>
        <v/>
      </c>
      <c r="W207">
        <f>HYPERLINK("https://klasma.github.io/Logging_1491/klagomålsmail/A 66731-2021 klagomålsmail.docx", "A 66731-2021")</f>
        <v/>
      </c>
      <c r="X207">
        <f>HYPERLINK("https://klasma.github.io/Logging_1491/tillsyn/A 66731-2021 tillsyn.docx", "A 66731-2021")</f>
        <v/>
      </c>
      <c r="Y207">
        <f>HYPERLINK("https://klasma.github.io/Logging_1491/tillsynsmail/A 66731-2021 tillsynsmail.docx", "A 66731-2021")</f>
        <v/>
      </c>
    </row>
    <row r="208" ht="15" customHeight="1">
      <c r="A208" t="inlineStr">
        <is>
          <t>A 67507-2021</t>
        </is>
      </c>
      <c r="B208" s="1" t="n">
        <v>44524</v>
      </c>
      <c r="C208" s="1" t="n">
        <v>45212</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HYPERLINK("https://klasma.github.io/Logging_1493/artfynd/A 67507-2021 artfynd.xlsx", "A 67507-2021")</f>
        <v/>
      </c>
      <c r="T208">
        <f>HYPERLINK("https://klasma.github.io/Logging_1493/karta/A 67507-2021 karta.png", "A 67507-2021")</f>
        <v/>
      </c>
      <c r="V208">
        <f>HYPERLINK("https://klasma.github.io/Logging_1493/klagomål/A 67507-2021 klagomål.docx", "A 67507-2021")</f>
        <v/>
      </c>
      <c r="W208">
        <f>HYPERLINK("https://klasma.github.io/Logging_1493/klagomålsmail/A 67507-2021 klagomålsmail.docx", "A 67507-2021")</f>
        <v/>
      </c>
      <c r="X208">
        <f>HYPERLINK("https://klasma.github.io/Logging_1493/tillsyn/A 67507-2021 tillsyn.docx", "A 67507-2021")</f>
        <v/>
      </c>
      <c r="Y208">
        <f>HYPERLINK("https://klasma.github.io/Logging_1493/tillsynsmail/A 67507-2021 tillsynsmail.docx", "A 67507-2021")</f>
        <v/>
      </c>
    </row>
    <row r="209" ht="15" customHeight="1">
      <c r="A209" t="inlineStr">
        <is>
          <t>A 3495-2022</t>
        </is>
      </c>
      <c r="B209" s="1" t="n">
        <v>44585</v>
      </c>
      <c r="C209" s="1" t="n">
        <v>45212</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HYPERLINK("https://klasma.github.io/Logging_1491/artfynd/A 3495-2022 artfynd.xlsx", "A 3495-2022")</f>
        <v/>
      </c>
      <c r="T209">
        <f>HYPERLINK("https://klasma.github.io/Logging_1491/karta/A 3495-2022 karta.png", "A 3495-2022")</f>
        <v/>
      </c>
      <c r="V209">
        <f>HYPERLINK("https://klasma.github.io/Logging_1491/klagomål/A 3495-2022 klagomål.docx", "A 3495-2022")</f>
        <v/>
      </c>
      <c r="W209">
        <f>HYPERLINK("https://klasma.github.io/Logging_1491/klagomålsmail/A 3495-2022 klagomålsmail.docx", "A 3495-2022")</f>
        <v/>
      </c>
      <c r="X209">
        <f>HYPERLINK("https://klasma.github.io/Logging_1491/tillsyn/A 3495-2022 tillsyn.docx", "A 3495-2022")</f>
        <v/>
      </c>
      <c r="Y209">
        <f>HYPERLINK("https://klasma.github.io/Logging_1491/tillsynsmail/A 3495-2022 tillsynsmail.docx", "A 3495-2022")</f>
        <v/>
      </c>
    </row>
    <row r="210" ht="15" customHeight="1">
      <c r="A210" t="inlineStr">
        <is>
          <t>A 4173-2022</t>
        </is>
      </c>
      <c r="B210" s="1" t="n">
        <v>44588</v>
      </c>
      <c r="C210" s="1" t="n">
        <v>45212</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HYPERLINK("https://klasma.github.io/Logging_1486/artfynd/A 4173-2022 artfynd.xlsx", "A 4173-2022")</f>
        <v/>
      </c>
      <c r="T210">
        <f>HYPERLINK("https://klasma.github.io/Logging_1486/karta/A 4173-2022 karta.png", "A 4173-2022")</f>
        <v/>
      </c>
      <c r="V210">
        <f>HYPERLINK("https://klasma.github.io/Logging_1486/klagomål/A 4173-2022 klagomål.docx", "A 4173-2022")</f>
        <v/>
      </c>
      <c r="W210">
        <f>HYPERLINK("https://klasma.github.io/Logging_1486/klagomålsmail/A 4173-2022 klagomålsmail.docx", "A 4173-2022")</f>
        <v/>
      </c>
      <c r="X210">
        <f>HYPERLINK("https://klasma.github.io/Logging_1486/tillsyn/A 4173-2022 tillsyn.docx", "A 4173-2022")</f>
        <v/>
      </c>
      <c r="Y210">
        <f>HYPERLINK("https://klasma.github.io/Logging_1486/tillsynsmail/A 4173-2022 tillsynsmail.docx", "A 4173-2022")</f>
        <v/>
      </c>
    </row>
    <row r="211" ht="15" customHeight="1">
      <c r="A211" t="inlineStr">
        <is>
          <t>A 6454-2022</t>
        </is>
      </c>
      <c r="B211" s="1" t="n">
        <v>44601</v>
      </c>
      <c r="C211" s="1" t="n">
        <v>45212</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HYPERLINK("https://klasma.github.io/Logging_1438/artfynd/A 6454-2022 artfynd.xlsx", "A 6454-2022")</f>
        <v/>
      </c>
      <c r="T211">
        <f>HYPERLINK("https://klasma.github.io/Logging_1438/karta/A 6454-2022 karta.png", "A 6454-2022")</f>
        <v/>
      </c>
      <c r="V211">
        <f>HYPERLINK("https://klasma.github.io/Logging_1438/klagomål/A 6454-2022 klagomål.docx", "A 6454-2022")</f>
        <v/>
      </c>
      <c r="W211">
        <f>HYPERLINK("https://klasma.github.io/Logging_1438/klagomålsmail/A 6454-2022 klagomålsmail.docx", "A 6454-2022")</f>
        <v/>
      </c>
      <c r="X211">
        <f>HYPERLINK("https://klasma.github.io/Logging_1438/tillsyn/A 6454-2022 tillsyn.docx", "A 6454-2022")</f>
        <v/>
      </c>
      <c r="Y211">
        <f>HYPERLINK("https://klasma.github.io/Logging_1438/tillsynsmail/A 6454-2022 tillsynsmail.docx", "A 6454-2022")</f>
        <v/>
      </c>
    </row>
    <row r="212" ht="15" customHeight="1">
      <c r="A212" t="inlineStr">
        <is>
          <t>A 7823-2022</t>
        </is>
      </c>
      <c r="B212" s="1" t="n">
        <v>44608</v>
      </c>
      <c r="C212" s="1" t="n">
        <v>45212</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HYPERLINK("https://klasma.github.io/Logging_1473/artfynd/A 7823-2022 artfynd.xlsx", "A 7823-2022")</f>
        <v/>
      </c>
      <c r="T212">
        <f>HYPERLINK("https://klasma.github.io/Logging_1473/karta/A 7823-2022 karta.png", "A 7823-2022")</f>
        <v/>
      </c>
      <c r="V212">
        <f>HYPERLINK("https://klasma.github.io/Logging_1473/klagomål/A 7823-2022 klagomål.docx", "A 7823-2022")</f>
        <v/>
      </c>
      <c r="W212">
        <f>HYPERLINK("https://klasma.github.io/Logging_1473/klagomålsmail/A 7823-2022 klagomålsmail.docx", "A 7823-2022")</f>
        <v/>
      </c>
      <c r="X212">
        <f>HYPERLINK("https://klasma.github.io/Logging_1473/tillsyn/A 7823-2022 tillsyn.docx", "A 7823-2022")</f>
        <v/>
      </c>
      <c r="Y212">
        <f>HYPERLINK("https://klasma.github.io/Logging_1473/tillsynsmail/A 7823-2022 tillsynsmail.docx", "A 7823-2022")</f>
        <v/>
      </c>
    </row>
    <row r="213" ht="15" customHeight="1">
      <c r="A213" t="inlineStr">
        <is>
          <t>A 8510-2022</t>
        </is>
      </c>
      <c r="B213" s="1" t="n">
        <v>44613</v>
      </c>
      <c r="C213" s="1" t="n">
        <v>45212</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HYPERLINK("https://klasma.github.io/Logging_1472/artfynd/A 8510-2022 artfynd.xlsx", "A 8510-2022")</f>
        <v/>
      </c>
      <c r="T213">
        <f>HYPERLINK("https://klasma.github.io/Logging_1472/karta/A 8510-2022 karta.png", "A 8510-2022")</f>
        <v/>
      </c>
      <c r="V213">
        <f>HYPERLINK("https://klasma.github.io/Logging_1472/klagomål/A 8510-2022 klagomål.docx", "A 8510-2022")</f>
        <v/>
      </c>
      <c r="W213">
        <f>HYPERLINK("https://klasma.github.io/Logging_1472/klagomålsmail/A 8510-2022 klagomålsmail.docx", "A 8510-2022")</f>
        <v/>
      </c>
      <c r="X213">
        <f>HYPERLINK("https://klasma.github.io/Logging_1472/tillsyn/A 8510-2022 tillsyn.docx", "A 8510-2022")</f>
        <v/>
      </c>
      <c r="Y213">
        <f>HYPERLINK("https://klasma.github.io/Logging_1472/tillsynsmail/A 8510-2022 tillsynsmail.docx", "A 8510-2022")</f>
        <v/>
      </c>
    </row>
    <row r="214" ht="15" customHeight="1">
      <c r="A214" t="inlineStr">
        <is>
          <t>A 9099-2022</t>
        </is>
      </c>
      <c r="B214" s="1" t="n">
        <v>44615</v>
      </c>
      <c r="C214" s="1" t="n">
        <v>45212</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HYPERLINK("https://klasma.github.io/Logging_1462/artfynd/A 9099-2022 artfynd.xlsx", "A 9099-2022")</f>
        <v/>
      </c>
      <c r="T214">
        <f>HYPERLINK("https://klasma.github.io/Logging_1462/karta/A 9099-2022 karta.png", "A 9099-2022")</f>
        <v/>
      </c>
      <c r="V214">
        <f>HYPERLINK("https://klasma.github.io/Logging_1462/klagomål/A 9099-2022 klagomål.docx", "A 9099-2022")</f>
        <v/>
      </c>
      <c r="W214">
        <f>HYPERLINK("https://klasma.github.io/Logging_1462/klagomålsmail/A 9099-2022 klagomålsmail.docx", "A 9099-2022")</f>
        <v/>
      </c>
      <c r="X214">
        <f>HYPERLINK("https://klasma.github.io/Logging_1462/tillsyn/A 9099-2022 tillsyn.docx", "A 9099-2022")</f>
        <v/>
      </c>
      <c r="Y214">
        <f>HYPERLINK("https://klasma.github.io/Logging_1462/tillsynsmail/A 9099-2022 tillsynsmail.docx", "A 9099-2022")</f>
        <v/>
      </c>
    </row>
    <row r="215" ht="15" customHeight="1">
      <c r="A215" t="inlineStr">
        <is>
          <t>A 13274-2022</t>
        </is>
      </c>
      <c r="B215" s="1" t="n">
        <v>44644</v>
      </c>
      <c r="C215" s="1" t="n">
        <v>45212</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HYPERLINK("https://klasma.github.io/Logging_1435/artfynd/A 13274-2022 artfynd.xlsx", "A 13274-2022")</f>
        <v/>
      </c>
      <c r="T215">
        <f>HYPERLINK("https://klasma.github.io/Logging_1435/karta/A 13274-2022 karta.png", "A 13274-2022")</f>
        <v/>
      </c>
      <c r="V215">
        <f>HYPERLINK("https://klasma.github.io/Logging_1435/klagomål/A 13274-2022 klagomål.docx", "A 13274-2022")</f>
        <v/>
      </c>
      <c r="W215">
        <f>HYPERLINK("https://klasma.github.io/Logging_1435/klagomålsmail/A 13274-2022 klagomålsmail.docx", "A 13274-2022")</f>
        <v/>
      </c>
      <c r="X215">
        <f>HYPERLINK("https://klasma.github.io/Logging_1435/tillsyn/A 13274-2022 tillsyn.docx", "A 13274-2022")</f>
        <v/>
      </c>
      <c r="Y215">
        <f>HYPERLINK("https://klasma.github.io/Logging_1435/tillsynsmail/A 13274-2022 tillsynsmail.docx", "A 13274-2022")</f>
        <v/>
      </c>
    </row>
    <row r="216" ht="15" customHeight="1">
      <c r="A216" t="inlineStr">
        <is>
          <t>A 16972-2022</t>
        </is>
      </c>
      <c r="B216" s="1" t="n">
        <v>44676</v>
      </c>
      <c r="C216" s="1" t="n">
        <v>45212</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HYPERLINK("https://klasma.github.io/Logging_1430/artfynd/A 16972-2022 artfynd.xlsx", "A 16972-2022")</f>
        <v/>
      </c>
      <c r="T216">
        <f>HYPERLINK("https://klasma.github.io/Logging_1430/karta/A 16972-2022 karta.png", "A 16972-2022")</f>
        <v/>
      </c>
      <c r="V216">
        <f>HYPERLINK("https://klasma.github.io/Logging_1430/klagomål/A 16972-2022 klagomål.docx", "A 16972-2022")</f>
        <v/>
      </c>
      <c r="W216">
        <f>HYPERLINK("https://klasma.github.io/Logging_1430/klagomålsmail/A 16972-2022 klagomålsmail.docx", "A 16972-2022")</f>
        <v/>
      </c>
      <c r="X216">
        <f>HYPERLINK("https://klasma.github.io/Logging_1430/tillsyn/A 16972-2022 tillsyn.docx", "A 16972-2022")</f>
        <v/>
      </c>
      <c r="Y216">
        <f>HYPERLINK("https://klasma.github.io/Logging_1430/tillsynsmail/A 16972-2022 tillsynsmail.docx", "A 16972-2022")</f>
        <v/>
      </c>
    </row>
    <row r="217" ht="15" customHeight="1">
      <c r="A217" t="inlineStr">
        <is>
          <t>A 22268-2022</t>
        </is>
      </c>
      <c r="B217" s="1" t="n">
        <v>44712</v>
      </c>
      <c r="C217" s="1" t="n">
        <v>45212</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HYPERLINK("https://klasma.github.io/Logging_1441/artfynd/A 22268-2022 artfynd.xlsx", "A 22268-2022")</f>
        <v/>
      </c>
      <c r="T217">
        <f>HYPERLINK("https://klasma.github.io/Logging_1441/karta/A 22268-2022 karta.png", "A 22268-2022")</f>
        <v/>
      </c>
      <c r="V217">
        <f>HYPERLINK("https://klasma.github.io/Logging_1441/klagomål/A 22268-2022 klagomål.docx", "A 22268-2022")</f>
        <v/>
      </c>
      <c r="W217">
        <f>HYPERLINK("https://klasma.github.io/Logging_1441/klagomålsmail/A 22268-2022 klagomålsmail.docx", "A 22268-2022")</f>
        <v/>
      </c>
      <c r="X217">
        <f>HYPERLINK("https://klasma.github.io/Logging_1441/tillsyn/A 22268-2022 tillsyn.docx", "A 22268-2022")</f>
        <v/>
      </c>
      <c r="Y217">
        <f>HYPERLINK("https://klasma.github.io/Logging_1441/tillsynsmail/A 22268-2022 tillsynsmail.docx", "A 22268-2022")</f>
        <v/>
      </c>
    </row>
    <row r="218" ht="15" customHeight="1">
      <c r="A218" t="inlineStr">
        <is>
          <t>A 26286-2022</t>
        </is>
      </c>
      <c r="B218" s="1" t="n">
        <v>44735</v>
      </c>
      <c r="C218" s="1" t="n">
        <v>45212</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HYPERLINK("https://klasma.github.io/Logging_1430/artfynd/A 26286-2022 artfynd.xlsx", "A 26286-2022")</f>
        <v/>
      </c>
      <c r="T218">
        <f>HYPERLINK("https://klasma.github.io/Logging_1430/karta/A 26286-2022 karta.png", "A 26286-2022")</f>
        <v/>
      </c>
      <c r="V218">
        <f>HYPERLINK("https://klasma.github.io/Logging_1430/klagomål/A 26286-2022 klagomål.docx", "A 26286-2022")</f>
        <v/>
      </c>
      <c r="W218">
        <f>HYPERLINK("https://klasma.github.io/Logging_1430/klagomålsmail/A 26286-2022 klagomålsmail.docx", "A 26286-2022")</f>
        <v/>
      </c>
      <c r="X218">
        <f>HYPERLINK("https://klasma.github.io/Logging_1430/tillsyn/A 26286-2022 tillsyn.docx", "A 26286-2022")</f>
        <v/>
      </c>
      <c r="Y218">
        <f>HYPERLINK("https://klasma.github.io/Logging_1430/tillsynsmail/A 26286-2022 tillsynsmail.docx", "A 26286-2022")</f>
        <v/>
      </c>
    </row>
    <row r="219" ht="15" customHeight="1">
      <c r="A219" t="inlineStr">
        <is>
          <t>A 28676-2022</t>
        </is>
      </c>
      <c r="B219" s="1" t="n">
        <v>44748</v>
      </c>
      <c r="C219" s="1" t="n">
        <v>45212</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HYPERLINK("https://klasma.github.io/Logging_1499/artfynd/A 28676-2022 artfynd.xlsx", "A 28676-2022")</f>
        <v/>
      </c>
      <c r="T219">
        <f>HYPERLINK("https://klasma.github.io/Logging_1499/karta/A 28676-2022 karta.png", "A 28676-2022")</f>
        <v/>
      </c>
      <c r="V219">
        <f>HYPERLINK("https://klasma.github.io/Logging_1499/klagomål/A 28676-2022 klagomål.docx", "A 28676-2022")</f>
        <v/>
      </c>
      <c r="W219">
        <f>HYPERLINK("https://klasma.github.io/Logging_1499/klagomålsmail/A 28676-2022 klagomålsmail.docx", "A 28676-2022")</f>
        <v/>
      </c>
      <c r="X219">
        <f>HYPERLINK("https://klasma.github.io/Logging_1499/tillsyn/A 28676-2022 tillsyn.docx", "A 28676-2022")</f>
        <v/>
      </c>
      <c r="Y219">
        <f>HYPERLINK("https://klasma.github.io/Logging_1499/tillsynsmail/A 28676-2022 tillsynsmail.docx", "A 28676-2022")</f>
        <v/>
      </c>
    </row>
    <row r="220" ht="15" customHeight="1">
      <c r="A220" t="inlineStr">
        <is>
          <t>A 29122-2022</t>
        </is>
      </c>
      <c r="B220" s="1" t="n">
        <v>44750</v>
      </c>
      <c r="C220" s="1" t="n">
        <v>45212</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HYPERLINK("https://klasma.github.io/Logging_1461/artfynd/A 29122-2022 artfynd.xlsx", "A 29122-2022")</f>
        <v/>
      </c>
      <c r="T220">
        <f>HYPERLINK("https://klasma.github.io/Logging_1461/karta/A 29122-2022 karta.png", "A 29122-2022")</f>
        <v/>
      </c>
      <c r="V220">
        <f>HYPERLINK("https://klasma.github.io/Logging_1461/klagomål/A 29122-2022 klagomål.docx", "A 29122-2022")</f>
        <v/>
      </c>
      <c r="W220">
        <f>HYPERLINK("https://klasma.github.io/Logging_1461/klagomålsmail/A 29122-2022 klagomålsmail.docx", "A 29122-2022")</f>
        <v/>
      </c>
      <c r="X220">
        <f>HYPERLINK("https://klasma.github.io/Logging_1461/tillsyn/A 29122-2022 tillsyn.docx", "A 29122-2022")</f>
        <v/>
      </c>
      <c r="Y220">
        <f>HYPERLINK("https://klasma.github.io/Logging_1461/tillsynsmail/A 29122-2022 tillsynsmail.docx", "A 29122-2022")</f>
        <v/>
      </c>
    </row>
    <row r="221" ht="15" customHeight="1">
      <c r="A221" t="inlineStr">
        <is>
          <t>A 29220-2022</t>
        </is>
      </c>
      <c r="B221" s="1" t="n">
        <v>44750</v>
      </c>
      <c r="C221" s="1" t="n">
        <v>45212</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HYPERLINK("https://klasma.github.io/Logging_1460/artfynd/A 29220-2022 artfynd.xlsx", "A 29220-2022")</f>
        <v/>
      </c>
      <c r="T221">
        <f>HYPERLINK("https://klasma.github.io/Logging_1460/karta/A 29220-2022 karta.png", "A 29220-2022")</f>
        <v/>
      </c>
      <c r="V221">
        <f>HYPERLINK("https://klasma.github.io/Logging_1460/klagomål/A 29220-2022 klagomål.docx", "A 29220-2022")</f>
        <v/>
      </c>
      <c r="W221">
        <f>HYPERLINK("https://klasma.github.io/Logging_1460/klagomålsmail/A 29220-2022 klagomålsmail.docx", "A 29220-2022")</f>
        <v/>
      </c>
      <c r="X221">
        <f>HYPERLINK("https://klasma.github.io/Logging_1460/tillsyn/A 29220-2022 tillsyn.docx", "A 29220-2022")</f>
        <v/>
      </c>
      <c r="Y221">
        <f>HYPERLINK("https://klasma.github.io/Logging_1460/tillsynsmail/A 29220-2022 tillsynsmail.docx", "A 29220-2022")</f>
        <v/>
      </c>
    </row>
    <row r="222" ht="15" customHeight="1">
      <c r="A222" t="inlineStr">
        <is>
          <t>A 29724-2022</t>
        </is>
      </c>
      <c r="B222" s="1" t="n">
        <v>44755</v>
      </c>
      <c r="C222" s="1" t="n">
        <v>45212</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HYPERLINK("https://klasma.github.io/Logging_1472/artfynd/A 29724-2022 artfynd.xlsx", "A 29724-2022")</f>
        <v/>
      </c>
      <c r="T222">
        <f>HYPERLINK("https://klasma.github.io/Logging_1472/karta/A 29724-2022 karta.png", "A 29724-2022")</f>
        <v/>
      </c>
      <c r="U222">
        <f>HYPERLINK("https://klasma.github.io/Logging_1472/knärot/A 29724-2022 knärot.png", "A 29724-2022")</f>
        <v/>
      </c>
      <c r="V222">
        <f>HYPERLINK("https://klasma.github.io/Logging_1472/klagomål/A 29724-2022 klagomål.docx", "A 29724-2022")</f>
        <v/>
      </c>
      <c r="W222">
        <f>HYPERLINK("https://klasma.github.io/Logging_1472/klagomålsmail/A 29724-2022 klagomålsmail.docx", "A 29724-2022")</f>
        <v/>
      </c>
      <c r="X222">
        <f>HYPERLINK("https://klasma.github.io/Logging_1472/tillsyn/A 29724-2022 tillsyn.docx", "A 29724-2022")</f>
        <v/>
      </c>
      <c r="Y222">
        <f>HYPERLINK("https://klasma.github.io/Logging_1472/tillsynsmail/A 29724-2022 tillsynsmail.docx", "A 29724-2022")</f>
        <v/>
      </c>
    </row>
    <row r="223" ht="15" customHeight="1">
      <c r="A223" t="inlineStr">
        <is>
          <t>A 31341-2022</t>
        </is>
      </c>
      <c r="B223" s="1" t="n">
        <v>44774</v>
      </c>
      <c r="C223" s="1" t="n">
        <v>45212</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HYPERLINK("https://klasma.github.io/Logging_1442/artfynd/A 31341-2022 artfynd.xlsx", "A 31341-2022")</f>
        <v/>
      </c>
      <c r="T223">
        <f>HYPERLINK("https://klasma.github.io/Logging_1442/karta/A 31341-2022 karta.png", "A 31341-2022")</f>
        <v/>
      </c>
      <c r="V223">
        <f>HYPERLINK("https://klasma.github.io/Logging_1442/klagomål/A 31341-2022 klagomål.docx", "A 31341-2022")</f>
        <v/>
      </c>
      <c r="W223">
        <f>HYPERLINK("https://klasma.github.io/Logging_1442/klagomålsmail/A 31341-2022 klagomålsmail.docx", "A 31341-2022")</f>
        <v/>
      </c>
      <c r="X223">
        <f>HYPERLINK("https://klasma.github.io/Logging_1442/tillsyn/A 31341-2022 tillsyn.docx", "A 31341-2022")</f>
        <v/>
      </c>
      <c r="Y223">
        <f>HYPERLINK("https://klasma.github.io/Logging_1442/tillsynsmail/A 31341-2022 tillsynsmail.docx", "A 31341-2022")</f>
        <v/>
      </c>
    </row>
    <row r="224" ht="15" customHeight="1">
      <c r="A224" t="inlineStr">
        <is>
          <t>A 32280-2022</t>
        </is>
      </c>
      <c r="B224" s="1" t="n">
        <v>44781</v>
      </c>
      <c r="C224" s="1" t="n">
        <v>45212</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HYPERLINK("https://klasma.github.io/Logging_1494/artfynd/A 32280-2022 artfynd.xlsx", "A 32280-2022")</f>
        <v/>
      </c>
      <c r="T224">
        <f>HYPERLINK("https://klasma.github.io/Logging_1494/karta/A 32280-2022 karta.png", "A 32280-2022")</f>
        <v/>
      </c>
      <c r="V224">
        <f>HYPERLINK("https://klasma.github.io/Logging_1494/klagomål/A 32280-2022 klagomål.docx", "A 32280-2022")</f>
        <v/>
      </c>
      <c r="W224">
        <f>HYPERLINK("https://klasma.github.io/Logging_1494/klagomålsmail/A 32280-2022 klagomålsmail.docx", "A 32280-2022")</f>
        <v/>
      </c>
      <c r="X224">
        <f>HYPERLINK("https://klasma.github.io/Logging_1494/tillsyn/A 32280-2022 tillsyn.docx", "A 32280-2022")</f>
        <v/>
      </c>
      <c r="Y224">
        <f>HYPERLINK("https://klasma.github.io/Logging_1494/tillsynsmail/A 32280-2022 tillsynsmail.docx", "A 32280-2022")</f>
        <v/>
      </c>
    </row>
    <row r="225" ht="15" customHeight="1">
      <c r="A225" t="inlineStr">
        <is>
          <t>A 36195-2022</t>
        </is>
      </c>
      <c r="B225" s="1" t="n">
        <v>44803</v>
      </c>
      <c r="C225" s="1" t="n">
        <v>45212</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HYPERLINK("https://klasma.github.io/Logging_1489/artfynd/A 36195-2022 artfynd.xlsx", "A 36195-2022")</f>
        <v/>
      </c>
      <c r="T225">
        <f>HYPERLINK("https://klasma.github.io/Logging_1489/karta/A 36195-2022 karta.png", "A 36195-2022")</f>
        <v/>
      </c>
      <c r="V225">
        <f>HYPERLINK("https://klasma.github.io/Logging_1489/klagomål/A 36195-2022 klagomål.docx", "A 36195-2022")</f>
        <v/>
      </c>
      <c r="W225">
        <f>HYPERLINK("https://klasma.github.io/Logging_1489/klagomålsmail/A 36195-2022 klagomålsmail.docx", "A 36195-2022")</f>
        <v/>
      </c>
      <c r="X225">
        <f>HYPERLINK("https://klasma.github.io/Logging_1489/tillsyn/A 36195-2022 tillsyn.docx", "A 36195-2022")</f>
        <v/>
      </c>
      <c r="Y225">
        <f>HYPERLINK("https://klasma.github.io/Logging_1489/tillsynsmail/A 36195-2022 tillsynsmail.docx", "A 36195-2022")</f>
        <v/>
      </c>
    </row>
    <row r="226" ht="15" customHeight="1">
      <c r="A226" t="inlineStr">
        <is>
          <t>A 38498-2022</t>
        </is>
      </c>
      <c r="B226" s="1" t="n">
        <v>44813</v>
      </c>
      <c r="C226" s="1" t="n">
        <v>45212</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HYPERLINK("https://klasma.github.io/Logging_1439/artfynd/A 38498-2022 artfynd.xlsx", "A 38498-2022")</f>
        <v/>
      </c>
      <c r="T226">
        <f>HYPERLINK("https://klasma.github.io/Logging_1439/karta/A 38498-2022 karta.png", "A 38498-2022")</f>
        <v/>
      </c>
      <c r="V226">
        <f>HYPERLINK("https://klasma.github.io/Logging_1439/klagomål/A 38498-2022 klagomål.docx", "A 38498-2022")</f>
        <v/>
      </c>
      <c r="W226">
        <f>HYPERLINK("https://klasma.github.io/Logging_1439/klagomålsmail/A 38498-2022 klagomålsmail.docx", "A 38498-2022")</f>
        <v/>
      </c>
      <c r="X226">
        <f>HYPERLINK("https://klasma.github.io/Logging_1439/tillsyn/A 38498-2022 tillsyn.docx", "A 38498-2022")</f>
        <v/>
      </c>
      <c r="Y226">
        <f>HYPERLINK("https://klasma.github.io/Logging_1439/tillsynsmail/A 38498-2022 tillsynsmail.docx", "A 38498-2022")</f>
        <v/>
      </c>
    </row>
    <row r="227" ht="15" customHeight="1">
      <c r="A227" t="inlineStr">
        <is>
          <t>A 39812-2022</t>
        </is>
      </c>
      <c r="B227" s="1" t="n">
        <v>44817</v>
      </c>
      <c r="C227" s="1" t="n">
        <v>45212</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HYPERLINK("https://klasma.github.io/Logging_1430/artfynd/A 39812-2022 artfynd.xlsx", "A 39812-2022")</f>
        <v/>
      </c>
      <c r="T227">
        <f>HYPERLINK("https://klasma.github.io/Logging_1430/karta/A 39812-2022 karta.png", "A 39812-2022")</f>
        <v/>
      </c>
      <c r="V227">
        <f>HYPERLINK("https://klasma.github.io/Logging_1430/klagomål/A 39812-2022 klagomål.docx", "A 39812-2022")</f>
        <v/>
      </c>
      <c r="W227">
        <f>HYPERLINK("https://klasma.github.io/Logging_1430/klagomålsmail/A 39812-2022 klagomålsmail.docx", "A 39812-2022")</f>
        <v/>
      </c>
      <c r="X227">
        <f>HYPERLINK("https://klasma.github.io/Logging_1430/tillsyn/A 39812-2022 tillsyn.docx", "A 39812-2022")</f>
        <v/>
      </c>
      <c r="Y227">
        <f>HYPERLINK("https://klasma.github.io/Logging_1430/tillsynsmail/A 39812-2022 tillsynsmail.docx", "A 39812-2022")</f>
        <v/>
      </c>
    </row>
    <row r="228" ht="15" customHeight="1">
      <c r="A228" t="inlineStr">
        <is>
          <t>A 51388-2022</t>
        </is>
      </c>
      <c r="B228" s="1" t="n">
        <v>44866</v>
      </c>
      <c r="C228" s="1" t="n">
        <v>45212</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HYPERLINK("https://klasma.github.io/Logging_1460/artfynd/A 51388-2022 artfynd.xlsx", "A 51388-2022")</f>
        <v/>
      </c>
      <c r="T228">
        <f>HYPERLINK("https://klasma.github.io/Logging_1460/karta/A 51388-2022 karta.png", "A 51388-2022")</f>
        <v/>
      </c>
      <c r="V228">
        <f>HYPERLINK("https://klasma.github.io/Logging_1460/klagomål/A 51388-2022 klagomål.docx", "A 51388-2022")</f>
        <v/>
      </c>
      <c r="W228">
        <f>HYPERLINK("https://klasma.github.io/Logging_1460/klagomålsmail/A 51388-2022 klagomålsmail.docx", "A 51388-2022")</f>
        <v/>
      </c>
      <c r="X228">
        <f>HYPERLINK("https://klasma.github.io/Logging_1460/tillsyn/A 51388-2022 tillsyn.docx", "A 51388-2022")</f>
        <v/>
      </c>
      <c r="Y228">
        <f>HYPERLINK("https://klasma.github.io/Logging_1460/tillsynsmail/A 51388-2022 tillsynsmail.docx", "A 51388-2022")</f>
        <v/>
      </c>
    </row>
    <row r="229" ht="15" customHeight="1">
      <c r="A229" t="inlineStr">
        <is>
          <t>A 51267-2022</t>
        </is>
      </c>
      <c r="B229" s="1" t="n">
        <v>44868</v>
      </c>
      <c r="C229" s="1" t="n">
        <v>45212</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HYPERLINK("https://klasma.github.io/Logging_1435/artfynd/A 51267-2022 artfynd.xlsx", "A 51267-2022")</f>
        <v/>
      </c>
      <c r="T229">
        <f>HYPERLINK("https://klasma.github.io/Logging_1435/karta/A 51267-2022 karta.png", "A 51267-2022")</f>
        <v/>
      </c>
      <c r="V229">
        <f>HYPERLINK("https://klasma.github.io/Logging_1435/klagomål/A 51267-2022 klagomål.docx", "A 51267-2022")</f>
        <v/>
      </c>
      <c r="W229">
        <f>HYPERLINK("https://klasma.github.io/Logging_1435/klagomålsmail/A 51267-2022 klagomålsmail.docx", "A 51267-2022")</f>
        <v/>
      </c>
      <c r="X229">
        <f>HYPERLINK("https://klasma.github.io/Logging_1435/tillsyn/A 51267-2022 tillsyn.docx", "A 51267-2022")</f>
        <v/>
      </c>
      <c r="Y229">
        <f>HYPERLINK("https://klasma.github.io/Logging_1435/tillsynsmail/A 51267-2022 tillsynsmail.docx", "A 51267-2022")</f>
        <v/>
      </c>
    </row>
    <row r="230" ht="15" customHeight="1">
      <c r="A230" t="inlineStr">
        <is>
          <t>A 58890-2022</t>
        </is>
      </c>
      <c r="B230" s="1" t="n">
        <v>44903</v>
      </c>
      <c r="C230" s="1" t="n">
        <v>45212</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HYPERLINK("https://klasma.github.io/Logging_1430/artfynd/A 58890-2022 artfynd.xlsx", "A 58890-2022")</f>
        <v/>
      </c>
      <c r="T230">
        <f>HYPERLINK("https://klasma.github.io/Logging_1430/karta/A 58890-2022 karta.png", "A 58890-2022")</f>
        <v/>
      </c>
      <c r="V230">
        <f>HYPERLINK("https://klasma.github.io/Logging_1430/klagomål/A 58890-2022 klagomål.docx", "A 58890-2022")</f>
        <v/>
      </c>
      <c r="W230">
        <f>HYPERLINK("https://klasma.github.io/Logging_1430/klagomålsmail/A 58890-2022 klagomålsmail.docx", "A 58890-2022")</f>
        <v/>
      </c>
      <c r="X230">
        <f>HYPERLINK("https://klasma.github.io/Logging_1430/tillsyn/A 58890-2022 tillsyn.docx", "A 58890-2022")</f>
        <v/>
      </c>
      <c r="Y230">
        <f>HYPERLINK("https://klasma.github.io/Logging_1430/tillsynsmail/A 58890-2022 tillsynsmail.docx", "A 58890-2022")</f>
        <v/>
      </c>
    </row>
    <row r="231" ht="15" customHeight="1">
      <c r="A231" t="inlineStr">
        <is>
          <t>A 61611-2022</t>
        </is>
      </c>
      <c r="B231" s="1" t="n">
        <v>44916</v>
      </c>
      <c r="C231" s="1" t="n">
        <v>45212</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HYPERLINK("https://klasma.github.io/Logging_1460/artfynd/A 61611-2022 artfynd.xlsx", "A 61611-2022")</f>
        <v/>
      </c>
      <c r="T231">
        <f>HYPERLINK("https://klasma.github.io/Logging_1460/karta/A 61611-2022 karta.png", "A 61611-2022")</f>
        <v/>
      </c>
      <c r="V231">
        <f>HYPERLINK("https://klasma.github.io/Logging_1460/klagomål/A 61611-2022 klagomål.docx", "A 61611-2022")</f>
        <v/>
      </c>
      <c r="W231">
        <f>HYPERLINK("https://klasma.github.io/Logging_1460/klagomålsmail/A 61611-2022 klagomålsmail.docx", "A 61611-2022")</f>
        <v/>
      </c>
      <c r="X231">
        <f>HYPERLINK("https://klasma.github.io/Logging_1460/tillsyn/A 61611-2022 tillsyn.docx", "A 61611-2022")</f>
        <v/>
      </c>
      <c r="Y231">
        <f>HYPERLINK("https://klasma.github.io/Logging_1460/tillsynsmail/A 61611-2022 tillsynsmail.docx", "A 61611-2022")</f>
        <v/>
      </c>
    </row>
    <row r="232" ht="15" customHeight="1">
      <c r="A232" t="inlineStr">
        <is>
          <t>A 2579-2023</t>
        </is>
      </c>
      <c r="B232" s="1" t="n">
        <v>44943</v>
      </c>
      <c r="C232" s="1" t="n">
        <v>45212</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HYPERLINK("https://klasma.github.io/Logging_1496/artfynd/A 2579-2023 artfynd.xlsx", "A 2579-2023")</f>
        <v/>
      </c>
      <c r="T232">
        <f>HYPERLINK("https://klasma.github.io/Logging_1496/karta/A 2579-2023 karta.png", "A 2579-2023")</f>
        <v/>
      </c>
      <c r="V232">
        <f>HYPERLINK("https://klasma.github.io/Logging_1496/klagomål/A 2579-2023 klagomål.docx", "A 2579-2023")</f>
        <v/>
      </c>
      <c r="W232">
        <f>HYPERLINK("https://klasma.github.io/Logging_1496/klagomålsmail/A 2579-2023 klagomålsmail.docx", "A 2579-2023")</f>
        <v/>
      </c>
      <c r="X232">
        <f>HYPERLINK("https://klasma.github.io/Logging_1496/tillsyn/A 2579-2023 tillsyn.docx", "A 2579-2023")</f>
        <v/>
      </c>
      <c r="Y232">
        <f>HYPERLINK("https://klasma.github.io/Logging_1496/tillsynsmail/A 2579-2023 tillsynsmail.docx", "A 2579-2023")</f>
        <v/>
      </c>
    </row>
    <row r="233" ht="15" customHeight="1">
      <c r="A233" t="inlineStr">
        <is>
          <t>A 3410-2023</t>
        </is>
      </c>
      <c r="B233" s="1" t="n">
        <v>44949</v>
      </c>
      <c r="C233" s="1" t="n">
        <v>45212</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HYPERLINK("https://klasma.github.io/Logging_1496/artfynd/A 3410-2023 artfynd.xlsx", "A 3410-2023")</f>
        <v/>
      </c>
      <c r="T233">
        <f>HYPERLINK("https://klasma.github.io/Logging_1496/karta/A 3410-2023 karta.png", "A 3410-2023")</f>
        <v/>
      </c>
      <c r="V233">
        <f>HYPERLINK("https://klasma.github.io/Logging_1496/klagomål/A 3410-2023 klagomål.docx", "A 3410-2023")</f>
        <v/>
      </c>
      <c r="W233">
        <f>HYPERLINK("https://klasma.github.io/Logging_1496/klagomålsmail/A 3410-2023 klagomålsmail.docx", "A 3410-2023")</f>
        <v/>
      </c>
      <c r="X233">
        <f>HYPERLINK("https://klasma.github.io/Logging_1496/tillsyn/A 3410-2023 tillsyn.docx", "A 3410-2023")</f>
        <v/>
      </c>
      <c r="Y233">
        <f>HYPERLINK("https://klasma.github.io/Logging_1496/tillsynsmail/A 3410-2023 tillsynsmail.docx", "A 3410-2023")</f>
        <v/>
      </c>
    </row>
    <row r="234" ht="15" customHeight="1">
      <c r="A234" t="inlineStr">
        <is>
          <t>A 3793-2023</t>
        </is>
      </c>
      <c r="B234" s="1" t="n">
        <v>44951</v>
      </c>
      <c r="C234" s="1" t="n">
        <v>45212</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HYPERLINK("https://klasma.github.io/Logging_1460/artfynd/A 3793-2023 artfynd.xlsx", "A 3793-2023")</f>
        <v/>
      </c>
      <c r="T234">
        <f>HYPERLINK("https://klasma.github.io/Logging_1460/karta/A 3793-2023 karta.png", "A 3793-2023")</f>
        <v/>
      </c>
      <c r="V234">
        <f>HYPERLINK("https://klasma.github.io/Logging_1460/klagomål/A 3793-2023 klagomål.docx", "A 3793-2023")</f>
        <v/>
      </c>
      <c r="W234">
        <f>HYPERLINK("https://klasma.github.io/Logging_1460/klagomålsmail/A 3793-2023 klagomålsmail.docx", "A 3793-2023")</f>
        <v/>
      </c>
      <c r="X234">
        <f>HYPERLINK("https://klasma.github.io/Logging_1460/tillsyn/A 3793-2023 tillsyn.docx", "A 3793-2023")</f>
        <v/>
      </c>
      <c r="Y234">
        <f>HYPERLINK("https://klasma.github.io/Logging_1460/tillsynsmail/A 3793-2023 tillsynsmail.docx", "A 3793-2023")</f>
        <v/>
      </c>
    </row>
    <row r="235" ht="15" customHeight="1">
      <c r="A235" t="inlineStr">
        <is>
          <t>A 4312-2023</t>
        </is>
      </c>
      <c r="B235" s="1" t="n">
        <v>44953</v>
      </c>
      <c r="C235" s="1" t="n">
        <v>45212</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HYPERLINK("https://klasma.github.io/Logging_1495/artfynd/A 4312-2023 artfynd.xlsx", "A 4312-2023")</f>
        <v/>
      </c>
      <c r="T235">
        <f>HYPERLINK("https://klasma.github.io/Logging_1495/karta/A 4312-2023 karta.png", "A 4312-2023")</f>
        <v/>
      </c>
      <c r="V235">
        <f>HYPERLINK("https://klasma.github.io/Logging_1495/klagomål/A 4312-2023 klagomål.docx", "A 4312-2023")</f>
        <v/>
      </c>
      <c r="W235">
        <f>HYPERLINK("https://klasma.github.io/Logging_1495/klagomålsmail/A 4312-2023 klagomålsmail.docx", "A 4312-2023")</f>
        <v/>
      </c>
      <c r="X235">
        <f>HYPERLINK("https://klasma.github.io/Logging_1495/tillsyn/A 4312-2023 tillsyn.docx", "A 4312-2023")</f>
        <v/>
      </c>
      <c r="Y235">
        <f>HYPERLINK("https://klasma.github.io/Logging_1495/tillsynsmail/A 4312-2023 tillsynsmail.docx", "A 4312-2023")</f>
        <v/>
      </c>
    </row>
    <row r="236" ht="15" customHeight="1">
      <c r="A236" t="inlineStr">
        <is>
          <t>A 12076-2023</t>
        </is>
      </c>
      <c r="B236" s="1" t="n">
        <v>44997</v>
      </c>
      <c r="C236" s="1" t="n">
        <v>45212</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HYPERLINK("https://klasma.github.io/Logging_1460/artfynd/A 12076-2023 artfynd.xlsx", "A 12076-2023")</f>
        <v/>
      </c>
      <c r="T236">
        <f>HYPERLINK("https://klasma.github.io/Logging_1460/karta/A 12076-2023 karta.png", "A 12076-2023")</f>
        <v/>
      </c>
      <c r="V236">
        <f>HYPERLINK("https://klasma.github.io/Logging_1460/klagomål/A 12076-2023 klagomål.docx", "A 12076-2023")</f>
        <v/>
      </c>
      <c r="W236">
        <f>HYPERLINK("https://klasma.github.io/Logging_1460/klagomålsmail/A 12076-2023 klagomålsmail.docx", "A 12076-2023")</f>
        <v/>
      </c>
      <c r="X236">
        <f>HYPERLINK("https://klasma.github.io/Logging_1460/tillsyn/A 12076-2023 tillsyn.docx", "A 12076-2023")</f>
        <v/>
      </c>
      <c r="Y236">
        <f>HYPERLINK("https://klasma.github.io/Logging_1460/tillsynsmail/A 12076-2023 tillsynsmail.docx", "A 12076-2023")</f>
        <v/>
      </c>
    </row>
    <row r="237" ht="15" customHeight="1">
      <c r="A237" t="inlineStr">
        <is>
          <t>A 12617-2023</t>
        </is>
      </c>
      <c r="B237" s="1" t="n">
        <v>45000</v>
      </c>
      <c r="C237" s="1" t="n">
        <v>45212</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HYPERLINK("https://klasma.github.io/Logging_1462/artfynd/A 12617-2023 artfynd.xlsx", "A 12617-2023")</f>
        <v/>
      </c>
      <c r="T237">
        <f>HYPERLINK("https://klasma.github.io/Logging_1462/karta/A 12617-2023 karta.png", "A 12617-2023")</f>
        <v/>
      </c>
      <c r="V237">
        <f>HYPERLINK("https://klasma.github.io/Logging_1462/klagomål/A 12617-2023 klagomål.docx", "A 12617-2023")</f>
        <v/>
      </c>
      <c r="W237">
        <f>HYPERLINK("https://klasma.github.io/Logging_1462/klagomålsmail/A 12617-2023 klagomålsmail.docx", "A 12617-2023")</f>
        <v/>
      </c>
      <c r="X237">
        <f>HYPERLINK("https://klasma.github.io/Logging_1462/tillsyn/A 12617-2023 tillsyn.docx", "A 12617-2023")</f>
        <v/>
      </c>
      <c r="Y237">
        <f>HYPERLINK("https://klasma.github.io/Logging_1462/tillsynsmail/A 12617-2023 tillsynsmail.docx", "A 12617-2023")</f>
        <v/>
      </c>
    </row>
    <row r="238" ht="15" customHeight="1">
      <c r="A238" t="inlineStr">
        <is>
          <t>A 12658-2023</t>
        </is>
      </c>
      <c r="B238" s="1" t="n">
        <v>45000</v>
      </c>
      <c r="C238" s="1" t="n">
        <v>45212</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HYPERLINK("https://klasma.github.io/Logging_1471/artfynd/A 12658-2023 artfynd.xlsx", "A 12658-2023")</f>
        <v/>
      </c>
      <c r="T238">
        <f>HYPERLINK("https://klasma.github.io/Logging_1471/karta/A 12658-2023 karta.png", "A 12658-2023")</f>
        <v/>
      </c>
      <c r="V238">
        <f>HYPERLINK("https://klasma.github.io/Logging_1471/klagomål/A 12658-2023 klagomål.docx", "A 12658-2023")</f>
        <v/>
      </c>
      <c r="W238">
        <f>HYPERLINK("https://klasma.github.io/Logging_1471/klagomålsmail/A 12658-2023 klagomålsmail.docx", "A 12658-2023")</f>
        <v/>
      </c>
      <c r="X238">
        <f>HYPERLINK("https://klasma.github.io/Logging_1471/tillsyn/A 12658-2023 tillsyn.docx", "A 12658-2023")</f>
        <v/>
      </c>
      <c r="Y238">
        <f>HYPERLINK("https://klasma.github.io/Logging_1471/tillsynsmail/A 12658-2023 tillsynsmail.docx", "A 12658-2023")</f>
        <v/>
      </c>
    </row>
    <row r="239" ht="15" customHeight="1">
      <c r="A239" t="inlineStr">
        <is>
          <t>A 14042-2023</t>
        </is>
      </c>
      <c r="B239" s="1" t="n">
        <v>45008</v>
      </c>
      <c r="C239" s="1" t="n">
        <v>45212</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HYPERLINK("https://klasma.github.io/Logging_1402/artfynd/A 14042-2023 artfynd.xlsx", "A 14042-2023")</f>
        <v/>
      </c>
      <c r="T239">
        <f>HYPERLINK("https://klasma.github.io/Logging_1402/karta/A 14042-2023 karta.png", "A 14042-2023")</f>
        <v/>
      </c>
      <c r="V239">
        <f>HYPERLINK("https://klasma.github.io/Logging_1402/klagomål/A 14042-2023 klagomål.docx", "A 14042-2023")</f>
        <v/>
      </c>
      <c r="W239">
        <f>HYPERLINK("https://klasma.github.io/Logging_1402/klagomålsmail/A 14042-2023 klagomålsmail.docx", "A 14042-2023")</f>
        <v/>
      </c>
      <c r="X239">
        <f>HYPERLINK("https://klasma.github.io/Logging_1402/tillsyn/A 14042-2023 tillsyn.docx", "A 14042-2023")</f>
        <v/>
      </c>
      <c r="Y239">
        <f>HYPERLINK("https://klasma.github.io/Logging_1402/tillsynsmail/A 14042-2023 tillsynsmail.docx", "A 14042-2023")</f>
        <v/>
      </c>
    </row>
    <row r="240" ht="15" customHeight="1">
      <c r="A240" t="inlineStr">
        <is>
          <t>A 17693-2023</t>
        </is>
      </c>
      <c r="B240" s="1" t="n">
        <v>45037</v>
      </c>
      <c r="C240" s="1" t="n">
        <v>45212</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HYPERLINK("https://klasma.github.io/Logging_1461/artfynd/A 17693-2023 artfynd.xlsx", "A 17693-2023")</f>
        <v/>
      </c>
      <c r="T240">
        <f>HYPERLINK("https://klasma.github.io/Logging_1461/karta/A 17693-2023 karta.png", "A 17693-2023")</f>
        <v/>
      </c>
      <c r="V240">
        <f>HYPERLINK("https://klasma.github.io/Logging_1461/klagomål/A 17693-2023 klagomål.docx", "A 17693-2023")</f>
        <v/>
      </c>
      <c r="W240">
        <f>HYPERLINK("https://klasma.github.io/Logging_1461/klagomålsmail/A 17693-2023 klagomålsmail.docx", "A 17693-2023")</f>
        <v/>
      </c>
      <c r="X240">
        <f>HYPERLINK("https://klasma.github.io/Logging_1461/tillsyn/A 17693-2023 tillsyn.docx", "A 17693-2023")</f>
        <v/>
      </c>
      <c r="Y240">
        <f>HYPERLINK("https://klasma.github.io/Logging_1461/tillsynsmail/A 17693-2023 tillsynsmail.docx", "A 17693-2023")</f>
        <v/>
      </c>
    </row>
    <row r="241" ht="15" customHeight="1">
      <c r="A241" t="inlineStr">
        <is>
          <t>A 23423-2023</t>
        </is>
      </c>
      <c r="B241" s="1" t="n">
        <v>45076</v>
      </c>
      <c r="C241" s="1" t="n">
        <v>45212</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HYPERLINK("https://klasma.github.io/Logging_1471/artfynd/A 23423-2023 artfynd.xlsx", "A 23423-2023")</f>
        <v/>
      </c>
      <c r="T241">
        <f>HYPERLINK("https://klasma.github.io/Logging_1471/karta/A 23423-2023 karta.png", "A 23423-2023")</f>
        <v/>
      </c>
      <c r="V241">
        <f>HYPERLINK("https://klasma.github.io/Logging_1471/klagomål/A 23423-2023 klagomål.docx", "A 23423-2023")</f>
        <v/>
      </c>
      <c r="W241">
        <f>HYPERLINK("https://klasma.github.io/Logging_1471/klagomålsmail/A 23423-2023 klagomålsmail.docx", "A 23423-2023")</f>
        <v/>
      </c>
      <c r="X241">
        <f>HYPERLINK("https://klasma.github.io/Logging_1471/tillsyn/A 23423-2023 tillsyn.docx", "A 23423-2023")</f>
        <v/>
      </c>
      <c r="Y241">
        <f>HYPERLINK("https://klasma.github.io/Logging_1471/tillsynsmail/A 23423-2023 tillsynsmail.docx", "A 23423-2023")</f>
        <v/>
      </c>
    </row>
    <row r="242" ht="15" customHeight="1">
      <c r="A242" t="inlineStr">
        <is>
          <t>A 26613-2023</t>
        </is>
      </c>
      <c r="B242" s="1" t="n">
        <v>45092</v>
      </c>
      <c r="C242" s="1" t="n">
        <v>45212</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HYPERLINK("https://klasma.github.io/Logging_1460/artfynd/A 26613-2023 artfynd.xlsx", "A 26613-2023")</f>
        <v/>
      </c>
      <c r="T242">
        <f>HYPERLINK("https://klasma.github.io/Logging_1460/karta/A 26613-2023 karta.png", "A 26613-2023")</f>
        <v/>
      </c>
      <c r="V242">
        <f>HYPERLINK("https://klasma.github.io/Logging_1460/klagomål/A 26613-2023 klagomål.docx", "A 26613-2023")</f>
        <v/>
      </c>
      <c r="W242">
        <f>HYPERLINK("https://klasma.github.io/Logging_1460/klagomålsmail/A 26613-2023 klagomålsmail.docx", "A 26613-2023")</f>
        <v/>
      </c>
      <c r="X242">
        <f>HYPERLINK("https://klasma.github.io/Logging_1460/tillsyn/A 26613-2023 tillsyn.docx", "A 26613-2023")</f>
        <v/>
      </c>
      <c r="Y242">
        <f>HYPERLINK("https://klasma.github.io/Logging_1460/tillsynsmail/A 26613-2023 tillsynsmail.docx", "A 26613-2023")</f>
        <v/>
      </c>
    </row>
    <row r="243" ht="15" customHeight="1">
      <c r="A243" t="inlineStr">
        <is>
          <t>A 27184-2023</t>
        </is>
      </c>
      <c r="B243" s="1" t="n">
        <v>45096</v>
      </c>
      <c r="C243" s="1" t="n">
        <v>45212</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HYPERLINK("https://klasma.github.io/Logging_1452/artfynd/A 27184-2023 artfynd.xlsx", "A 27184-2023")</f>
        <v/>
      </c>
      <c r="T243">
        <f>HYPERLINK("https://klasma.github.io/Logging_1452/karta/A 27184-2023 karta.png", "A 27184-2023")</f>
        <v/>
      </c>
      <c r="V243">
        <f>HYPERLINK("https://klasma.github.io/Logging_1452/klagomål/A 27184-2023 klagomål.docx", "A 27184-2023")</f>
        <v/>
      </c>
      <c r="W243">
        <f>HYPERLINK("https://klasma.github.io/Logging_1452/klagomålsmail/A 27184-2023 klagomålsmail.docx", "A 27184-2023")</f>
        <v/>
      </c>
      <c r="X243">
        <f>HYPERLINK("https://klasma.github.io/Logging_1452/tillsyn/A 27184-2023 tillsyn.docx", "A 27184-2023")</f>
        <v/>
      </c>
      <c r="Y243">
        <f>HYPERLINK("https://klasma.github.io/Logging_1452/tillsynsmail/A 27184-2023 tillsynsmail.docx", "A 27184-2023")</f>
        <v/>
      </c>
    </row>
    <row r="244" ht="15" customHeight="1">
      <c r="A244" t="inlineStr">
        <is>
          <t>A 29688-2023</t>
        </is>
      </c>
      <c r="B244" s="1" t="n">
        <v>45107</v>
      </c>
      <c r="C244" s="1" t="n">
        <v>45212</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HYPERLINK("https://klasma.github.io/Logging_1485/artfynd/A 29688-2023 artfynd.xlsx", "A 29688-2023")</f>
        <v/>
      </c>
      <c r="T244">
        <f>HYPERLINK("https://klasma.github.io/Logging_1485/karta/A 29688-2023 karta.png", "A 29688-2023")</f>
        <v/>
      </c>
      <c r="V244">
        <f>HYPERLINK("https://klasma.github.io/Logging_1485/klagomål/A 29688-2023 klagomål.docx", "A 29688-2023")</f>
        <v/>
      </c>
      <c r="W244">
        <f>HYPERLINK("https://klasma.github.io/Logging_1485/klagomålsmail/A 29688-2023 klagomålsmail.docx", "A 29688-2023")</f>
        <v/>
      </c>
      <c r="X244">
        <f>HYPERLINK("https://klasma.github.io/Logging_1485/tillsyn/A 29688-2023 tillsyn.docx", "A 29688-2023")</f>
        <v/>
      </c>
      <c r="Y244">
        <f>HYPERLINK("https://klasma.github.io/Logging_1485/tillsynsmail/A 29688-2023 tillsynsmail.docx", "A 29688-2023")</f>
        <v/>
      </c>
    </row>
    <row r="245" ht="15" customHeight="1">
      <c r="A245" t="inlineStr">
        <is>
          <t>A 40983-2023</t>
        </is>
      </c>
      <c r="B245" s="1" t="n">
        <v>45173</v>
      </c>
      <c r="C245" s="1" t="n">
        <v>45212</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HYPERLINK("https://klasma.github.io/Logging_1440/artfynd/A 40983-2023 artfynd.xlsx", "A 40983-2023")</f>
        <v/>
      </c>
      <c r="T245">
        <f>HYPERLINK("https://klasma.github.io/Logging_1440/karta/A 40983-2023 karta.png", "A 40983-2023")</f>
        <v/>
      </c>
      <c r="V245">
        <f>HYPERLINK("https://klasma.github.io/Logging_1440/klagomål/A 40983-2023 klagomål.docx", "A 40983-2023")</f>
        <v/>
      </c>
      <c r="W245">
        <f>HYPERLINK("https://klasma.github.io/Logging_1440/klagomålsmail/A 40983-2023 klagomålsmail.docx", "A 40983-2023")</f>
        <v/>
      </c>
      <c r="X245">
        <f>HYPERLINK("https://klasma.github.io/Logging_1440/tillsyn/A 40983-2023 tillsyn.docx", "A 40983-2023")</f>
        <v/>
      </c>
      <c r="Y245">
        <f>HYPERLINK("https://klasma.github.io/Logging_1440/tillsynsmail/A 40983-2023 tillsynsmail.docx", "A 40983-2023")</f>
        <v/>
      </c>
    </row>
    <row r="246" ht="15" customHeight="1">
      <c r="A246" t="inlineStr">
        <is>
          <t>A 33928-2018</t>
        </is>
      </c>
      <c r="B246" s="1" t="n">
        <v>43314</v>
      </c>
      <c r="C246" s="1" t="n">
        <v>45212</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HYPERLINK("https://klasma.github.io/Logging_1438/artfynd/A 33928-2018 artfynd.xlsx", "A 33928-2018")</f>
        <v/>
      </c>
      <c r="T246">
        <f>HYPERLINK("https://klasma.github.io/Logging_1438/karta/A 33928-2018 karta.png", "A 33928-2018")</f>
        <v/>
      </c>
      <c r="V246">
        <f>HYPERLINK("https://klasma.github.io/Logging_1438/klagomål/A 33928-2018 klagomål.docx", "A 33928-2018")</f>
        <v/>
      </c>
      <c r="W246">
        <f>HYPERLINK("https://klasma.github.io/Logging_1438/klagomålsmail/A 33928-2018 klagomålsmail.docx", "A 33928-2018")</f>
        <v/>
      </c>
      <c r="X246">
        <f>HYPERLINK("https://klasma.github.io/Logging_1438/tillsyn/A 33928-2018 tillsyn.docx", "A 33928-2018")</f>
        <v/>
      </c>
      <c r="Y246">
        <f>HYPERLINK("https://klasma.github.io/Logging_1438/tillsynsmail/A 33928-2018 tillsynsmail.docx", "A 33928-2018")</f>
        <v/>
      </c>
    </row>
    <row r="247" ht="15" customHeight="1">
      <c r="A247" t="inlineStr">
        <is>
          <t>A 34462-2018</t>
        </is>
      </c>
      <c r="B247" s="1" t="n">
        <v>43319</v>
      </c>
      <c r="C247" s="1" t="n">
        <v>45212</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HYPERLINK("https://klasma.github.io/Logging_1447/artfynd/A 34462-2018 artfynd.xlsx", "A 34462-2018")</f>
        <v/>
      </c>
      <c r="T247">
        <f>HYPERLINK("https://klasma.github.io/Logging_1447/karta/A 34462-2018 karta.png", "A 34462-2018")</f>
        <v/>
      </c>
      <c r="V247">
        <f>HYPERLINK("https://klasma.github.io/Logging_1447/klagomål/A 34462-2018 klagomål.docx", "A 34462-2018")</f>
        <v/>
      </c>
      <c r="W247">
        <f>HYPERLINK("https://klasma.github.io/Logging_1447/klagomålsmail/A 34462-2018 klagomålsmail.docx", "A 34462-2018")</f>
        <v/>
      </c>
      <c r="X247">
        <f>HYPERLINK("https://klasma.github.io/Logging_1447/tillsyn/A 34462-2018 tillsyn.docx", "A 34462-2018")</f>
        <v/>
      </c>
      <c r="Y247">
        <f>HYPERLINK("https://klasma.github.io/Logging_1447/tillsynsmail/A 34462-2018 tillsynsmail.docx", "A 34462-2018")</f>
        <v/>
      </c>
    </row>
    <row r="248" ht="15" customHeight="1">
      <c r="A248" t="inlineStr">
        <is>
          <t>A 36698-2018</t>
        </is>
      </c>
      <c r="B248" s="1" t="n">
        <v>43329</v>
      </c>
      <c r="C248" s="1" t="n">
        <v>45212</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HYPERLINK("https://klasma.github.io/Logging_1490/artfynd/A 36698-2018 artfynd.xlsx", "A 36698-2018")</f>
        <v/>
      </c>
      <c r="T248">
        <f>HYPERLINK("https://klasma.github.io/Logging_1490/karta/A 36698-2018 karta.png", "A 36698-2018")</f>
        <v/>
      </c>
      <c r="V248">
        <f>HYPERLINK("https://klasma.github.io/Logging_1490/klagomål/A 36698-2018 klagomål.docx", "A 36698-2018")</f>
        <v/>
      </c>
      <c r="W248">
        <f>HYPERLINK("https://klasma.github.io/Logging_1490/klagomålsmail/A 36698-2018 klagomålsmail.docx", "A 36698-2018")</f>
        <v/>
      </c>
      <c r="X248">
        <f>HYPERLINK("https://klasma.github.io/Logging_1490/tillsyn/A 36698-2018 tillsyn.docx", "A 36698-2018")</f>
        <v/>
      </c>
      <c r="Y248">
        <f>HYPERLINK("https://klasma.github.io/Logging_1490/tillsynsmail/A 36698-2018 tillsynsmail.docx", "A 36698-2018")</f>
        <v/>
      </c>
    </row>
    <row r="249" ht="15" customHeight="1">
      <c r="A249" t="inlineStr">
        <is>
          <t>A 40206-2018</t>
        </is>
      </c>
      <c r="B249" s="1" t="n">
        <v>43343</v>
      </c>
      <c r="C249" s="1" t="n">
        <v>45212</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HYPERLINK("https://klasma.github.io/Logging_1490/artfynd/A 40206-2018 artfynd.xlsx", "A 40206-2018")</f>
        <v/>
      </c>
      <c r="T249">
        <f>HYPERLINK("https://klasma.github.io/Logging_1490/karta/A 40206-2018 karta.png", "A 40206-2018")</f>
        <v/>
      </c>
      <c r="V249">
        <f>HYPERLINK("https://klasma.github.io/Logging_1490/klagomål/A 40206-2018 klagomål.docx", "A 40206-2018")</f>
        <v/>
      </c>
      <c r="W249">
        <f>HYPERLINK("https://klasma.github.io/Logging_1490/klagomålsmail/A 40206-2018 klagomålsmail.docx", "A 40206-2018")</f>
        <v/>
      </c>
      <c r="X249">
        <f>HYPERLINK("https://klasma.github.io/Logging_1490/tillsyn/A 40206-2018 tillsyn.docx", "A 40206-2018")</f>
        <v/>
      </c>
      <c r="Y249">
        <f>HYPERLINK("https://klasma.github.io/Logging_1490/tillsynsmail/A 40206-2018 tillsynsmail.docx", "A 40206-2018")</f>
        <v/>
      </c>
    </row>
    <row r="250" ht="15" customHeight="1">
      <c r="A250" t="inlineStr">
        <is>
          <t>A 41499-2018</t>
        </is>
      </c>
      <c r="B250" s="1" t="n">
        <v>43349</v>
      </c>
      <c r="C250" s="1" t="n">
        <v>45212</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HYPERLINK("https://klasma.github.io/Logging_1499/artfynd/A 41499-2018 artfynd.xlsx", "A 41499-2018")</f>
        <v/>
      </c>
      <c r="T250">
        <f>HYPERLINK("https://klasma.github.io/Logging_1499/karta/A 41499-2018 karta.png", "A 41499-2018")</f>
        <v/>
      </c>
      <c r="V250">
        <f>HYPERLINK("https://klasma.github.io/Logging_1499/klagomål/A 41499-2018 klagomål.docx", "A 41499-2018")</f>
        <v/>
      </c>
      <c r="W250">
        <f>HYPERLINK("https://klasma.github.io/Logging_1499/klagomålsmail/A 41499-2018 klagomålsmail.docx", "A 41499-2018")</f>
        <v/>
      </c>
      <c r="X250">
        <f>HYPERLINK("https://klasma.github.io/Logging_1499/tillsyn/A 41499-2018 tillsyn.docx", "A 41499-2018")</f>
        <v/>
      </c>
      <c r="Y250">
        <f>HYPERLINK("https://klasma.github.io/Logging_1499/tillsynsmail/A 41499-2018 tillsynsmail.docx", "A 41499-2018")</f>
        <v/>
      </c>
    </row>
    <row r="251" ht="15" customHeight="1">
      <c r="A251" t="inlineStr">
        <is>
          <t>A 42060-2018</t>
        </is>
      </c>
      <c r="B251" s="1" t="n">
        <v>43353</v>
      </c>
      <c r="C251" s="1" t="n">
        <v>45212</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HYPERLINK("https://klasma.github.io/Logging_1401/artfynd/A 42060-2018 artfynd.xlsx", "A 42060-2018")</f>
        <v/>
      </c>
      <c r="T251">
        <f>HYPERLINK("https://klasma.github.io/Logging_1401/karta/A 42060-2018 karta.png", "A 42060-2018")</f>
        <v/>
      </c>
      <c r="V251">
        <f>HYPERLINK("https://klasma.github.io/Logging_1401/klagomål/A 42060-2018 klagomål.docx", "A 42060-2018")</f>
        <v/>
      </c>
      <c r="W251">
        <f>HYPERLINK("https://klasma.github.io/Logging_1401/klagomålsmail/A 42060-2018 klagomålsmail.docx", "A 42060-2018")</f>
        <v/>
      </c>
      <c r="X251">
        <f>HYPERLINK("https://klasma.github.io/Logging_1401/tillsyn/A 42060-2018 tillsyn.docx", "A 42060-2018")</f>
        <v/>
      </c>
      <c r="Y251">
        <f>HYPERLINK("https://klasma.github.io/Logging_1401/tillsynsmail/A 42060-2018 tillsynsmail.docx", "A 42060-2018")</f>
        <v/>
      </c>
    </row>
    <row r="252" ht="15" customHeight="1">
      <c r="A252" t="inlineStr">
        <is>
          <t>A 43453-2018</t>
        </is>
      </c>
      <c r="B252" s="1" t="n">
        <v>43354</v>
      </c>
      <c r="C252" s="1" t="n">
        <v>45212</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HYPERLINK("https://klasma.github.io/Logging_1442/artfynd/A 43453-2018 artfynd.xlsx", "A 43453-2018")</f>
        <v/>
      </c>
      <c r="T252">
        <f>HYPERLINK("https://klasma.github.io/Logging_1442/karta/A 43453-2018 karta.png", "A 43453-2018")</f>
        <v/>
      </c>
      <c r="V252">
        <f>HYPERLINK("https://klasma.github.io/Logging_1442/klagomål/A 43453-2018 klagomål.docx", "A 43453-2018")</f>
        <v/>
      </c>
      <c r="W252">
        <f>HYPERLINK("https://klasma.github.io/Logging_1442/klagomålsmail/A 43453-2018 klagomålsmail.docx", "A 43453-2018")</f>
        <v/>
      </c>
      <c r="X252">
        <f>HYPERLINK("https://klasma.github.io/Logging_1442/tillsyn/A 43453-2018 tillsyn.docx", "A 43453-2018")</f>
        <v/>
      </c>
      <c r="Y252">
        <f>HYPERLINK("https://klasma.github.io/Logging_1442/tillsynsmail/A 43453-2018 tillsynsmail.docx", "A 43453-2018")</f>
        <v/>
      </c>
    </row>
    <row r="253" ht="15" customHeight="1">
      <c r="A253" t="inlineStr">
        <is>
          <t>A 47017-2018</t>
        </is>
      </c>
      <c r="B253" s="1" t="n">
        <v>43369</v>
      </c>
      <c r="C253" s="1" t="n">
        <v>45212</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HYPERLINK("https://klasma.github.io/Logging_1490/artfynd/A 47017-2018 artfynd.xlsx", "A 47017-2018")</f>
        <v/>
      </c>
      <c r="T253">
        <f>HYPERLINK("https://klasma.github.io/Logging_1490/karta/A 47017-2018 karta.png", "A 47017-2018")</f>
        <v/>
      </c>
      <c r="V253">
        <f>HYPERLINK("https://klasma.github.io/Logging_1490/klagomål/A 47017-2018 klagomål.docx", "A 47017-2018")</f>
        <v/>
      </c>
      <c r="W253">
        <f>HYPERLINK("https://klasma.github.io/Logging_1490/klagomålsmail/A 47017-2018 klagomålsmail.docx", "A 47017-2018")</f>
        <v/>
      </c>
      <c r="X253">
        <f>HYPERLINK("https://klasma.github.io/Logging_1490/tillsyn/A 47017-2018 tillsyn.docx", "A 47017-2018")</f>
        <v/>
      </c>
      <c r="Y253">
        <f>HYPERLINK("https://klasma.github.io/Logging_1490/tillsynsmail/A 47017-2018 tillsynsmail.docx", "A 47017-2018")</f>
        <v/>
      </c>
    </row>
    <row r="254" ht="15" customHeight="1">
      <c r="A254" t="inlineStr">
        <is>
          <t>A 48714-2018</t>
        </is>
      </c>
      <c r="B254" s="1" t="n">
        <v>43371</v>
      </c>
      <c r="C254" s="1" t="n">
        <v>45212</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HYPERLINK("https://klasma.github.io/Logging_1487/artfynd/A 48714-2018 artfynd.xlsx", "A 48714-2018")</f>
        <v/>
      </c>
      <c r="T254">
        <f>HYPERLINK("https://klasma.github.io/Logging_1487/karta/A 48714-2018 karta.png", "A 48714-2018")</f>
        <v/>
      </c>
      <c r="V254">
        <f>HYPERLINK("https://klasma.github.io/Logging_1487/klagomål/A 48714-2018 klagomål.docx", "A 48714-2018")</f>
        <v/>
      </c>
      <c r="W254">
        <f>HYPERLINK("https://klasma.github.io/Logging_1487/klagomålsmail/A 48714-2018 klagomålsmail.docx", "A 48714-2018")</f>
        <v/>
      </c>
      <c r="X254">
        <f>HYPERLINK("https://klasma.github.io/Logging_1487/tillsyn/A 48714-2018 tillsyn.docx", "A 48714-2018")</f>
        <v/>
      </c>
      <c r="Y254">
        <f>HYPERLINK("https://klasma.github.io/Logging_1487/tillsynsmail/A 48714-2018 tillsynsmail.docx", "A 48714-2018")</f>
        <v/>
      </c>
    </row>
    <row r="255" ht="15" customHeight="1">
      <c r="A255" t="inlineStr">
        <is>
          <t>A 49406-2018</t>
        </is>
      </c>
      <c r="B255" s="1" t="n">
        <v>43375</v>
      </c>
      <c r="C255" s="1" t="n">
        <v>45212</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HYPERLINK("https://klasma.github.io/Logging_1439/artfynd/A 49406-2018 artfynd.xlsx", "A 49406-2018")</f>
        <v/>
      </c>
      <c r="T255">
        <f>HYPERLINK("https://klasma.github.io/Logging_1439/karta/A 49406-2018 karta.png", "A 49406-2018")</f>
        <v/>
      </c>
      <c r="V255">
        <f>HYPERLINK("https://klasma.github.io/Logging_1439/klagomål/A 49406-2018 klagomål.docx", "A 49406-2018")</f>
        <v/>
      </c>
      <c r="W255">
        <f>HYPERLINK("https://klasma.github.io/Logging_1439/klagomålsmail/A 49406-2018 klagomålsmail.docx", "A 49406-2018")</f>
        <v/>
      </c>
      <c r="X255">
        <f>HYPERLINK("https://klasma.github.io/Logging_1439/tillsyn/A 49406-2018 tillsyn.docx", "A 49406-2018")</f>
        <v/>
      </c>
      <c r="Y255">
        <f>HYPERLINK("https://klasma.github.io/Logging_1439/tillsynsmail/A 49406-2018 tillsynsmail.docx", "A 49406-2018")</f>
        <v/>
      </c>
    </row>
    <row r="256" ht="15" customHeight="1">
      <c r="A256" t="inlineStr">
        <is>
          <t>A 52506-2018</t>
        </is>
      </c>
      <c r="B256" s="1" t="n">
        <v>43388</v>
      </c>
      <c r="C256" s="1" t="n">
        <v>45212</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HYPERLINK("https://klasma.github.io/Logging_1463/artfynd/A 52506-2018 artfynd.xlsx", "A 52506-2018")</f>
        <v/>
      </c>
      <c r="T256">
        <f>HYPERLINK("https://klasma.github.io/Logging_1463/karta/A 52506-2018 karta.png", "A 52506-2018")</f>
        <v/>
      </c>
      <c r="V256">
        <f>HYPERLINK("https://klasma.github.io/Logging_1463/klagomål/A 52506-2018 klagomål.docx", "A 52506-2018")</f>
        <v/>
      </c>
      <c r="W256">
        <f>HYPERLINK("https://klasma.github.io/Logging_1463/klagomålsmail/A 52506-2018 klagomålsmail.docx", "A 52506-2018")</f>
        <v/>
      </c>
      <c r="X256">
        <f>HYPERLINK("https://klasma.github.io/Logging_1463/tillsyn/A 52506-2018 tillsyn.docx", "A 52506-2018")</f>
        <v/>
      </c>
      <c r="Y256">
        <f>HYPERLINK("https://klasma.github.io/Logging_1463/tillsynsmail/A 52506-2018 tillsynsmail.docx", "A 52506-2018")</f>
        <v/>
      </c>
    </row>
    <row r="257" ht="15" customHeight="1">
      <c r="A257" t="inlineStr">
        <is>
          <t>A 57212-2018</t>
        </is>
      </c>
      <c r="B257" s="1" t="n">
        <v>43403</v>
      </c>
      <c r="C257" s="1" t="n">
        <v>45212</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HYPERLINK("https://klasma.github.io/Logging_1443/artfynd/A 57212-2018 artfynd.xlsx", "A 57212-2018")</f>
        <v/>
      </c>
      <c r="T257">
        <f>HYPERLINK("https://klasma.github.io/Logging_1443/karta/A 57212-2018 karta.png", "A 57212-2018")</f>
        <v/>
      </c>
      <c r="V257">
        <f>HYPERLINK("https://klasma.github.io/Logging_1443/klagomål/A 57212-2018 klagomål.docx", "A 57212-2018")</f>
        <v/>
      </c>
      <c r="W257">
        <f>HYPERLINK("https://klasma.github.io/Logging_1443/klagomålsmail/A 57212-2018 klagomålsmail.docx", "A 57212-2018")</f>
        <v/>
      </c>
      <c r="X257">
        <f>HYPERLINK("https://klasma.github.io/Logging_1443/tillsyn/A 57212-2018 tillsyn.docx", "A 57212-2018")</f>
        <v/>
      </c>
      <c r="Y257">
        <f>HYPERLINK("https://klasma.github.io/Logging_1443/tillsynsmail/A 57212-2018 tillsynsmail.docx", "A 57212-2018")</f>
        <v/>
      </c>
    </row>
    <row r="258" ht="15" customHeight="1">
      <c r="A258" t="inlineStr">
        <is>
          <t>A 60849-2018</t>
        </is>
      </c>
      <c r="B258" s="1" t="n">
        <v>43410</v>
      </c>
      <c r="C258" s="1" t="n">
        <v>45212</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HYPERLINK("https://klasma.github.io/Logging_1496/artfynd/A 60849-2018 artfynd.xlsx", "A 60849-2018")</f>
        <v/>
      </c>
      <c r="T258">
        <f>HYPERLINK("https://klasma.github.io/Logging_1496/karta/A 60849-2018 karta.png", "A 60849-2018")</f>
        <v/>
      </c>
      <c r="V258">
        <f>HYPERLINK("https://klasma.github.io/Logging_1496/klagomål/A 60849-2018 klagomål.docx", "A 60849-2018")</f>
        <v/>
      </c>
      <c r="W258">
        <f>HYPERLINK("https://klasma.github.io/Logging_1496/klagomålsmail/A 60849-2018 klagomålsmail.docx", "A 60849-2018")</f>
        <v/>
      </c>
      <c r="X258">
        <f>HYPERLINK("https://klasma.github.io/Logging_1496/tillsyn/A 60849-2018 tillsyn.docx", "A 60849-2018")</f>
        <v/>
      </c>
      <c r="Y258">
        <f>HYPERLINK("https://klasma.github.io/Logging_1496/tillsynsmail/A 60849-2018 tillsynsmail.docx", "A 60849-2018")</f>
        <v/>
      </c>
    </row>
    <row r="259" ht="15" customHeight="1">
      <c r="A259" t="inlineStr">
        <is>
          <t>A 62092-2018</t>
        </is>
      </c>
      <c r="B259" s="1" t="n">
        <v>43416</v>
      </c>
      <c r="C259" s="1" t="n">
        <v>45212</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HYPERLINK("https://klasma.github.io/Logging_1443/artfynd/A 62092-2018 artfynd.xlsx", "A 62092-2018")</f>
        <v/>
      </c>
      <c r="T259">
        <f>HYPERLINK("https://klasma.github.io/Logging_1443/karta/A 62092-2018 karta.png", "A 62092-2018")</f>
        <v/>
      </c>
      <c r="V259">
        <f>HYPERLINK("https://klasma.github.io/Logging_1443/klagomål/A 62092-2018 klagomål.docx", "A 62092-2018")</f>
        <v/>
      </c>
      <c r="W259">
        <f>HYPERLINK("https://klasma.github.io/Logging_1443/klagomålsmail/A 62092-2018 klagomålsmail.docx", "A 62092-2018")</f>
        <v/>
      </c>
      <c r="X259">
        <f>HYPERLINK("https://klasma.github.io/Logging_1443/tillsyn/A 62092-2018 tillsyn.docx", "A 62092-2018")</f>
        <v/>
      </c>
      <c r="Y259">
        <f>HYPERLINK("https://klasma.github.io/Logging_1443/tillsynsmail/A 62092-2018 tillsynsmail.docx", "A 62092-2018")</f>
        <v/>
      </c>
    </row>
    <row r="260" ht="15" customHeight="1">
      <c r="A260" t="inlineStr">
        <is>
          <t>A 59081-2018</t>
        </is>
      </c>
      <c r="B260" s="1" t="n">
        <v>43417</v>
      </c>
      <c r="C260" s="1" t="n">
        <v>45212</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HYPERLINK("https://klasma.github.io/Logging_1489/artfynd/A 59081-2018 artfynd.xlsx", "A 59081-2018")</f>
        <v/>
      </c>
      <c r="T260">
        <f>HYPERLINK("https://klasma.github.io/Logging_1489/karta/A 59081-2018 karta.png", "A 59081-2018")</f>
        <v/>
      </c>
      <c r="V260">
        <f>HYPERLINK("https://klasma.github.io/Logging_1489/klagomål/A 59081-2018 klagomål.docx", "A 59081-2018")</f>
        <v/>
      </c>
      <c r="W260">
        <f>HYPERLINK("https://klasma.github.io/Logging_1489/klagomålsmail/A 59081-2018 klagomålsmail.docx", "A 59081-2018")</f>
        <v/>
      </c>
      <c r="X260">
        <f>HYPERLINK("https://klasma.github.io/Logging_1489/tillsyn/A 59081-2018 tillsyn.docx", "A 59081-2018")</f>
        <v/>
      </c>
      <c r="Y260">
        <f>HYPERLINK("https://klasma.github.io/Logging_1489/tillsynsmail/A 59081-2018 tillsynsmail.docx", "A 59081-2018")</f>
        <v/>
      </c>
    </row>
    <row r="261" ht="15" customHeight="1">
      <c r="A261" t="inlineStr">
        <is>
          <t>A 59630-2018</t>
        </is>
      </c>
      <c r="B261" s="1" t="n">
        <v>43419</v>
      </c>
      <c r="C261" s="1" t="n">
        <v>45212</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HYPERLINK("https://klasma.github.io/Logging_1496/artfynd/A 59630-2018 artfynd.xlsx", "A 59630-2018")</f>
        <v/>
      </c>
      <c r="T261">
        <f>HYPERLINK("https://klasma.github.io/Logging_1496/karta/A 59630-2018 karta.png", "A 59630-2018")</f>
        <v/>
      </c>
      <c r="V261">
        <f>HYPERLINK("https://klasma.github.io/Logging_1496/klagomål/A 59630-2018 klagomål.docx", "A 59630-2018")</f>
        <v/>
      </c>
      <c r="W261">
        <f>HYPERLINK("https://klasma.github.io/Logging_1496/klagomålsmail/A 59630-2018 klagomålsmail.docx", "A 59630-2018")</f>
        <v/>
      </c>
      <c r="X261">
        <f>HYPERLINK("https://klasma.github.io/Logging_1496/tillsyn/A 59630-2018 tillsyn.docx", "A 59630-2018")</f>
        <v/>
      </c>
      <c r="Y261">
        <f>HYPERLINK("https://klasma.github.io/Logging_1496/tillsynsmail/A 59630-2018 tillsynsmail.docx", "A 59630-2018")</f>
        <v/>
      </c>
    </row>
    <row r="262" ht="15" customHeight="1">
      <c r="A262" t="inlineStr">
        <is>
          <t>A 65741-2018</t>
        </is>
      </c>
      <c r="B262" s="1" t="n">
        <v>43426</v>
      </c>
      <c r="C262" s="1" t="n">
        <v>45212</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HYPERLINK("https://klasma.github.io/Logging_1447/artfynd/A 65741-2018 artfynd.xlsx", "A 65741-2018")</f>
        <v/>
      </c>
      <c r="T262">
        <f>HYPERLINK("https://klasma.github.io/Logging_1447/karta/A 65741-2018 karta.png", "A 65741-2018")</f>
        <v/>
      </c>
      <c r="V262">
        <f>HYPERLINK("https://klasma.github.io/Logging_1447/klagomål/A 65741-2018 klagomål.docx", "A 65741-2018")</f>
        <v/>
      </c>
      <c r="W262">
        <f>HYPERLINK("https://klasma.github.io/Logging_1447/klagomålsmail/A 65741-2018 klagomålsmail.docx", "A 65741-2018")</f>
        <v/>
      </c>
      <c r="X262">
        <f>HYPERLINK("https://klasma.github.io/Logging_1447/tillsyn/A 65741-2018 tillsyn.docx", "A 65741-2018")</f>
        <v/>
      </c>
      <c r="Y262">
        <f>HYPERLINK("https://klasma.github.io/Logging_1447/tillsynsmail/A 65741-2018 tillsynsmail.docx", "A 65741-2018")</f>
        <v/>
      </c>
    </row>
    <row r="263" ht="15" customHeight="1">
      <c r="A263" t="inlineStr">
        <is>
          <t>A 984-2019</t>
        </is>
      </c>
      <c r="B263" s="1" t="n">
        <v>43430</v>
      </c>
      <c r="C263" s="1" t="n">
        <v>45212</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HYPERLINK("https://klasma.github.io/Logging_1486/artfynd/A 984-2019 artfynd.xlsx", "A 984-2019")</f>
        <v/>
      </c>
      <c r="T263">
        <f>HYPERLINK("https://klasma.github.io/Logging_1486/karta/A 984-2019 karta.png", "A 984-2019")</f>
        <v/>
      </c>
      <c r="V263">
        <f>HYPERLINK("https://klasma.github.io/Logging_1486/klagomål/A 984-2019 klagomål.docx", "A 984-2019")</f>
        <v/>
      </c>
      <c r="W263">
        <f>HYPERLINK("https://klasma.github.io/Logging_1486/klagomålsmail/A 984-2019 klagomålsmail.docx", "A 984-2019")</f>
        <v/>
      </c>
      <c r="X263">
        <f>HYPERLINK("https://klasma.github.io/Logging_1486/tillsyn/A 984-2019 tillsyn.docx", "A 984-2019")</f>
        <v/>
      </c>
      <c r="Y263">
        <f>HYPERLINK("https://klasma.github.io/Logging_1486/tillsynsmail/A 984-2019 tillsynsmail.docx", "A 984-2019")</f>
        <v/>
      </c>
    </row>
    <row r="264" ht="15" customHeight="1">
      <c r="A264" t="inlineStr">
        <is>
          <t>A 65688-2018</t>
        </is>
      </c>
      <c r="B264" s="1" t="n">
        <v>43433</v>
      </c>
      <c r="C264" s="1" t="n">
        <v>45212</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HYPERLINK("https://klasma.github.io/Logging_1491/artfynd/A 65688-2018 artfynd.xlsx", "A 65688-2018")</f>
        <v/>
      </c>
      <c r="T264">
        <f>HYPERLINK("https://klasma.github.io/Logging_1491/karta/A 65688-2018 karta.png", "A 65688-2018")</f>
        <v/>
      </c>
      <c r="V264">
        <f>HYPERLINK("https://klasma.github.io/Logging_1491/klagomål/A 65688-2018 klagomål.docx", "A 65688-2018")</f>
        <v/>
      </c>
      <c r="W264">
        <f>HYPERLINK("https://klasma.github.io/Logging_1491/klagomålsmail/A 65688-2018 klagomålsmail.docx", "A 65688-2018")</f>
        <v/>
      </c>
      <c r="X264">
        <f>HYPERLINK("https://klasma.github.io/Logging_1491/tillsyn/A 65688-2018 tillsyn.docx", "A 65688-2018")</f>
        <v/>
      </c>
      <c r="Y264">
        <f>HYPERLINK("https://klasma.github.io/Logging_1491/tillsynsmail/A 65688-2018 tillsynsmail.docx", "A 65688-2018")</f>
        <v/>
      </c>
    </row>
    <row r="265" ht="15" customHeight="1">
      <c r="A265" t="inlineStr">
        <is>
          <t>A 66936-2018</t>
        </is>
      </c>
      <c r="B265" s="1" t="n">
        <v>43438</v>
      </c>
      <c r="C265" s="1" t="n">
        <v>45212</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HYPERLINK("https://klasma.github.io/Logging_1491/artfynd/A 66936-2018 artfynd.xlsx", "A 66936-2018")</f>
        <v/>
      </c>
      <c r="T265">
        <f>HYPERLINK("https://klasma.github.io/Logging_1491/karta/A 66936-2018 karta.png", "A 66936-2018")</f>
        <v/>
      </c>
      <c r="V265">
        <f>HYPERLINK("https://klasma.github.io/Logging_1491/klagomål/A 66936-2018 klagomål.docx", "A 66936-2018")</f>
        <v/>
      </c>
      <c r="W265">
        <f>HYPERLINK("https://klasma.github.io/Logging_1491/klagomålsmail/A 66936-2018 klagomålsmail.docx", "A 66936-2018")</f>
        <v/>
      </c>
      <c r="X265">
        <f>HYPERLINK("https://klasma.github.io/Logging_1491/tillsyn/A 66936-2018 tillsyn.docx", "A 66936-2018")</f>
        <v/>
      </c>
      <c r="Y265">
        <f>HYPERLINK("https://klasma.github.io/Logging_1491/tillsynsmail/A 66936-2018 tillsynsmail.docx", "A 66936-2018")</f>
        <v/>
      </c>
    </row>
    <row r="266" ht="15" customHeight="1">
      <c r="A266" t="inlineStr">
        <is>
          <t>A 67849-2018</t>
        </is>
      </c>
      <c r="B266" s="1" t="n">
        <v>43440</v>
      </c>
      <c r="C266" s="1" t="n">
        <v>45212</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HYPERLINK("https://klasma.github.io/Logging_1440/artfynd/A 67849-2018 artfynd.xlsx", "A 67849-2018")</f>
        <v/>
      </c>
      <c r="T266">
        <f>HYPERLINK("https://klasma.github.io/Logging_1440/karta/A 67849-2018 karta.png", "A 67849-2018")</f>
        <v/>
      </c>
      <c r="V266">
        <f>HYPERLINK("https://klasma.github.io/Logging_1440/klagomål/A 67849-2018 klagomål.docx", "A 67849-2018")</f>
        <v/>
      </c>
      <c r="W266">
        <f>HYPERLINK("https://klasma.github.io/Logging_1440/klagomålsmail/A 67849-2018 klagomålsmail.docx", "A 67849-2018")</f>
        <v/>
      </c>
      <c r="X266">
        <f>HYPERLINK("https://klasma.github.io/Logging_1440/tillsyn/A 67849-2018 tillsyn.docx", "A 67849-2018")</f>
        <v/>
      </c>
      <c r="Y266">
        <f>HYPERLINK("https://klasma.github.io/Logging_1440/tillsynsmail/A 67849-2018 tillsynsmail.docx", "A 67849-2018")</f>
        <v/>
      </c>
    </row>
    <row r="267" ht="15" customHeight="1">
      <c r="A267" t="inlineStr">
        <is>
          <t>A 70386-2018</t>
        </is>
      </c>
      <c r="B267" s="1" t="n">
        <v>43446</v>
      </c>
      <c r="C267" s="1" t="n">
        <v>45212</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HYPERLINK("https://klasma.github.io/Logging_1427/artfynd/A 70386-2018 artfynd.xlsx", "A 70386-2018")</f>
        <v/>
      </c>
      <c r="T267">
        <f>HYPERLINK("https://klasma.github.io/Logging_1427/karta/A 70386-2018 karta.png", "A 70386-2018")</f>
        <v/>
      </c>
      <c r="V267">
        <f>HYPERLINK("https://klasma.github.io/Logging_1427/klagomål/A 70386-2018 klagomål.docx", "A 70386-2018")</f>
        <v/>
      </c>
      <c r="W267">
        <f>HYPERLINK("https://klasma.github.io/Logging_1427/klagomålsmail/A 70386-2018 klagomålsmail.docx", "A 70386-2018")</f>
        <v/>
      </c>
      <c r="X267">
        <f>HYPERLINK("https://klasma.github.io/Logging_1427/tillsyn/A 70386-2018 tillsyn.docx", "A 70386-2018")</f>
        <v/>
      </c>
      <c r="Y267">
        <f>HYPERLINK("https://klasma.github.io/Logging_1427/tillsynsmail/A 70386-2018 tillsynsmail.docx", "A 70386-2018")</f>
        <v/>
      </c>
    </row>
    <row r="268" ht="15" customHeight="1">
      <c r="A268" t="inlineStr">
        <is>
          <t>A 70607-2018</t>
        </is>
      </c>
      <c r="B268" s="1" t="n">
        <v>43451</v>
      </c>
      <c r="C268" s="1" t="n">
        <v>45212</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HYPERLINK("https://klasma.github.io/Logging_1499/artfynd/A 70607-2018 artfynd.xlsx", "A 70607-2018")</f>
        <v/>
      </c>
      <c r="T268">
        <f>HYPERLINK("https://klasma.github.io/Logging_1499/karta/A 70607-2018 karta.png", "A 70607-2018")</f>
        <v/>
      </c>
      <c r="V268">
        <f>HYPERLINK("https://klasma.github.io/Logging_1499/klagomål/A 70607-2018 klagomål.docx", "A 70607-2018")</f>
        <v/>
      </c>
      <c r="W268">
        <f>HYPERLINK("https://klasma.github.io/Logging_1499/klagomålsmail/A 70607-2018 klagomålsmail.docx", "A 70607-2018")</f>
        <v/>
      </c>
      <c r="X268">
        <f>HYPERLINK("https://klasma.github.io/Logging_1499/tillsyn/A 70607-2018 tillsyn.docx", "A 70607-2018")</f>
        <v/>
      </c>
      <c r="Y268">
        <f>HYPERLINK("https://klasma.github.io/Logging_1499/tillsynsmail/A 70607-2018 tillsynsmail.docx", "A 70607-2018")</f>
        <v/>
      </c>
    </row>
    <row r="269" ht="15" customHeight="1">
      <c r="A269" t="inlineStr">
        <is>
          <t>A 70948-2018</t>
        </is>
      </c>
      <c r="B269" s="1" t="n">
        <v>43452</v>
      </c>
      <c r="C269" s="1" t="n">
        <v>45212</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HYPERLINK("https://klasma.github.io/Logging_1473/artfynd/A 70948-2018 artfynd.xlsx", "A 70948-2018")</f>
        <v/>
      </c>
      <c r="T269">
        <f>HYPERLINK("https://klasma.github.io/Logging_1473/karta/A 70948-2018 karta.png", "A 70948-2018")</f>
        <v/>
      </c>
      <c r="V269">
        <f>HYPERLINK("https://klasma.github.io/Logging_1473/klagomål/A 70948-2018 klagomål.docx", "A 70948-2018")</f>
        <v/>
      </c>
      <c r="W269">
        <f>HYPERLINK("https://klasma.github.io/Logging_1473/klagomålsmail/A 70948-2018 klagomålsmail.docx", "A 70948-2018")</f>
        <v/>
      </c>
      <c r="X269">
        <f>HYPERLINK("https://klasma.github.io/Logging_1473/tillsyn/A 70948-2018 tillsyn.docx", "A 70948-2018")</f>
        <v/>
      </c>
      <c r="Y269">
        <f>HYPERLINK("https://klasma.github.io/Logging_1473/tillsynsmail/A 70948-2018 tillsynsmail.docx", "A 70948-2018")</f>
        <v/>
      </c>
    </row>
    <row r="270" ht="15" customHeight="1">
      <c r="A270" t="inlineStr">
        <is>
          <t>A 214-2019</t>
        </is>
      </c>
      <c r="B270" s="1" t="n">
        <v>43467</v>
      </c>
      <c r="C270" s="1" t="n">
        <v>45212</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HYPERLINK("https://klasma.github.io/Logging_1487/artfynd/A 214-2019 artfynd.xlsx", "A 214-2019")</f>
        <v/>
      </c>
      <c r="T270">
        <f>HYPERLINK("https://klasma.github.io/Logging_1487/karta/A 214-2019 karta.png", "A 214-2019")</f>
        <v/>
      </c>
      <c r="V270">
        <f>HYPERLINK("https://klasma.github.io/Logging_1487/klagomål/A 214-2019 klagomål.docx", "A 214-2019")</f>
        <v/>
      </c>
      <c r="W270">
        <f>HYPERLINK("https://klasma.github.io/Logging_1487/klagomålsmail/A 214-2019 klagomålsmail.docx", "A 214-2019")</f>
        <v/>
      </c>
      <c r="X270">
        <f>HYPERLINK("https://klasma.github.io/Logging_1487/tillsyn/A 214-2019 tillsyn.docx", "A 214-2019")</f>
        <v/>
      </c>
      <c r="Y270">
        <f>HYPERLINK("https://klasma.github.io/Logging_1487/tillsynsmail/A 214-2019 tillsynsmail.docx", "A 214-2019")</f>
        <v/>
      </c>
    </row>
    <row r="271" ht="15" customHeight="1">
      <c r="A271" t="inlineStr">
        <is>
          <t>A 2998-2019</t>
        </is>
      </c>
      <c r="B271" s="1" t="n">
        <v>43472</v>
      </c>
      <c r="C271" s="1" t="n">
        <v>45212</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HYPERLINK("https://klasma.github.io/Logging_1488/artfynd/A 2998-2019 artfynd.xlsx", "A 2998-2019")</f>
        <v/>
      </c>
      <c r="T271">
        <f>HYPERLINK("https://klasma.github.io/Logging_1488/karta/A 2998-2019 karta.png", "A 2998-2019")</f>
        <v/>
      </c>
      <c r="V271">
        <f>HYPERLINK("https://klasma.github.io/Logging_1488/klagomål/A 2998-2019 klagomål.docx", "A 2998-2019")</f>
        <v/>
      </c>
      <c r="W271">
        <f>HYPERLINK("https://klasma.github.io/Logging_1488/klagomålsmail/A 2998-2019 klagomålsmail.docx", "A 2998-2019")</f>
        <v/>
      </c>
      <c r="X271">
        <f>HYPERLINK("https://klasma.github.io/Logging_1488/tillsyn/A 2998-2019 tillsyn.docx", "A 2998-2019")</f>
        <v/>
      </c>
      <c r="Y271">
        <f>HYPERLINK("https://klasma.github.io/Logging_1488/tillsynsmail/A 2998-2019 tillsynsmail.docx", "A 2998-2019")</f>
        <v/>
      </c>
    </row>
    <row r="272" ht="15" customHeight="1">
      <c r="A272" t="inlineStr">
        <is>
          <t>A 1300-2019</t>
        </is>
      </c>
      <c r="B272" s="1" t="n">
        <v>43473</v>
      </c>
      <c r="C272" s="1" t="n">
        <v>45212</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HYPERLINK("https://klasma.github.io/Logging_1495/artfynd/A 1300-2019 artfynd.xlsx", "A 1300-2019")</f>
        <v/>
      </c>
      <c r="T272">
        <f>HYPERLINK("https://klasma.github.io/Logging_1495/karta/A 1300-2019 karta.png", "A 1300-2019")</f>
        <v/>
      </c>
      <c r="V272">
        <f>HYPERLINK("https://klasma.github.io/Logging_1495/klagomål/A 1300-2019 klagomål.docx", "A 1300-2019")</f>
        <v/>
      </c>
      <c r="W272">
        <f>HYPERLINK("https://klasma.github.io/Logging_1495/klagomålsmail/A 1300-2019 klagomålsmail.docx", "A 1300-2019")</f>
        <v/>
      </c>
      <c r="X272">
        <f>HYPERLINK("https://klasma.github.io/Logging_1495/tillsyn/A 1300-2019 tillsyn.docx", "A 1300-2019")</f>
        <v/>
      </c>
      <c r="Y272">
        <f>HYPERLINK("https://klasma.github.io/Logging_1495/tillsynsmail/A 1300-2019 tillsynsmail.docx", "A 1300-2019")</f>
        <v/>
      </c>
    </row>
    <row r="273" ht="15" customHeight="1">
      <c r="A273" t="inlineStr">
        <is>
          <t>A 1771-2019</t>
        </is>
      </c>
      <c r="B273" s="1" t="n">
        <v>43474</v>
      </c>
      <c r="C273" s="1" t="n">
        <v>45212</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HYPERLINK("https://klasma.github.io/Logging_1452/artfynd/A 1771-2019 artfynd.xlsx", "A 1771-2019")</f>
        <v/>
      </c>
      <c r="T273">
        <f>HYPERLINK("https://klasma.github.io/Logging_1452/karta/A 1771-2019 karta.png", "A 1771-2019")</f>
        <v/>
      </c>
      <c r="V273">
        <f>HYPERLINK("https://klasma.github.io/Logging_1452/klagomål/A 1771-2019 klagomål.docx", "A 1771-2019")</f>
        <v/>
      </c>
      <c r="W273">
        <f>HYPERLINK("https://klasma.github.io/Logging_1452/klagomålsmail/A 1771-2019 klagomålsmail.docx", "A 1771-2019")</f>
        <v/>
      </c>
      <c r="X273">
        <f>HYPERLINK("https://klasma.github.io/Logging_1452/tillsyn/A 1771-2019 tillsyn.docx", "A 1771-2019")</f>
        <v/>
      </c>
      <c r="Y273">
        <f>HYPERLINK("https://klasma.github.io/Logging_1452/tillsynsmail/A 1771-2019 tillsynsmail.docx", "A 1771-2019")</f>
        <v/>
      </c>
    </row>
    <row r="274" ht="15" customHeight="1">
      <c r="A274" t="inlineStr">
        <is>
          <t>A 7008-2019</t>
        </is>
      </c>
      <c r="B274" s="1" t="n">
        <v>43489</v>
      </c>
      <c r="C274" s="1" t="n">
        <v>45212</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HYPERLINK("https://klasma.github.io/Logging_1486/artfynd/A 7008-2019 artfynd.xlsx", "A 7008-2019")</f>
        <v/>
      </c>
      <c r="T274">
        <f>HYPERLINK("https://klasma.github.io/Logging_1486/karta/A 7008-2019 karta.png", "A 7008-2019")</f>
        <v/>
      </c>
      <c r="U274">
        <f>HYPERLINK("https://klasma.github.io/Logging_1486/knärot/A 7008-2019 knärot.png", "A 7008-2019")</f>
        <v/>
      </c>
      <c r="V274">
        <f>HYPERLINK("https://klasma.github.io/Logging_1486/klagomål/A 7008-2019 klagomål.docx", "A 7008-2019")</f>
        <v/>
      </c>
      <c r="W274">
        <f>HYPERLINK("https://klasma.github.io/Logging_1486/klagomålsmail/A 7008-2019 klagomålsmail.docx", "A 7008-2019")</f>
        <v/>
      </c>
      <c r="X274">
        <f>HYPERLINK("https://klasma.github.io/Logging_1486/tillsyn/A 7008-2019 tillsyn.docx", "A 7008-2019")</f>
        <v/>
      </c>
      <c r="Y274">
        <f>HYPERLINK("https://klasma.github.io/Logging_1486/tillsynsmail/A 7008-2019 tillsynsmail.docx", "A 7008-2019")</f>
        <v/>
      </c>
    </row>
    <row r="275" ht="15" customHeight="1">
      <c r="A275" t="inlineStr">
        <is>
          <t>A 7017-2019</t>
        </is>
      </c>
      <c r="B275" s="1" t="n">
        <v>43495</v>
      </c>
      <c r="C275" s="1" t="n">
        <v>45212</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HYPERLINK("https://klasma.github.io/Logging_1497/artfynd/A 7017-2019 artfynd.xlsx", "A 7017-2019")</f>
        <v/>
      </c>
      <c r="T275">
        <f>HYPERLINK("https://klasma.github.io/Logging_1497/karta/A 7017-2019 karta.png", "A 7017-2019")</f>
        <v/>
      </c>
      <c r="U275">
        <f>HYPERLINK("https://klasma.github.io/Logging_1497/knärot/A 7017-2019 knärot.png", "A 7017-2019")</f>
        <v/>
      </c>
      <c r="V275">
        <f>HYPERLINK("https://klasma.github.io/Logging_1497/klagomål/A 7017-2019 klagomål.docx", "A 7017-2019")</f>
        <v/>
      </c>
      <c r="W275">
        <f>HYPERLINK("https://klasma.github.io/Logging_1497/klagomålsmail/A 7017-2019 klagomålsmail.docx", "A 7017-2019")</f>
        <v/>
      </c>
      <c r="X275">
        <f>HYPERLINK("https://klasma.github.io/Logging_1497/tillsyn/A 7017-2019 tillsyn.docx", "A 7017-2019")</f>
        <v/>
      </c>
      <c r="Y275">
        <f>HYPERLINK("https://klasma.github.io/Logging_1497/tillsynsmail/A 7017-2019 tillsynsmail.docx", "A 7017-2019")</f>
        <v/>
      </c>
    </row>
    <row r="276" ht="15" customHeight="1">
      <c r="A276" t="inlineStr">
        <is>
          <t>A 8657-2019</t>
        </is>
      </c>
      <c r="B276" s="1" t="n">
        <v>43503</v>
      </c>
      <c r="C276" s="1" t="n">
        <v>45212</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HYPERLINK("https://klasma.github.io/Logging_1419/artfynd/A 8657-2019 artfynd.xlsx", "A 8657-2019")</f>
        <v/>
      </c>
      <c r="T276">
        <f>HYPERLINK("https://klasma.github.io/Logging_1419/karta/A 8657-2019 karta.png", "A 8657-2019")</f>
        <v/>
      </c>
      <c r="V276">
        <f>HYPERLINK("https://klasma.github.io/Logging_1419/klagomål/A 8657-2019 klagomål.docx", "A 8657-2019")</f>
        <v/>
      </c>
      <c r="W276">
        <f>HYPERLINK("https://klasma.github.io/Logging_1419/klagomålsmail/A 8657-2019 klagomålsmail.docx", "A 8657-2019")</f>
        <v/>
      </c>
      <c r="X276">
        <f>HYPERLINK("https://klasma.github.io/Logging_1419/tillsyn/A 8657-2019 tillsyn.docx", "A 8657-2019")</f>
        <v/>
      </c>
      <c r="Y276">
        <f>HYPERLINK("https://klasma.github.io/Logging_1419/tillsynsmail/A 8657-2019 tillsynsmail.docx", "A 8657-2019")</f>
        <v/>
      </c>
    </row>
    <row r="277" ht="15" customHeight="1">
      <c r="A277" t="inlineStr">
        <is>
          <t>A 9198-2019</t>
        </is>
      </c>
      <c r="B277" s="1" t="n">
        <v>43506</v>
      </c>
      <c r="C277" s="1" t="n">
        <v>45212</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HYPERLINK("https://klasma.github.io/Logging_1421/artfynd/A 9198-2019 artfynd.xlsx", "A 9198-2019")</f>
        <v/>
      </c>
      <c r="T277">
        <f>HYPERLINK("https://klasma.github.io/Logging_1421/karta/A 9198-2019 karta.png", "A 9198-2019")</f>
        <v/>
      </c>
      <c r="V277">
        <f>HYPERLINK("https://klasma.github.io/Logging_1421/klagomål/A 9198-2019 klagomål.docx", "A 9198-2019")</f>
        <v/>
      </c>
      <c r="W277">
        <f>HYPERLINK("https://klasma.github.io/Logging_1421/klagomålsmail/A 9198-2019 klagomålsmail.docx", "A 9198-2019")</f>
        <v/>
      </c>
      <c r="X277">
        <f>HYPERLINK("https://klasma.github.io/Logging_1421/tillsyn/A 9198-2019 tillsyn.docx", "A 9198-2019")</f>
        <v/>
      </c>
      <c r="Y277">
        <f>HYPERLINK("https://klasma.github.io/Logging_1421/tillsynsmail/A 9198-2019 tillsynsmail.docx", "A 9198-2019")</f>
        <v/>
      </c>
    </row>
    <row r="278" ht="15" customHeight="1">
      <c r="A278" t="inlineStr">
        <is>
          <t>A 10777-2019</t>
        </is>
      </c>
      <c r="B278" s="1" t="n">
        <v>43514</v>
      </c>
      <c r="C278" s="1" t="n">
        <v>45212</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HYPERLINK("https://klasma.github.io/Logging_1488/artfynd/A 10777-2019 artfynd.xlsx", "A 10777-2019")</f>
        <v/>
      </c>
      <c r="T278">
        <f>HYPERLINK("https://klasma.github.io/Logging_1488/karta/A 10777-2019 karta.png", "A 10777-2019")</f>
        <v/>
      </c>
      <c r="V278">
        <f>HYPERLINK("https://klasma.github.io/Logging_1488/klagomål/A 10777-2019 klagomål.docx", "A 10777-2019")</f>
        <v/>
      </c>
      <c r="W278">
        <f>HYPERLINK("https://klasma.github.io/Logging_1488/klagomålsmail/A 10777-2019 klagomålsmail.docx", "A 10777-2019")</f>
        <v/>
      </c>
      <c r="X278">
        <f>HYPERLINK("https://klasma.github.io/Logging_1488/tillsyn/A 10777-2019 tillsyn.docx", "A 10777-2019")</f>
        <v/>
      </c>
      <c r="Y278">
        <f>HYPERLINK("https://klasma.github.io/Logging_1488/tillsynsmail/A 10777-2019 tillsynsmail.docx", "A 10777-2019")</f>
        <v/>
      </c>
    </row>
    <row r="279" ht="15" customHeight="1">
      <c r="A279" t="inlineStr">
        <is>
          <t>A 11650-2019</t>
        </is>
      </c>
      <c r="B279" s="1" t="n">
        <v>43518</v>
      </c>
      <c r="C279" s="1" t="n">
        <v>45212</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HYPERLINK("https://klasma.github.io/Logging_1462/artfynd/A 11650-2019 artfynd.xlsx", "A 11650-2019")</f>
        <v/>
      </c>
      <c r="T279">
        <f>HYPERLINK("https://klasma.github.io/Logging_1462/karta/A 11650-2019 karta.png", "A 11650-2019")</f>
        <v/>
      </c>
      <c r="V279">
        <f>HYPERLINK("https://klasma.github.io/Logging_1462/klagomål/A 11650-2019 klagomål.docx", "A 11650-2019")</f>
        <v/>
      </c>
      <c r="W279">
        <f>HYPERLINK("https://klasma.github.io/Logging_1462/klagomålsmail/A 11650-2019 klagomålsmail.docx", "A 11650-2019")</f>
        <v/>
      </c>
      <c r="X279">
        <f>HYPERLINK("https://klasma.github.io/Logging_1462/tillsyn/A 11650-2019 tillsyn.docx", "A 11650-2019")</f>
        <v/>
      </c>
      <c r="Y279">
        <f>HYPERLINK("https://klasma.github.io/Logging_1462/tillsynsmail/A 11650-2019 tillsynsmail.docx", "A 11650-2019")</f>
        <v/>
      </c>
    </row>
    <row r="280" ht="15" customHeight="1">
      <c r="A280" t="inlineStr">
        <is>
          <t>A 11845-2019</t>
        </is>
      </c>
      <c r="B280" s="1" t="n">
        <v>43521</v>
      </c>
      <c r="C280" s="1" t="n">
        <v>45212</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HYPERLINK("https://klasma.github.io/Logging_1486/artfynd/A 11845-2019 artfynd.xlsx", "A 11845-2019")</f>
        <v/>
      </c>
      <c r="T280">
        <f>HYPERLINK("https://klasma.github.io/Logging_1486/karta/A 11845-2019 karta.png", "A 11845-2019")</f>
        <v/>
      </c>
      <c r="V280">
        <f>HYPERLINK("https://klasma.github.io/Logging_1486/klagomål/A 11845-2019 klagomål.docx", "A 11845-2019")</f>
        <v/>
      </c>
      <c r="W280">
        <f>HYPERLINK("https://klasma.github.io/Logging_1486/klagomålsmail/A 11845-2019 klagomålsmail.docx", "A 11845-2019")</f>
        <v/>
      </c>
      <c r="X280">
        <f>HYPERLINK("https://klasma.github.io/Logging_1486/tillsyn/A 11845-2019 tillsyn.docx", "A 11845-2019")</f>
        <v/>
      </c>
      <c r="Y280">
        <f>HYPERLINK("https://klasma.github.io/Logging_1486/tillsynsmail/A 11845-2019 tillsynsmail.docx", "A 11845-2019")</f>
        <v/>
      </c>
    </row>
    <row r="281" ht="15" customHeight="1">
      <c r="A281" t="inlineStr">
        <is>
          <t>A 14600-2019</t>
        </is>
      </c>
      <c r="B281" s="1" t="n">
        <v>43537</v>
      </c>
      <c r="C281" s="1" t="n">
        <v>45212</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HYPERLINK("https://klasma.github.io/Logging_1435/artfynd/A 14600-2019 artfynd.xlsx", "A 14600-2019")</f>
        <v/>
      </c>
      <c r="T281">
        <f>HYPERLINK("https://klasma.github.io/Logging_1435/karta/A 14600-2019 karta.png", "A 14600-2019")</f>
        <v/>
      </c>
      <c r="V281">
        <f>HYPERLINK("https://klasma.github.io/Logging_1435/klagomål/A 14600-2019 klagomål.docx", "A 14600-2019")</f>
        <v/>
      </c>
      <c r="W281">
        <f>HYPERLINK("https://klasma.github.io/Logging_1435/klagomålsmail/A 14600-2019 klagomålsmail.docx", "A 14600-2019")</f>
        <v/>
      </c>
      <c r="X281">
        <f>HYPERLINK("https://klasma.github.io/Logging_1435/tillsyn/A 14600-2019 tillsyn.docx", "A 14600-2019")</f>
        <v/>
      </c>
      <c r="Y281">
        <f>HYPERLINK("https://klasma.github.io/Logging_1435/tillsynsmail/A 14600-2019 tillsynsmail.docx", "A 14600-2019")</f>
        <v/>
      </c>
    </row>
    <row r="282" ht="15" customHeight="1">
      <c r="A282" t="inlineStr">
        <is>
          <t>A 15748-2019</t>
        </is>
      </c>
      <c r="B282" s="1" t="n">
        <v>43542</v>
      </c>
      <c r="C282" s="1" t="n">
        <v>45212</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HYPERLINK("https://klasma.github.io/Logging_1461/artfynd/A 15748-2019 artfynd.xlsx", "A 15748-2019")</f>
        <v/>
      </c>
      <c r="T282">
        <f>HYPERLINK("https://klasma.github.io/Logging_1461/karta/A 15748-2019 karta.png", "A 15748-2019")</f>
        <v/>
      </c>
      <c r="V282">
        <f>HYPERLINK("https://klasma.github.io/Logging_1461/klagomål/A 15748-2019 klagomål.docx", "A 15748-2019")</f>
        <v/>
      </c>
      <c r="W282">
        <f>HYPERLINK("https://klasma.github.io/Logging_1461/klagomålsmail/A 15748-2019 klagomålsmail.docx", "A 15748-2019")</f>
        <v/>
      </c>
      <c r="X282">
        <f>HYPERLINK("https://klasma.github.io/Logging_1461/tillsyn/A 15748-2019 tillsyn.docx", "A 15748-2019")</f>
        <v/>
      </c>
      <c r="Y282">
        <f>HYPERLINK("https://klasma.github.io/Logging_1461/tillsynsmail/A 15748-2019 tillsynsmail.docx", "A 15748-2019")</f>
        <v/>
      </c>
    </row>
    <row r="283" ht="15" customHeight="1">
      <c r="A283" t="inlineStr">
        <is>
          <t>A 15719-2019</t>
        </is>
      </c>
      <c r="B283" s="1" t="n">
        <v>43543</v>
      </c>
      <c r="C283" s="1" t="n">
        <v>45212</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HYPERLINK("https://klasma.github.io/Logging_1435/artfynd/A 15719-2019 artfynd.xlsx", "A 15719-2019")</f>
        <v/>
      </c>
      <c r="T283">
        <f>HYPERLINK("https://klasma.github.io/Logging_1435/karta/A 15719-2019 karta.png", "A 15719-2019")</f>
        <v/>
      </c>
      <c r="V283">
        <f>HYPERLINK("https://klasma.github.io/Logging_1435/klagomål/A 15719-2019 klagomål.docx", "A 15719-2019")</f>
        <v/>
      </c>
      <c r="W283">
        <f>HYPERLINK("https://klasma.github.io/Logging_1435/klagomålsmail/A 15719-2019 klagomålsmail.docx", "A 15719-2019")</f>
        <v/>
      </c>
      <c r="X283">
        <f>HYPERLINK("https://klasma.github.io/Logging_1435/tillsyn/A 15719-2019 tillsyn.docx", "A 15719-2019")</f>
        <v/>
      </c>
      <c r="Y283">
        <f>HYPERLINK("https://klasma.github.io/Logging_1435/tillsynsmail/A 15719-2019 tillsynsmail.docx", "A 15719-2019")</f>
        <v/>
      </c>
    </row>
    <row r="284" ht="15" customHeight="1">
      <c r="A284" t="inlineStr">
        <is>
          <t>A 15590-2019</t>
        </is>
      </c>
      <c r="B284" s="1" t="n">
        <v>43543</v>
      </c>
      <c r="C284" s="1" t="n">
        <v>45212</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HYPERLINK("https://klasma.github.io/Logging_1471/artfynd/A 15590-2019 artfynd.xlsx", "A 15590-2019")</f>
        <v/>
      </c>
      <c r="T284">
        <f>HYPERLINK("https://klasma.github.io/Logging_1471/karta/A 15590-2019 karta.png", "A 15590-2019")</f>
        <v/>
      </c>
      <c r="V284">
        <f>HYPERLINK("https://klasma.github.io/Logging_1471/klagomål/A 15590-2019 klagomål.docx", "A 15590-2019")</f>
        <v/>
      </c>
      <c r="W284">
        <f>HYPERLINK("https://klasma.github.io/Logging_1471/klagomålsmail/A 15590-2019 klagomålsmail.docx", "A 15590-2019")</f>
        <v/>
      </c>
      <c r="X284">
        <f>HYPERLINK("https://klasma.github.io/Logging_1471/tillsyn/A 15590-2019 tillsyn.docx", "A 15590-2019")</f>
        <v/>
      </c>
      <c r="Y284">
        <f>HYPERLINK("https://klasma.github.io/Logging_1471/tillsynsmail/A 15590-2019 tillsynsmail.docx", "A 15590-2019")</f>
        <v/>
      </c>
    </row>
    <row r="285" ht="15" customHeight="1">
      <c r="A285" t="inlineStr">
        <is>
          <t>A 16408-2019</t>
        </is>
      </c>
      <c r="B285" s="1" t="n">
        <v>43546</v>
      </c>
      <c r="C285" s="1" t="n">
        <v>45212</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HYPERLINK("https://klasma.github.io/Logging_1445/artfynd/A 16408-2019 artfynd.xlsx", "A 16408-2019")</f>
        <v/>
      </c>
      <c r="T285">
        <f>HYPERLINK("https://klasma.github.io/Logging_1445/karta/A 16408-2019 karta.png", "A 16408-2019")</f>
        <v/>
      </c>
      <c r="V285">
        <f>HYPERLINK("https://klasma.github.io/Logging_1445/klagomål/A 16408-2019 klagomål.docx", "A 16408-2019")</f>
        <v/>
      </c>
      <c r="W285">
        <f>HYPERLINK("https://klasma.github.io/Logging_1445/klagomålsmail/A 16408-2019 klagomålsmail.docx", "A 16408-2019")</f>
        <v/>
      </c>
      <c r="X285">
        <f>HYPERLINK("https://klasma.github.io/Logging_1445/tillsyn/A 16408-2019 tillsyn.docx", "A 16408-2019")</f>
        <v/>
      </c>
      <c r="Y285">
        <f>HYPERLINK("https://klasma.github.io/Logging_1445/tillsynsmail/A 16408-2019 tillsynsmail.docx", "A 16408-2019")</f>
        <v/>
      </c>
    </row>
    <row r="286" ht="15" customHeight="1">
      <c r="A286" t="inlineStr">
        <is>
          <t>A 16778-2019</t>
        </is>
      </c>
      <c r="B286" s="1" t="n">
        <v>43549</v>
      </c>
      <c r="C286" s="1" t="n">
        <v>45212</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HYPERLINK("https://klasma.github.io/Logging_1486/artfynd/A 16778-2019 artfynd.xlsx", "A 16778-2019")</f>
        <v/>
      </c>
      <c r="T286">
        <f>HYPERLINK("https://klasma.github.io/Logging_1486/karta/A 16778-2019 karta.png", "A 16778-2019")</f>
        <v/>
      </c>
      <c r="V286">
        <f>HYPERLINK("https://klasma.github.io/Logging_1486/klagomål/A 16778-2019 klagomål.docx", "A 16778-2019")</f>
        <v/>
      </c>
      <c r="W286">
        <f>HYPERLINK("https://klasma.github.io/Logging_1486/klagomålsmail/A 16778-2019 klagomålsmail.docx", "A 16778-2019")</f>
        <v/>
      </c>
      <c r="X286">
        <f>HYPERLINK("https://klasma.github.io/Logging_1486/tillsyn/A 16778-2019 tillsyn.docx", "A 16778-2019")</f>
        <v/>
      </c>
      <c r="Y286">
        <f>HYPERLINK("https://klasma.github.io/Logging_1486/tillsynsmail/A 16778-2019 tillsynsmail.docx", "A 16778-2019")</f>
        <v/>
      </c>
    </row>
    <row r="287" ht="15" customHeight="1">
      <c r="A287" t="inlineStr">
        <is>
          <t>A 16637-2019</t>
        </is>
      </c>
      <c r="B287" s="1" t="n">
        <v>43549</v>
      </c>
      <c r="C287" s="1" t="n">
        <v>45212</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HYPERLINK("https://klasma.github.io/Logging_1499/artfynd/A 16637-2019 artfynd.xlsx", "A 16637-2019")</f>
        <v/>
      </c>
      <c r="T287">
        <f>HYPERLINK("https://klasma.github.io/Logging_1499/karta/A 16637-2019 karta.png", "A 16637-2019")</f>
        <v/>
      </c>
      <c r="V287">
        <f>HYPERLINK("https://klasma.github.io/Logging_1499/klagomål/A 16637-2019 klagomål.docx", "A 16637-2019")</f>
        <v/>
      </c>
      <c r="W287">
        <f>HYPERLINK("https://klasma.github.io/Logging_1499/klagomålsmail/A 16637-2019 klagomålsmail.docx", "A 16637-2019")</f>
        <v/>
      </c>
      <c r="X287">
        <f>HYPERLINK("https://klasma.github.io/Logging_1499/tillsyn/A 16637-2019 tillsyn.docx", "A 16637-2019")</f>
        <v/>
      </c>
      <c r="Y287">
        <f>HYPERLINK("https://klasma.github.io/Logging_1499/tillsynsmail/A 16637-2019 tillsynsmail.docx", "A 16637-2019")</f>
        <v/>
      </c>
    </row>
    <row r="288" ht="15" customHeight="1">
      <c r="A288" t="inlineStr">
        <is>
          <t>A 18498-2019</t>
        </is>
      </c>
      <c r="B288" s="1" t="n">
        <v>43559</v>
      </c>
      <c r="C288" s="1" t="n">
        <v>45212</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HYPERLINK("https://klasma.github.io/Logging_1493/artfynd/A 18498-2019 artfynd.xlsx", "A 18498-2019")</f>
        <v/>
      </c>
      <c r="T288">
        <f>HYPERLINK("https://klasma.github.io/Logging_1493/karta/A 18498-2019 karta.png", "A 18498-2019")</f>
        <v/>
      </c>
      <c r="V288">
        <f>HYPERLINK("https://klasma.github.io/Logging_1493/klagomål/A 18498-2019 klagomål.docx", "A 18498-2019")</f>
        <v/>
      </c>
      <c r="W288">
        <f>HYPERLINK("https://klasma.github.io/Logging_1493/klagomålsmail/A 18498-2019 klagomålsmail.docx", "A 18498-2019")</f>
        <v/>
      </c>
      <c r="X288">
        <f>HYPERLINK("https://klasma.github.io/Logging_1493/tillsyn/A 18498-2019 tillsyn.docx", "A 18498-2019")</f>
        <v/>
      </c>
      <c r="Y288">
        <f>HYPERLINK("https://klasma.github.io/Logging_1493/tillsynsmail/A 18498-2019 tillsynsmail.docx", "A 18498-2019")</f>
        <v/>
      </c>
    </row>
    <row r="289" ht="15" customHeight="1">
      <c r="A289" t="inlineStr">
        <is>
          <t>A 18784-2019</t>
        </is>
      </c>
      <c r="B289" s="1" t="n">
        <v>43562</v>
      </c>
      <c r="C289" s="1" t="n">
        <v>45212</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HYPERLINK("https://klasma.github.io/Logging_1430/artfynd/A 18784-2019 artfynd.xlsx", "A 18784-2019")</f>
        <v/>
      </c>
      <c r="T289">
        <f>HYPERLINK("https://klasma.github.io/Logging_1430/karta/A 18784-2019 karta.png", "A 18784-2019")</f>
        <v/>
      </c>
      <c r="V289">
        <f>HYPERLINK("https://klasma.github.io/Logging_1430/klagomål/A 18784-2019 klagomål.docx", "A 18784-2019")</f>
        <v/>
      </c>
      <c r="W289">
        <f>HYPERLINK("https://klasma.github.io/Logging_1430/klagomålsmail/A 18784-2019 klagomålsmail.docx", "A 18784-2019")</f>
        <v/>
      </c>
      <c r="X289">
        <f>HYPERLINK("https://klasma.github.io/Logging_1430/tillsyn/A 18784-2019 tillsyn.docx", "A 18784-2019")</f>
        <v/>
      </c>
      <c r="Y289">
        <f>HYPERLINK("https://klasma.github.io/Logging_1430/tillsynsmail/A 18784-2019 tillsynsmail.docx", "A 18784-2019")</f>
        <v/>
      </c>
    </row>
    <row r="290" ht="15" customHeight="1">
      <c r="A290" t="inlineStr">
        <is>
          <t>A 19024-2019</t>
        </is>
      </c>
      <c r="B290" s="1" t="n">
        <v>43563</v>
      </c>
      <c r="C290" s="1" t="n">
        <v>45212</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HYPERLINK("https://klasma.github.io/Logging_1435/artfynd/A 19024-2019 artfynd.xlsx", "A 19024-2019")</f>
        <v/>
      </c>
      <c r="T290">
        <f>HYPERLINK("https://klasma.github.io/Logging_1435/karta/A 19024-2019 karta.png", "A 19024-2019")</f>
        <v/>
      </c>
      <c r="V290">
        <f>HYPERLINK("https://klasma.github.io/Logging_1435/klagomål/A 19024-2019 klagomål.docx", "A 19024-2019")</f>
        <v/>
      </c>
      <c r="W290">
        <f>HYPERLINK("https://klasma.github.io/Logging_1435/klagomålsmail/A 19024-2019 klagomålsmail.docx", "A 19024-2019")</f>
        <v/>
      </c>
      <c r="X290">
        <f>HYPERLINK("https://klasma.github.io/Logging_1435/tillsyn/A 19024-2019 tillsyn.docx", "A 19024-2019")</f>
        <v/>
      </c>
      <c r="Y290">
        <f>HYPERLINK("https://klasma.github.io/Logging_1435/tillsynsmail/A 19024-2019 tillsynsmail.docx", "A 19024-2019")</f>
        <v/>
      </c>
    </row>
    <row r="291" ht="15" customHeight="1">
      <c r="A291" t="inlineStr">
        <is>
          <t>A 20174-2019</t>
        </is>
      </c>
      <c r="B291" s="1" t="n">
        <v>43570</v>
      </c>
      <c r="C291" s="1" t="n">
        <v>45212</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HYPERLINK("https://klasma.github.io/Logging_1487/artfynd/A 20174-2019 artfynd.xlsx", "A 20174-2019")</f>
        <v/>
      </c>
      <c r="T291">
        <f>HYPERLINK("https://klasma.github.io/Logging_1487/karta/A 20174-2019 karta.png", "A 20174-2019")</f>
        <v/>
      </c>
      <c r="V291">
        <f>HYPERLINK("https://klasma.github.io/Logging_1487/klagomål/A 20174-2019 klagomål.docx", "A 20174-2019")</f>
        <v/>
      </c>
      <c r="W291">
        <f>HYPERLINK("https://klasma.github.io/Logging_1487/klagomålsmail/A 20174-2019 klagomålsmail.docx", "A 20174-2019")</f>
        <v/>
      </c>
      <c r="X291">
        <f>HYPERLINK("https://klasma.github.io/Logging_1487/tillsyn/A 20174-2019 tillsyn.docx", "A 20174-2019")</f>
        <v/>
      </c>
      <c r="Y291">
        <f>HYPERLINK("https://klasma.github.io/Logging_1487/tillsynsmail/A 20174-2019 tillsynsmail.docx", "A 20174-2019")</f>
        <v/>
      </c>
    </row>
    <row r="292" ht="15" customHeight="1">
      <c r="A292" t="inlineStr">
        <is>
          <t>A 22978-2019</t>
        </is>
      </c>
      <c r="B292" s="1" t="n">
        <v>43591</v>
      </c>
      <c r="C292" s="1" t="n">
        <v>45212</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HYPERLINK("https://klasma.github.io/Logging_1473/artfynd/A 22978-2019 artfynd.xlsx", "A 22978-2019")</f>
        <v/>
      </c>
      <c r="T292">
        <f>HYPERLINK("https://klasma.github.io/Logging_1473/karta/A 22978-2019 karta.png", "A 22978-2019")</f>
        <v/>
      </c>
      <c r="V292">
        <f>HYPERLINK("https://klasma.github.io/Logging_1473/klagomål/A 22978-2019 klagomål.docx", "A 22978-2019")</f>
        <v/>
      </c>
      <c r="W292">
        <f>HYPERLINK("https://klasma.github.io/Logging_1473/klagomålsmail/A 22978-2019 klagomålsmail.docx", "A 22978-2019")</f>
        <v/>
      </c>
      <c r="X292">
        <f>HYPERLINK("https://klasma.github.io/Logging_1473/tillsyn/A 22978-2019 tillsyn.docx", "A 22978-2019")</f>
        <v/>
      </c>
      <c r="Y292">
        <f>HYPERLINK("https://klasma.github.io/Logging_1473/tillsynsmail/A 22978-2019 tillsynsmail.docx", "A 22978-2019")</f>
        <v/>
      </c>
    </row>
    <row r="293" ht="15" customHeight="1">
      <c r="A293" t="inlineStr">
        <is>
          <t>A 24544-2019</t>
        </is>
      </c>
      <c r="B293" s="1" t="n">
        <v>43600</v>
      </c>
      <c r="C293" s="1" t="n">
        <v>45212</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HYPERLINK("https://klasma.github.io/Logging_1498/artfynd/A 24544-2019 artfynd.xlsx", "A 24544-2019")</f>
        <v/>
      </c>
      <c r="T293">
        <f>HYPERLINK("https://klasma.github.io/Logging_1498/karta/A 24544-2019 karta.png", "A 24544-2019")</f>
        <v/>
      </c>
      <c r="V293">
        <f>HYPERLINK("https://klasma.github.io/Logging_1498/klagomål/A 24544-2019 klagomål.docx", "A 24544-2019")</f>
        <v/>
      </c>
      <c r="W293">
        <f>HYPERLINK("https://klasma.github.io/Logging_1498/klagomålsmail/A 24544-2019 klagomålsmail.docx", "A 24544-2019")</f>
        <v/>
      </c>
      <c r="X293">
        <f>HYPERLINK("https://klasma.github.io/Logging_1498/tillsyn/A 24544-2019 tillsyn.docx", "A 24544-2019")</f>
        <v/>
      </c>
      <c r="Y293">
        <f>HYPERLINK("https://klasma.github.io/Logging_1498/tillsynsmail/A 24544-2019 tillsynsmail.docx", "A 24544-2019")</f>
        <v/>
      </c>
    </row>
    <row r="294" ht="15" customHeight="1">
      <c r="A294" t="inlineStr">
        <is>
          <t>A 24911-2019</t>
        </is>
      </c>
      <c r="B294" s="1" t="n">
        <v>43602</v>
      </c>
      <c r="C294" s="1" t="n">
        <v>45212</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HYPERLINK("https://klasma.github.io/Logging_1495/artfynd/A 24911-2019 artfynd.xlsx", "A 24911-2019")</f>
        <v/>
      </c>
      <c r="T294">
        <f>HYPERLINK("https://klasma.github.io/Logging_1495/karta/A 24911-2019 karta.png", "A 24911-2019")</f>
        <v/>
      </c>
      <c r="V294">
        <f>HYPERLINK("https://klasma.github.io/Logging_1495/klagomål/A 24911-2019 klagomål.docx", "A 24911-2019")</f>
        <v/>
      </c>
      <c r="W294">
        <f>HYPERLINK("https://klasma.github.io/Logging_1495/klagomålsmail/A 24911-2019 klagomålsmail.docx", "A 24911-2019")</f>
        <v/>
      </c>
      <c r="X294">
        <f>HYPERLINK("https://klasma.github.io/Logging_1495/tillsyn/A 24911-2019 tillsyn.docx", "A 24911-2019")</f>
        <v/>
      </c>
      <c r="Y294">
        <f>HYPERLINK("https://klasma.github.io/Logging_1495/tillsynsmail/A 24911-2019 tillsynsmail.docx", "A 24911-2019")</f>
        <v/>
      </c>
    </row>
    <row r="295" ht="15" customHeight="1">
      <c r="A295" t="inlineStr">
        <is>
          <t>A 25391-2019</t>
        </is>
      </c>
      <c r="B295" s="1" t="n">
        <v>43606</v>
      </c>
      <c r="C295" s="1" t="n">
        <v>45212</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HYPERLINK("https://klasma.github.io/Logging_1440/artfynd/A 25391-2019 artfynd.xlsx", "A 25391-2019")</f>
        <v/>
      </c>
      <c r="T295">
        <f>HYPERLINK("https://klasma.github.io/Logging_1440/karta/A 25391-2019 karta.png", "A 25391-2019")</f>
        <v/>
      </c>
      <c r="V295">
        <f>HYPERLINK("https://klasma.github.io/Logging_1440/klagomål/A 25391-2019 klagomål.docx", "A 25391-2019")</f>
        <v/>
      </c>
      <c r="W295">
        <f>HYPERLINK("https://klasma.github.io/Logging_1440/klagomålsmail/A 25391-2019 klagomålsmail.docx", "A 25391-2019")</f>
        <v/>
      </c>
      <c r="X295">
        <f>HYPERLINK("https://klasma.github.io/Logging_1440/tillsyn/A 25391-2019 tillsyn.docx", "A 25391-2019")</f>
        <v/>
      </c>
      <c r="Y295">
        <f>HYPERLINK("https://klasma.github.io/Logging_1440/tillsynsmail/A 25391-2019 tillsynsmail.docx", "A 25391-2019")</f>
        <v/>
      </c>
    </row>
    <row r="296" ht="15" customHeight="1">
      <c r="A296" t="inlineStr">
        <is>
          <t>A 26314-2019</t>
        </is>
      </c>
      <c r="B296" s="1" t="n">
        <v>43612</v>
      </c>
      <c r="C296" s="1" t="n">
        <v>45212</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HYPERLINK("https://klasma.github.io/Logging_1497/artfynd/A 26314-2019 artfynd.xlsx", "A 26314-2019")</f>
        <v/>
      </c>
      <c r="T296">
        <f>HYPERLINK("https://klasma.github.io/Logging_1497/karta/A 26314-2019 karta.png", "A 26314-2019")</f>
        <v/>
      </c>
      <c r="V296">
        <f>HYPERLINK("https://klasma.github.io/Logging_1497/klagomål/A 26314-2019 klagomål.docx", "A 26314-2019")</f>
        <v/>
      </c>
      <c r="W296">
        <f>HYPERLINK("https://klasma.github.io/Logging_1497/klagomålsmail/A 26314-2019 klagomålsmail.docx", "A 26314-2019")</f>
        <v/>
      </c>
      <c r="X296">
        <f>HYPERLINK("https://klasma.github.io/Logging_1497/tillsyn/A 26314-2019 tillsyn.docx", "A 26314-2019")</f>
        <v/>
      </c>
      <c r="Y296">
        <f>HYPERLINK("https://klasma.github.io/Logging_1497/tillsynsmail/A 26314-2019 tillsynsmail.docx", "A 26314-2019")</f>
        <v/>
      </c>
    </row>
    <row r="297" ht="15" customHeight="1">
      <c r="A297" t="inlineStr">
        <is>
          <t>A 27034-2019</t>
        </is>
      </c>
      <c r="B297" s="1" t="n">
        <v>43614</v>
      </c>
      <c r="C297" s="1" t="n">
        <v>45212</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HYPERLINK("https://klasma.github.io/Logging_1487/artfynd/A 27034-2019 artfynd.xlsx", "A 27034-2019")</f>
        <v/>
      </c>
      <c r="T297">
        <f>HYPERLINK("https://klasma.github.io/Logging_1487/karta/A 27034-2019 karta.png", "A 27034-2019")</f>
        <v/>
      </c>
      <c r="V297">
        <f>HYPERLINK("https://klasma.github.io/Logging_1487/klagomål/A 27034-2019 klagomål.docx", "A 27034-2019")</f>
        <v/>
      </c>
      <c r="W297">
        <f>HYPERLINK("https://klasma.github.io/Logging_1487/klagomålsmail/A 27034-2019 klagomålsmail.docx", "A 27034-2019")</f>
        <v/>
      </c>
      <c r="X297">
        <f>HYPERLINK("https://klasma.github.io/Logging_1487/tillsyn/A 27034-2019 tillsyn.docx", "A 27034-2019")</f>
        <v/>
      </c>
      <c r="Y297">
        <f>HYPERLINK("https://klasma.github.io/Logging_1487/tillsynsmail/A 27034-2019 tillsynsmail.docx", "A 27034-2019")</f>
        <v/>
      </c>
    </row>
    <row r="298" ht="15" customHeight="1">
      <c r="A298" t="inlineStr">
        <is>
          <t>A 27812-2019</t>
        </is>
      </c>
      <c r="B298" s="1" t="n">
        <v>43620</v>
      </c>
      <c r="C298" s="1" t="n">
        <v>45212</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HYPERLINK("https://klasma.github.io/Logging_1465/artfynd/A 27812-2019 artfynd.xlsx", "A 27812-2019")</f>
        <v/>
      </c>
      <c r="T298">
        <f>HYPERLINK("https://klasma.github.io/Logging_1465/karta/A 27812-2019 karta.png", "A 27812-2019")</f>
        <v/>
      </c>
      <c r="V298">
        <f>HYPERLINK("https://klasma.github.io/Logging_1465/klagomål/A 27812-2019 klagomål.docx", "A 27812-2019")</f>
        <v/>
      </c>
      <c r="W298">
        <f>HYPERLINK("https://klasma.github.io/Logging_1465/klagomålsmail/A 27812-2019 klagomålsmail.docx", "A 27812-2019")</f>
        <v/>
      </c>
      <c r="X298">
        <f>HYPERLINK("https://klasma.github.io/Logging_1465/tillsyn/A 27812-2019 tillsyn.docx", "A 27812-2019")</f>
        <v/>
      </c>
      <c r="Y298">
        <f>HYPERLINK("https://klasma.github.io/Logging_1465/tillsynsmail/A 27812-2019 tillsynsmail.docx", "A 27812-2019")</f>
        <v/>
      </c>
    </row>
    <row r="299" ht="15" customHeight="1">
      <c r="A299" t="inlineStr">
        <is>
          <t>A 28006-2019</t>
        </is>
      </c>
      <c r="B299" s="1" t="n">
        <v>43621</v>
      </c>
      <c r="C299" s="1" t="n">
        <v>45212</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HYPERLINK("https://klasma.github.io/Logging_1421/artfynd/A 28006-2019 artfynd.xlsx", "A 28006-2019")</f>
        <v/>
      </c>
      <c r="T299">
        <f>HYPERLINK("https://klasma.github.io/Logging_1421/karta/A 28006-2019 karta.png", "A 28006-2019")</f>
        <v/>
      </c>
      <c r="V299">
        <f>HYPERLINK("https://klasma.github.io/Logging_1421/klagomål/A 28006-2019 klagomål.docx", "A 28006-2019")</f>
        <v/>
      </c>
      <c r="W299">
        <f>HYPERLINK("https://klasma.github.io/Logging_1421/klagomålsmail/A 28006-2019 klagomålsmail.docx", "A 28006-2019")</f>
        <v/>
      </c>
      <c r="X299">
        <f>HYPERLINK("https://klasma.github.io/Logging_1421/tillsyn/A 28006-2019 tillsyn.docx", "A 28006-2019")</f>
        <v/>
      </c>
      <c r="Y299">
        <f>HYPERLINK("https://klasma.github.io/Logging_1421/tillsynsmail/A 28006-2019 tillsynsmail.docx", "A 28006-2019")</f>
        <v/>
      </c>
    </row>
    <row r="300" ht="15" customHeight="1">
      <c r="A300" t="inlineStr">
        <is>
          <t>A 28010-2019</t>
        </is>
      </c>
      <c r="B300" s="1" t="n">
        <v>43621</v>
      </c>
      <c r="C300" s="1" t="n">
        <v>45212</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HYPERLINK("https://klasma.github.io/Logging_1421/artfynd/A 28010-2019 artfynd.xlsx", "A 28010-2019")</f>
        <v/>
      </c>
      <c r="T300">
        <f>HYPERLINK("https://klasma.github.io/Logging_1421/karta/A 28010-2019 karta.png", "A 28010-2019")</f>
        <v/>
      </c>
      <c r="V300">
        <f>HYPERLINK("https://klasma.github.io/Logging_1421/klagomål/A 28010-2019 klagomål.docx", "A 28010-2019")</f>
        <v/>
      </c>
      <c r="W300">
        <f>HYPERLINK("https://klasma.github.io/Logging_1421/klagomålsmail/A 28010-2019 klagomålsmail.docx", "A 28010-2019")</f>
        <v/>
      </c>
      <c r="X300">
        <f>HYPERLINK("https://klasma.github.io/Logging_1421/tillsyn/A 28010-2019 tillsyn.docx", "A 28010-2019")</f>
        <v/>
      </c>
      <c r="Y300">
        <f>HYPERLINK("https://klasma.github.io/Logging_1421/tillsynsmail/A 28010-2019 tillsynsmail.docx", "A 28010-2019")</f>
        <v/>
      </c>
    </row>
    <row r="301" ht="15" customHeight="1">
      <c r="A301" t="inlineStr">
        <is>
          <t>A 33021-2019</t>
        </is>
      </c>
      <c r="B301" s="1" t="n">
        <v>43649</v>
      </c>
      <c r="C301" s="1" t="n">
        <v>45212</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HYPERLINK("https://klasma.github.io/Logging_1485/artfynd/A 33021-2019 artfynd.xlsx", "A 33021-2019")</f>
        <v/>
      </c>
      <c r="T301">
        <f>HYPERLINK("https://klasma.github.io/Logging_1485/karta/A 33021-2019 karta.png", "A 33021-2019")</f>
        <v/>
      </c>
      <c r="V301">
        <f>HYPERLINK("https://klasma.github.io/Logging_1485/klagomål/A 33021-2019 klagomål.docx", "A 33021-2019")</f>
        <v/>
      </c>
      <c r="W301">
        <f>HYPERLINK("https://klasma.github.io/Logging_1485/klagomålsmail/A 33021-2019 klagomålsmail.docx", "A 33021-2019")</f>
        <v/>
      </c>
      <c r="X301">
        <f>HYPERLINK("https://klasma.github.io/Logging_1485/tillsyn/A 33021-2019 tillsyn.docx", "A 33021-2019")</f>
        <v/>
      </c>
      <c r="Y301">
        <f>HYPERLINK("https://klasma.github.io/Logging_1485/tillsynsmail/A 33021-2019 tillsynsmail.docx", "A 33021-2019")</f>
        <v/>
      </c>
    </row>
    <row r="302" ht="15" customHeight="1">
      <c r="A302" t="inlineStr">
        <is>
          <t>A 33245-2019</t>
        </is>
      </c>
      <c r="B302" s="1" t="n">
        <v>43650</v>
      </c>
      <c r="C302" s="1" t="n">
        <v>45212</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HYPERLINK("https://klasma.github.io/Logging_1430/artfynd/A 33245-2019 artfynd.xlsx", "A 33245-2019")</f>
        <v/>
      </c>
      <c r="T302">
        <f>HYPERLINK("https://klasma.github.io/Logging_1430/karta/A 33245-2019 karta.png", "A 33245-2019")</f>
        <v/>
      </c>
      <c r="V302">
        <f>HYPERLINK("https://klasma.github.io/Logging_1430/klagomål/A 33245-2019 klagomål.docx", "A 33245-2019")</f>
        <v/>
      </c>
      <c r="W302">
        <f>HYPERLINK("https://klasma.github.io/Logging_1430/klagomålsmail/A 33245-2019 klagomålsmail.docx", "A 33245-2019")</f>
        <v/>
      </c>
      <c r="X302">
        <f>HYPERLINK("https://klasma.github.io/Logging_1430/tillsyn/A 33245-2019 tillsyn.docx", "A 33245-2019")</f>
        <v/>
      </c>
      <c r="Y302">
        <f>HYPERLINK("https://klasma.github.io/Logging_1430/tillsynsmail/A 33245-2019 tillsynsmail.docx", "A 33245-2019")</f>
        <v/>
      </c>
    </row>
    <row r="303" ht="15" customHeight="1">
      <c r="A303" t="inlineStr">
        <is>
          <t>A 38063-2019</t>
        </is>
      </c>
      <c r="B303" s="1" t="n">
        <v>43683</v>
      </c>
      <c r="C303" s="1" t="n">
        <v>45212</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HYPERLINK("https://klasma.github.io/Logging_1463/artfynd/A 38063-2019 artfynd.xlsx", "A 38063-2019")</f>
        <v/>
      </c>
      <c r="T303">
        <f>HYPERLINK("https://klasma.github.io/Logging_1463/karta/A 38063-2019 karta.png", "A 38063-2019")</f>
        <v/>
      </c>
      <c r="V303">
        <f>HYPERLINK("https://klasma.github.io/Logging_1463/klagomål/A 38063-2019 klagomål.docx", "A 38063-2019")</f>
        <v/>
      </c>
      <c r="W303">
        <f>HYPERLINK("https://klasma.github.io/Logging_1463/klagomålsmail/A 38063-2019 klagomålsmail.docx", "A 38063-2019")</f>
        <v/>
      </c>
      <c r="X303">
        <f>HYPERLINK("https://klasma.github.io/Logging_1463/tillsyn/A 38063-2019 tillsyn.docx", "A 38063-2019")</f>
        <v/>
      </c>
      <c r="Y303">
        <f>HYPERLINK("https://klasma.github.io/Logging_1463/tillsynsmail/A 38063-2019 tillsynsmail.docx", "A 38063-2019")</f>
        <v/>
      </c>
    </row>
    <row r="304" ht="15" customHeight="1">
      <c r="A304" t="inlineStr">
        <is>
          <t>A 39346-2019</t>
        </is>
      </c>
      <c r="B304" s="1" t="n">
        <v>43690</v>
      </c>
      <c r="C304" s="1" t="n">
        <v>45212</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HYPERLINK("https://klasma.github.io/Logging_1485/artfynd/A 39346-2019 artfynd.xlsx", "A 39346-2019")</f>
        <v/>
      </c>
      <c r="T304">
        <f>HYPERLINK("https://klasma.github.io/Logging_1485/karta/A 39346-2019 karta.png", "A 39346-2019")</f>
        <v/>
      </c>
      <c r="V304">
        <f>HYPERLINK("https://klasma.github.io/Logging_1485/klagomål/A 39346-2019 klagomål.docx", "A 39346-2019")</f>
        <v/>
      </c>
      <c r="W304">
        <f>HYPERLINK("https://klasma.github.io/Logging_1485/klagomålsmail/A 39346-2019 klagomålsmail.docx", "A 39346-2019")</f>
        <v/>
      </c>
      <c r="X304">
        <f>HYPERLINK("https://klasma.github.io/Logging_1485/tillsyn/A 39346-2019 tillsyn.docx", "A 39346-2019")</f>
        <v/>
      </c>
      <c r="Y304">
        <f>HYPERLINK("https://klasma.github.io/Logging_1485/tillsynsmail/A 39346-2019 tillsynsmail.docx", "A 39346-2019")</f>
        <v/>
      </c>
    </row>
    <row r="305" ht="15" customHeight="1">
      <c r="A305" t="inlineStr">
        <is>
          <t>A 40335-2019</t>
        </is>
      </c>
      <c r="B305" s="1" t="n">
        <v>43696</v>
      </c>
      <c r="C305" s="1" t="n">
        <v>45212</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HYPERLINK("https://klasma.github.io/Logging_1482/artfynd/A 40335-2019 artfynd.xlsx", "A 40335-2019")</f>
        <v/>
      </c>
      <c r="T305">
        <f>HYPERLINK("https://klasma.github.io/Logging_1482/karta/A 40335-2019 karta.png", "A 40335-2019")</f>
        <v/>
      </c>
      <c r="V305">
        <f>HYPERLINK("https://klasma.github.io/Logging_1482/klagomål/A 40335-2019 klagomål.docx", "A 40335-2019")</f>
        <v/>
      </c>
      <c r="W305">
        <f>HYPERLINK("https://klasma.github.io/Logging_1482/klagomålsmail/A 40335-2019 klagomålsmail.docx", "A 40335-2019")</f>
        <v/>
      </c>
      <c r="X305">
        <f>HYPERLINK("https://klasma.github.io/Logging_1482/tillsyn/A 40335-2019 tillsyn.docx", "A 40335-2019")</f>
        <v/>
      </c>
      <c r="Y305">
        <f>HYPERLINK("https://klasma.github.io/Logging_1482/tillsynsmail/A 40335-2019 tillsynsmail.docx", "A 40335-2019")</f>
        <v/>
      </c>
    </row>
    <row r="306" ht="15" customHeight="1">
      <c r="A306" t="inlineStr">
        <is>
          <t>A 41622-2019</t>
        </is>
      </c>
      <c r="B306" s="1" t="n">
        <v>43699</v>
      </c>
      <c r="C306" s="1" t="n">
        <v>45212</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HYPERLINK("https://klasma.github.io/Logging_1495/artfynd/A 41622-2019 artfynd.xlsx", "A 41622-2019")</f>
        <v/>
      </c>
      <c r="T306">
        <f>HYPERLINK("https://klasma.github.io/Logging_1495/karta/A 41622-2019 karta.png", "A 41622-2019")</f>
        <v/>
      </c>
      <c r="V306">
        <f>HYPERLINK("https://klasma.github.io/Logging_1495/klagomål/A 41622-2019 klagomål.docx", "A 41622-2019")</f>
        <v/>
      </c>
      <c r="W306">
        <f>HYPERLINK("https://klasma.github.io/Logging_1495/klagomålsmail/A 41622-2019 klagomålsmail.docx", "A 41622-2019")</f>
        <v/>
      </c>
      <c r="X306">
        <f>HYPERLINK("https://klasma.github.io/Logging_1495/tillsyn/A 41622-2019 tillsyn.docx", "A 41622-2019")</f>
        <v/>
      </c>
      <c r="Y306">
        <f>HYPERLINK("https://klasma.github.io/Logging_1495/tillsynsmail/A 41622-2019 tillsynsmail.docx", "A 41622-2019")</f>
        <v/>
      </c>
    </row>
    <row r="307" ht="15" customHeight="1">
      <c r="A307" t="inlineStr">
        <is>
          <t>A 43545-2019</t>
        </is>
      </c>
      <c r="B307" s="1" t="n">
        <v>43706</v>
      </c>
      <c r="C307" s="1" t="n">
        <v>45212</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HYPERLINK("https://klasma.github.io/Logging_1495/artfynd/A 43545-2019 artfynd.xlsx", "A 43545-2019")</f>
        <v/>
      </c>
      <c r="T307">
        <f>HYPERLINK("https://klasma.github.io/Logging_1495/karta/A 43545-2019 karta.png", "A 43545-2019")</f>
        <v/>
      </c>
      <c r="V307">
        <f>HYPERLINK("https://klasma.github.io/Logging_1495/klagomål/A 43545-2019 klagomål.docx", "A 43545-2019")</f>
        <v/>
      </c>
      <c r="W307">
        <f>HYPERLINK("https://klasma.github.io/Logging_1495/klagomålsmail/A 43545-2019 klagomålsmail.docx", "A 43545-2019")</f>
        <v/>
      </c>
      <c r="X307">
        <f>HYPERLINK("https://klasma.github.io/Logging_1495/tillsyn/A 43545-2019 tillsyn.docx", "A 43545-2019")</f>
        <v/>
      </c>
      <c r="Y307">
        <f>HYPERLINK("https://klasma.github.io/Logging_1495/tillsynsmail/A 43545-2019 tillsynsmail.docx", "A 43545-2019")</f>
        <v/>
      </c>
    </row>
    <row r="308" ht="15" customHeight="1">
      <c r="A308" t="inlineStr">
        <is>
          <t>A 44500-2019</t>
        </is>
      </c>
      <c r="B308" s="1" t="n">
        <v>43711</v>
      </c>
      <c r="C308" s="1" t="n">
        <v>45212</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HYPERLINK("https://klasma.github.io/Logging_1446/artfynd/A 44500-2019 artfynd.xlsx", "A 44500-2019")</f>
        <v/>
      </c>
      <c r="T308">
        <f>HYPERLINK("https://klasma.github.io/Logging_1446/karta/A 44500-2019 karta.png", "A 44500-2019")</f>
        <v/>
      </c>
      <c r="V308">
        <f>HYPERLINK("https://klasma.github.io/Logging_1446/klagomål/A 44500-2019 klagomål.docx", "A 44500-2019")</f>
        <v/>
      </c>
      <c r="W308">
        <f>HYPERLINK("https://klasma.github.io/Logging_1446/klagomålsmail/A 44500-2019 klagomålsmail.docx", "A 44500-2019")</f>
        <v/>
      </c>
      <c r="X308">
        <f>HYPERLINK("https://klasma.github.io/Logging_1446/tillsyn/A 44500-2019 tillsyn.docx", "A 44500-2019")</f>
        <v/>
      </c>
      <c r="Y308">
        <f>HYPERLINK("https://klasma.github.io/Logging_1446/tillsynsmail/A 44500-2019 tillsynsmail.docx", "A 44500-2019")</f>
        <v/>
      </c>
    </row>
    <row r="309" ht="15" customHeight="1">
      <c r="A309" t="inlineStr">
        <is>
          <t>A 47520-2019</t>
        </is>
      </c>
      <c r="B309" s="1" t="n">
        <v>43724</v>
      </c>
      <c r="C309" s="1" t="n">
        <v>45212</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HYPERLINK("https://klasma.github.io/Logging_1497/artfynd/A 47520-2019 artfynd.xlsx", "A 47520-2019")</f>
        <v/>
      </c>
      <c r="T309">
        <f>HYPERLINK("https://klasma.github.io/Logging_1497/karta/A 47520-2019 karta.png", "A 47520-2019")</f>
        <v/>
      </c>
      <c r="V309">
        <f>HYPERLINK("https://klasma.github.io/Logging_1497/klagomål/A 47520-2019 klagomål.docx", "A 47520-2019")</f>
        <v/>
      </c>
      <c r="W309">
        <f>HYPERLINK("https://klasma.github.io/Logging_1497/klagomålsmail/A 47520-2019 klagomålsmail.docx", "A 47520-2019")</f>
        <v/>
      </c>
      <c r="X309">
        <f>HYPERLINK("https://klasma.github.io/Logging_1497/tillsyn/A 47520-2019 tillsyn.docx", "A 47520-2019")</f>
        <v/>
      </c>
      <c r="Y309">
        <f>HYPERLINK("https://klasma.github.io/Logging_1497/tillsynsmail/A 47520-2019 tillsynsmail.docx", "A 47520-2019")</f>
        <v/>
      </c>
    </row>
    <row r="310" ht="15" customHeight="1">
      <c r="A310" t="inlineStr">
        <is>
          <t>A 48181-2019</t>
        </is>
      </c>
      <c r="B310" s="1" t="n">
        <v>43726</v>
      </c>
      <c r="C310" s="1" t="n">
        <v>45212</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HYPERLINK("https://klasma.github.io/Logging_1471/artfynd/A 48181-2019 artfynd.xlsx", "A 48181-2019")</f>
        <v/>
      </c>
      <c r="T310">
        <f>HYPERLINK("https://klasma.github.io/Logging_1471/karta/A 48181-2019 karta.png", "A 48181-2019")</f>
        <v/>
      </c>
      <c r="V310">
        <f>HYPERLINK("https://klasma.github.io/Logging_1471/klagomål/A 48181-2019 klagomål.docx", "A 48181-2019")</f>
        <v/>
      </c>
      <c r="W310">
        <f>HYPERLINK("https://klasma.github.io/Logging_1471/klagomålsmail/A 48181-2019 klagomålsmail.docx", "A 48181-2019")</f>
        <v/>
      </c>
      <c r="X310">
        <f>HYPERLINK("https://klasma.github.io/Logging_1471/tillsyn/A 48181-2019 tillsyn.docx", "A 48181-2019")</f>
        <v/>
      </c>
      <c r="Y310">
        <f>HYPERLINK("https://klasma.github.io/Logging_1471/tillsynsmail/A 48181-2019 tillsynsmail.docx", "A 48181-2019")</f>
        <v/>
      </c>
    </row>
    <row r="311" ht="15" customHeight="1">
      <c r="A311" t="inlineStr">
        <is>
          <t>A 50047-2019</t>
        </is>
      </c>
      <c r="B311" s="1" t="n">
        <v>43731</v>
      </c>
      <c r="C311" s="1" t="n">
        <v>45212</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HYPERLINK("https://klasma.github.io/Logging_1461/artfynd/A 50047-2019 artfynd.xlsx", "A 50047-2019")</f>
        <v/>
      </c>
      <c r="T311">
        <f>HYPERLINK("https://klasma.github.io/Logging_1461/karta/A 50047-2019 karta.png", "A 50047-2019")</f>
        <v/>
      </c>
      <c r="V311">
        <f>HYPERLINK("https://klasma.github.io/Logging_1461/klagomål/A 50047-2019 klagomål.docx", "A 50047-2019")</f>
        <v/>
      </c>
      <c r="W311">
        <f>HYPERLINK("https://klasma.github.io/Logging_1461/klagomålsmail/A 50047-2019 klagomålsmail.docx", "A 50047-2019")</f>
        <v/>
      </c>
      <c r="X311">
        <f>HYPERLINK("https://klasma.github.io/Logging_1461/tillsyn/A 50047-2019 tillsyn.docx", "A 50047-2019")</f>
        <v/>
      </c>
      <c r="Y311">
        <f>HYPERLINK("https://klasma.github.io/Logging_1461/tillsynsmail/A 50047-2019 tillsynsmail.docx", "A 50047-2019")</f>
        <v/>
      </c>
    </row>
    <row r="312" ht="15" customHeight="1">
      <c r="A312" t="inlineStr">
        <is>
          <t>A 49530-2019</t>
        </is>
      </c>
      <c r="B312" s="1" t="n">
        <v>43732</v>
      </c>
      <c r="C312" s="1" t="n">
        <v>45212</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HYPERLINK("https://klasma.github.io/Logging_1492/artfynd/A 49530-2019 artfynd.xlsx", "A 49530-2019")</f>
        <v/>
      </c>
      <c r="T312">
        <f>HYPERLINK("https://klasma.github.io/Logging_1492/karta/A 49530-2019 karta.png", "A 49530-2019")</f>
        <v/>
      </c>
      <c r="V312">
        <f>HYPERLINK("https://klasma.github.io/Logging_1492/klagomål/A 49530-2019 klagomål.docx", "A 49530-2019")</f>
        <v/>
      </c>
      <c r="W312">
        <f>HYPERLINK("https://klasma.github.io/Logging_1492/klagomålsmail/A 49530-2019 klagomålsmail.docx", "A 49530-2019")</f>
        <v/>
      </c>
      <c r="X312">
        <f>HYPERLINK("https://klasma.github.io/Logging_1492/tillsyn/A 49530-2019 tillsyn.docx", "A 49530-2019")</f>
        <v/>
      </c>
      <c r="Y312">
        <f>HYPERLINK("https://klasma.github.io/Logging_1492/tillsynsmail/A 49530-2019 tillsynsmail.docx", "A 49530-2019")</f>
        <v/>
      </c>
    </row>
    <row r="313" ht="15" customHeight="1">
      <c r="A313" t="inlineStr">
        <is>
          <t>A 52875-2019</t>
        </is>
      </c>
      <c r="B313" s="1" t="n">
        <v>43746</v>
      </c>
      <c r="C313" s="1" t="n">
        <v>45212</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HYPERLINK("https://klasma.github.io/Logging_1401/artfynd/A 52875-2019 artfynd.xlsx", "A 52875-2019")</f>
        <v/>
      </c>
      <c r="T313">
        <f>HYPERLINK("https://klasma.github.io/Logging_1401/karta/A 52875-2019 karta.png", "A 52875-2019")</f>
        <v/>
      </c>
      <c r="V313">
        <f>HYPERLINK("https://klasma.github.io/Logging_1401/klagomål/A 52875-2019 klagomål.docx", "A 52875-2019")</f>
        <v/>
      </c>
      <c r="W313">
        <f>HYPERLINK("https://klasma.github.io/Logging_1401/klagomålsmail/A 52875-2019 klagomålsmail.docx", "A 52875-2019")</f>
        <v/>
      </c>
      <c r="X313">
        <f>HYPERLINK("https://klasma.github.io/Logging_1401/tillsyn/A 52875-2019 tillsyn.docx", "A 52875-2019")</f>
        <v/>
      </c>
      <c r="Y313">
        <f>HYPERLINK("https://klasma.github.io/Logging_1401/tillsynsmail/A 52875-2019 tillsynsmail.docx", "A 52875-2019")</f>
        <v/>
      </c>
    </row>
    <row r="314" ht="15" customHeight="1">
      <c r="A314" t="inlineStr">
        <is>
          <t>A 53693-2019</t>
        </is>
      </c>
      <c r="B314" s="1" t="n">
        <v>43749</v>
      </c>
      <c r="C314" s="1" t="n">
        <v>45212</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HYPERLINK("https://klasma.github.io/Logging_1440/artfynd/A 53693-2019 artfynd.xlsx", "A 53693-2019")</f>
        <v/>
      </c>
      <c r="T314">
        <f>HYPERLINK("https://klasma.github.io/Logging_1440/karta/A 53693-2019 karta.png", "A 53693-2019")</f>
        <v/>
      </c>
      <c r="V314">
        <f>HYPERLINK("https://klasma.github.io/Logging_1440/klagomål/A 53693-2019 klagomål.docx", "A 53693-2019")</f>
        <v/>
      </c>
      <c r="W314">
        <f>HYPERLINK("https://klasma.github.io/Logging_1440/klagomålsmail/A 53693-2019 klagomålsmail.docx", "A 53693-2019")</f>
        <v/>
      </c>
      <c r="X314">
        <f>HYPERLINK("https://klasma.github.io/Logging_1440/tillsyn/A 53693-2019 tillsyn.docx", "A 53693-2019")</f>
        <v/>
      </c>
      <c r="Y314">
        <f>HYPERLINK("https://klasma.github.io/Logging_1440/tillsynsmail/A 53693-2019 tillsynsmail.docx", "A 53693-2019")</f>
        <v/>
      </c>
    </row>
    <row r="315" ht="15" customHeight="1">
      <c r="A315" t="inlineStr">
        <is>
          <t>A 56938-2019</t>
        </is>
      </c>
      <c r="B315" s="1" t="n">
        <v>43766</v>
      </c>
      <c r="C315" s="1" t="n">
        <v>45212</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HYPERLINK("https://klasma.github.io/Logging_1460/artfynd/A 56938-2019 artfynd.xlsx", "A 56938-2019")</f>
        <v/>
      </c>
      <c r="T315">
        <f>HYPERLINK("https://klasma.github.io/Logging_1460/karta/A 56938-2019 karta.png", "A 56938-2019")</f>
        <v/>
      </c>
      <c r="V315">
        <f>HYPERLINK("https://klasma.github.io/Logging_1460/klagomål/A 56938-2019 klagomål.docx", "A 56938-2019")</f>
        <v/>
      </c>
      <c r="W315">
        <f>HYPERLINK("https://klasma.github.io/Logging_1460/klagomålsmail/A 56938-2019 klagomålsmail.docx", "A 56938-2019")</f>
        <v/>
      </c>
      <c r="X315">
        <f>HYPERLINK("https://klasma.github.io/Logging_1460/tillsyn/A 56938-2019 tillsyn.docx", "A 56938-2019")</f>
        <v/>
      </c>
      <c r="Y315">
        <f>HYPERLINK("https://klasma.github.io/Logging_1460/tillsynsmail/A 56938-2019 tillsynsmail.docx", "A 56938-2019")</f>
        <v/>
      </c>
    </row>
    <row r="316" ht="15" customHeight="1">
      <c r="A316" t="inlineStr">
        <is>
          <t>A 59936-2019</t>
        </is>
      </c>
      <c r="B316" s="1" t="n">
        <v>43775</v>
      </c>
      <c r="C316" s="1" t="n">
        <v>45212</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HYPERLINK("https://klasma.github.io/Logging_1435/artfynd/A 59936-2019 artfynd.xlsx", "A 59936-2019")</f>
        <v/>
      </c>
      <c r="T316">
        <f>HYPERLINK("https://klasma.github.io/Logging_1435/karta/A 59936-2019 karta.png", "A 59936-2019")</f>
        <v/>
      </c>
      <c r="V316">
        <f>HYPERLINK("https://klasma.github.io/Logging_1435/klagomål/A 59936-2019 klagomål.docx", "A 59936-2019")</f>
        <v/>
      </c>
      <c r="W316">
        <f>HYPERLINK("https://klasma.github.io/Logging_1435/klagomålsmail/A 59936-2019 klagomålsmail.docx", "A 59936-2019")</f>
        <v/>
      </c>
      <c r="X316">
        <f>HYPERLINK("https://klasma.github.io/Logging_1435/tillsyn/A 59936-2019 tillsyn.docx", "A 59936-2019")</f>
        <v/>
      </c>
      <c r="Y316">
        <f>HYPERLINK("https://klasma.github.io/Logging_1435/tillsynsmail/A 59936-2019 tillsynsmail.docx", "A 59936-2019")</f>
        <v/>
      </c>
    </row>
    <row r="317" ht="15" customHeight="1">
      <c r="A317" t="inlineStr">
        <is>
          <t>A 60099-2019</t>
        </is>
      </c>
      <c r="B317" s="1" t="n">
        <v>43777</v>
      </c>
      <c r="C317" s="1" t="n">
        <v>45212</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HYPERLINK("https://klasma.github.io/Logging_1496/artfynd/A 60099-2019 artfynd.xlsx", "A 60099-2019")</f>
        <v/>
      </c>
      <c r="T317">
        <f>HYPERLINK("https://klasma.github.io/Logging_1496/karta/A 60099-2019 karta.png", "A 60099-2019")</f>
        <v/>
      </c>
      <c r="V317">
        <f>HYPERLINK("https://klasma.github.io/Logging_1496/klagomål/A 60099-2019 klagomål.docx", "A 60099-2019")</f>
        <v/>
      </c>
      <c r="W317">
        <f>HYPERLINK("https://klasma.github.io/Logging_1496/klagomålsmail/A 60099-2019 klagomålsmail.docx", "A 60099-2019")</f>
        <v/>
      </c>
      <c r="X317">
        <f>HYPERLINK("https://klasma.github.io/Logging_1496/tillsyn/A 60099-2019 tillsyn.docx", "A 60099-2019")</f>
        <v/>
      </c>
      <c r="Y317">
        <f>HYPERLINK("https://klasma.github.io/Logging_1496/tillsynsmail/A 60099-2019 tillsynsmail.docx", "A 60099-2019")</f>
        <v/>
      </c>
    </row>
    <row r="318" ht="15" customHeight="1">
      <c r="A318" t="inlineStr">
        <is>
          <t>A 60204-2019</t>
        </is>
      </c>
      <c r="B318" s="1" t="n">
        <v>43780</v>
      </c>
      <c r="C318" s="1" t="n">
        <v>45212</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HYPERLINK("https://klasma.github.io/Logging_1486/artfynd/A 60204-2019 artfynd.xlsx", "A 60204-2019")</f>
        <v/>
      </c>
      <c r="T318">
        <f>HYPERLINK("https://klasma.github.io/Logging_1486/karta/A 60204-2019 karta.png", "A 60204-2019")</f>
        <v/>
      </c>
      <c r="V318">
        <f>HYPERLINK("https://klasma.github.io/Logging_1486/klagomål/A 60204-2019 klagomål.docx", "A 60204-2019")</f>
        <v/>
      </c>
      <c r="W318">
        <f>HYPERLINK("https://klasma.github.io/Logging_1486/klagomålsmail/A 60204-2019 klagomålsmail.docx", "A 60204-2019")</f>
        <v/>
      </c>
      <c r="X318">
        <f>HYPERLINK("https://klasma.github.io/Logging_1486/tillsyn/A 60204-2019 tillsyn.docx", "A 60204-2019")</f>
        <v/>
      </c>
      <c r="Y318">
        <f>HYPERLINK("https://klasma.github.io/Logging_1486/tillsynsmail/A 60204-2019 tillsynsmail.docx", "A 60204-2019")</f>
        <v/>
      </c>
    </row>
    <row r="319" ht="15" customHeight="1">
      <c r="A319" t="inlineStr">
        <is>
          <t>A 61788-2019</t>
        </is>
      </c>
      <c r="B319" s="1" t="n">
        <v>43785</v>
      </c>
      <c r="C319" s="1" t="n">
        <v>45212</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HYPERLINK("https://klasma.github.io/Logging_1492/artfynd/A 61788-2019 artfynd.xlsx", "A 61788-2019")</f>
        <v/>
      </c>
      <c r="T319">
        <f>HYPERLINK("https://klasma.github.io/Logging_1492/karta/A 61788-2019 karta.png", "A 61788-2019")</f>
        <v/>
      </c>
      <c r="V319">
        <f>HYPERLINK("https://klasma.github.io/Logging_1492/klagomål/A 61788-2019 klagomål.docx", "A 61788-2019")</f>
        <v/>
      </c>
      <c r="W319">
        <f>HYPERLINK("https://klasma.github.io/Logging_1492/klagomålsmail/A 61788-2019 klagomålsmail.docx", "A 61788-2019")</f>
        <v/>
      </c>
      <c r="X319">
        <f>HYPERLINK("https://klasma.github.io/Logging_1492/tillsyn/A 61788-2019 tillsyn.docx", "A 61788-2019")</f>
        <v/>
      </c>
      <c r="Y319">
        <f>HYPERLINK("https://klasma.github.io/Logging_1492/tillsynsmail/A 61788-2019 tillsynsmail.docx", "A 61788-2019")</f>
        <v/>
      </c>
    </row>
    <row r="320" ht="15" customHeight="1">
      <c r="A320" t="inlineStr">
        <is>
          <t>A 63112-2019</t>
        </is>
      </c>
      <c r="B320" s="1" t="n">
        <v>43791</v>
      </c>
      <c r="C320" s="1" t="n">
        <v>45212</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HYPERLINK("https://klasma.github.io/Logging_1463/artfynd/A 63112-2019 artfynd.xlsx", "A 63112-2019")</f>
        <v/>
      </c>
      <c r="T320">
        <f>HYPERLINK("https://klasma.github.io/Logging_1463/karta/A 63112-2019 karta.png", "A 63112-2019")</f>
        <v/>
      </c>
      <c r="V320">
        <f>HYPERLINK("https://klasma.github.io/Logging_1463/klagomål/A 63112-2019 klagomål.docx", "A 63112-2019")</f>
        <v/>
      </c>
      <c r="W320">
        <f>HYPERLINK("https://klasma.github.io/Logging_1463/klagomålsmail/A 63112-2019 klagomålsmail.docx", "A 63112-2019")</f>
        <v/>
      </c>
      <c r="X320">
        <f>HYPERLINK("https://klasma.github.io/Logging_1463/tillsyn/A 63112-2019 tillsyn.docx", "A 63112-2019")</f>
        <v/>
      </c>
      <c r="Y320">
        <f>HYPERLINK("https://klasma.github.io/Logging_1463/tillsynsmail/A 63112-2019 tillsynsmail.docx", "A 63112-2019")</f>
        <v/>
      </c>
    </row>
    <row r="321" ht="15" customHeight="1">
      <c r="A321" t="inlineStr">
        <is>
          <t>A 63435-2019</t>
        </is>
      </c>
      <c r="B321" s="1" t="n">
        <v>43794</v>
      </c>
      <c r="C321" s="1" t="n">
        <v>45212</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HYPERLINK("https://klasma.github.io/Logging_1480/artfynd/A 63435-2019 artfynd.xlsx", "A 63435-2019")</f>
        <v/>
      </c>
      <c r="T321">
        <f>HYPERLINK("https://klasma.github.io/Logging_1480/karta/A 63435-2019 karta.png", "A 63435-2019")</f>
        <v/>
      </c>
      <c r="V321">
        <f>HYPERLINK("https://klasma.github.io/Logging_1480/klagomål/A 63435-2019 klagomål.docx", "A 63435-2019")</f>
        <v/>
      </c>
      <c r="W321">
        <f>HYPERLINK("https://klasma.github.io/Logging_1480/klagomålsmail/A 63435-2019 klagomålsmail.docx", "A 63435-2019")</f>
        <v/>
      </c>
      <c r="X321">
        <f>HYPERLINK("https://klasma.github.io/Logging_1480/tillsyn/A 63435-2019 tillsyn.docx", "A 63435-2019")</f>
        <v/>
      </c>
      <c r="Y321">
        <f>HYPERLINK("https://klasma.github.io/Logging_1480/tillsynsmail/A 63435-2019 tillsynsmail.docx", "A 63435-2019")</f>
        <v/>
      </c>
    </row>
    <row r="322" ht="15" customHeight="1">
      <c r="A322" t="inlineStr">
        <is>
          <t>A 66572-2019</t>
        </is>
      </c>
      <c r="B322" s="1" t="n">
        <v>43803</v>
      </c>
      <c r="C322" s="1" t="n">
        <v>45212</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HYPERLINK("https://klasma.github.io/Logging_1447/artfynd/A 66572-2019 artfynd.xlsx", "A 66572-2019")</f>
        <v/>
      </c>
      <c r="T322">
        <f>HYPERLINK("https://klasma.github.io/Logging_1447/karta/A 66572-2019 karta.png", "A 66572-2019")</f>
        <v/>
      </c>
      <c r="V322">
        <f>HYPERLINK("https://klasma.github.io/Logging_1447/klagomål/A 66572-2019 klagomål.docx", "A 66572-2019")</f>
        <v/>
      </c>
      <c r="W322">
        <f>HYPERLINK("https://klasma.github.io/Logging_1447/klagomålsmail/A 66572-2019 klagomålsmail.docx", "A 66572-2019")</f>
        <v/>
      </c>
      <c r="X322">
        <f>HYPERLINK("https://klasma.github.io/Logging_1447/tillsyn/A 66572-2019 tillsyn.docx", "A 66572-2019")</f>
        <v/>
      </c>
      <c r="Y322">
        <f>HYPERLINK("https://klasma.github.io/Logging_1447/tillsynsmail/A 66572-2019 tillsynsmail.docx", "A 66572-2019")</f>
        <v/>
      </c>
    </row>
    <row r="323" ht="15" customHeight="1">
      <c r="A323" t="inlineStr">
        <is>
          <t>A 67037-2019</t>
        </is>
      </c>
      <c r="B323" s="1" t="n">
        <v>43811</v>
      </c>
      <c r="C323" s="1" t="n">
        <v>45212</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HYPERLINK("https://klasma.github.io/Logging_1490/artfynd/A 67037-2019 artfynd.xlsx", "A 67037-2019")</f>
        <v/>
      </c>
      <c r="T323">
        <f>HYPERLINK("https://klasma.github.io/Logging_1490/karta/A 67037-2019 karta.png", "A 67037-2019")</f>
        <v/>
      </c>
      <c r="U323">
        <f>HYPERLINK("https://klasma.github.io/Logging_1490/knärot/A 67037-2019 knärot.png", "A 67037-2019")</f>
        <v/>
      </c>
      <c r="V323">
        <f>HYPERLINK("https://klasma.github.io/Logging_1490/klagomål/A 67037-2019 klagomål.docx", "A 67037-2019")</f>
        <v/>
      </c>
      <c r="W323">
        <f>HYPERLINK("https://klasma.github.io/Logging_1490/klagomålsmail/A 67037-2019 klagomålsmail.docx", "A 67037-2019")</f>
        <v/>
      </c>
      <c r="X323">
        <f>HYPERLINK("https://klasma.github.io/Logging_1490/tillsyn/A 67037-2019 tillsyn.docx", "A 67037-2019")</f>
        <v/>
      </c>
      <c r="Y323">
        <f>HYPERLINK("https://klasma.github.io/Logging_1490/tillsynsmail/A 67037-2019 tillsynsmail.docx", "A 67037-2019")</f>
        <v/>
      </c>
    </row>
    <row r="324" ht="15" customHeight="1">
      <c r="A324" t="inlineStr">
        <is>
          <t>A 997-2020</t>
        </is>
      </c>
      <c r="B324" s="1" t="n">
        <v>43819</v>
      </c>
      <c r="C324" s="1" t="n">
        <v>45212</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HYPERLINK("https://klasma.github.io/Logging_1421/artfynd/A 997-2020 artfynd.xlsx", "A 997-2020")</f>
        <v/>
      </c>
      <c r="T324">
        <f>HYPERLINK("https://klasma.github.io/Logging_1421/karta/A 997-2020 karta.png", "A 997-2020")</f>
        <v/>
      </c>
      <c r="U324">
        <f>HYPERLINK("https://klasma.github.io/Logging_1421/knärot/A 997-2020 knärot.png", "A 997-2020")</f>
        <v/>
      </c>
      <c r="V324">
        <f>HYPERLINK("https://klasma.github.io/Logging_1421/klagomål/A 997-2020 klagomål.docx", "A 997-2020")</f>
        <v/>
      </c>
      <c r="W324">
        <f>HYPERLINK("https://klasma.github.io/Logging_1421/klagomålsmail/A 997-2020 klagomålsmail.docx", "A 997-2020")</f>
        <v/>
      </c>
      <c r="X324">
        <f>HYPERLINK("https://klasma.github.io/Logging_1421/tillsyn/A 997-2020 tillsyn.docx", "A 997-2020")</f>
        <v/>
      </c>
      <c r="Y324">
        <f>HYPERLINK("https://klasma.github.io/Logging_1421/tillsynsmail/A 997-2020 tillsynsmail.docx", "A 997-2020")</f>
        <v/>
      </c>
    </row>
    <row r="325" ht="15" customHeight="1">
      <c r="A325" t="inlineStr">
        <is>
          <t>A 68747-2019</t>
        </is>
      </c>
      <c r="B325" s="1" t="n">
        <v>43819</v>
      </c>
      <c r="C325" s="1" t="n">
        <v>45212</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HYPERLINK("https://klasma.github.io/Logging_1463/artfynd/A 68747-2019 artfynd.xlsx", "A 68747-2019")</f>
        <v/>
      </c>
      <c r="T325">
        <f>HYPERLINK("https://klasma.github.io/Logging_1463/karta/A 68747-2019 karta.png", "A 68747-2019")</f>
        <v/>
      </c>
      <c r="V325">
        <f>HYPERLINK("https://klasma.github.io/Logging_1463/klagomål/A 68747-2019 klagomål.docx", "A 68747-2019")</f>
        <v/>
      </c>
      <c r="W325">
        <f>HYPERLINK("https://klasma.github.io/Logging_1463/klagomålsmail/A 68747-2019 klagomålsmail.docx", "A 68747-2019")</f>
        <v/>
      </c>
      <c r="X325">
        <f>HYPERLINK("https://klasma.github.io/Logging_1463/tillsyn/A 68747-2019 tillsyn.docx", "A 68747-2019")</f>
        <v/>
      </c>
      <c r="Y325">
        <f>HYPERLINK("https://klasma.github.io/Logging_1463/tillsynsmail/A 68747-2019 tillsynsmail.docx", "A 68747-2019")</f>
        <v/>
      </c>
    </row>
    <row r="326" ht="15" customHeight="1">
      <c r="A326" t="inlineStr">
        <is>
          <t>A 910-2020</t>
        </is>
      </c>
      <c r="B326" s="1" t="n">
        <v>43839</v>
      </c>
      <c r="C326" s="1" t="n">
        <v>45212</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HYPERLINK("https://klasma.github.io/Logging_1438/artfynd/A 910-2020 artfynd.xlsx", "A 910-2020")</f>
        <v/>
      </c>
      <c r="T326">
        <f>HYPERLINK("https://klasma.github.io/Logging_1438/karta/A 910-2020 karta.png", "A 910-2020")</f>
        <v/>
      </c>
      <c r="V326">
        <f>HYPERLINK("https://klasma.github.io/Logging_1438/klagomål/A 910-2020 klagomål.docx", "A 910-2020")</f>
        <v/>
      </c>
      <c r="W326">
        <f>HYPERLINK("https://klasma.github.io/Logging_1438/klagomålsmail/A 910-2020 klagomålsmail.docx", "A 910-2020")</f>
        <v/>
      </c>
      <c r="X326">
        <f>HYPERLINK("https://klasma.github.io/Logging_1438/tillsyn/A 910-2020 tillsyn.docx", "A 910-2020")</f>
        <v/>
      </c>
      <c r="Y326">
        <f>HYPERLINK("https://klasma.github.io/Logging_1438/tillsynsmail/A 910-2020 tillsynsmail.docx", "A 910-2020")</f>
        <v/>
      </c>
    </row>
    <row r="327" ht="15" customHeight="1">
      <c r="A327" t="inlineStr">
        <is>
          <t>A 1275-2020</t>
        </is>
      </c>
      <c r="B327" s="1" t="n">
        <v>43841</v>
      </c>
      <c r="C327" s="1" t="n">
        <v>45212</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HYPERLINK("https://klasma.github.io/Logging_1492/artfynd/A 1275-2020 artfynd.xlsx", "A 1275-2020")</f>
        <v/>
      </c>
      <c r="T327">
        <f>HYPERLINK("https://klasma.github.io/Logging_1492/karta/A 1275-2020 karta.png", "A 1275-2020")</f>
        <v/>
      </c>
      <c r="V327">
        <f>HYPERLINK("https://klasma.github.io/Logging_1492/klagomål/A 1275-2020 klagomål.docx", "A 1275-2020")</f>
        <v/>
      </c>
      <c r="W327">
        <f>HYPERLINK("https://klasma.github.io/Logging_1492/klagomålsmail/A 1275-2020 klagomålsmail.docx", "A 1275-2020")</f>
        <v/>
      </c>
      <c r="X327">
        <f>HYPERLINK("https://klasma.github.io/Logging_1492/tillsyn/A 1275-2020 tillsyn.docx", "A 1275-2020")</f>
        <v/>
      </c>
      <c r="Y327">
        <f>HYPERLINK("https://klasma.github.io/Logging_1492/tillsynsmail/A 1275-2020 tillsynsmail.docx", "A 1275-2020")</f>
        <v/>
      </c>
    </row>
    <row r="328" ht="15" customHeight="1">
      <c r="A328" t="inlineStr">
        <is>
          <t>A 3596-2020</t>
        </is>
      </c>
      <c r="B328" s="1" t="n">
        <v>43853</v>
      </c>
      <c r="C328" s="1" t="n">
        <v>45212</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HYPERLINK("https://klasma.github.io/Logging_1495/artfynd/A 3596-2020 artfynd.xlsx", "A 3596-2020")</f>
        <v/>
      </c>
      <c r="T328">
        <f>HYPERLINK("https://klasma.github.io/Logging_1495/karta/A 3596-2020 karta.png", "A 3596-2020")</f>
        <v/>
      </c>
      <c r="V328">
        <f>HYPERLINK("https://klasma.github.io/Logging_1495/klagomål/A 3596-2020 klagomål.docx", "A 3596-2020")</f>
        <v/>
      </c>
      <c r="W328">
        <f>HYPERLINK("https://klasma.github.io/Logging_1495/klagomålsmail/A 3596-2020 klagomålsmail.docx", "A 3596-2020")</f>
        <v/>
      </c>
      <c r="X328">
        <f>HYPERLINK("https://klasma.github.io/Logging_1495/tillsyn/A 3596-2020 tillsyn.docx", "A 3596-2020")</f>
        <v/>
      </c>
      <c r="Y328">
        <f>HYPERLINK("https://klasma.github.io/Logging_1495/tillsynsmail/A 3596-2020 tillsynsmail.docx", "A 3596-2020")</f>
        <v/>
      </c>
    </row>
    <row r="329" ht="15" customHeight="1">
      <c r="A329" t="inlineStr">
        <is>
          <t>A 4522-2020</t>
        </is>
      </c>
      <c r="B329" s="1" t="n">
        <v>43858</v>
      </c>
      <c r="C329" s="1" t="n">
        <v>45212</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HYPERLINK("https://klasma.github.io/Logging_1421/artfynd/A 4522-2020 artfynd.xlsx", "A 4522-2020")</f>
        <v/>
      </c>
      <c r="T329">
        <f>HYPERLINK("https://klasma.github.io/Logging_1421/karta/A 4522-2020 karta.png", "A 4522-2020")</f>
        <v/>
      </c>
      <c r="V329">
        <f>HYPERLINK("https://klasma.github.io/Logging_1421/klagomål/A 4522-2020 klagomål.docx", "A 4522-2020")</f>
        <v/>
      </c>
      <c r="W329">
        <f>HYPERLINK("https://klasma.github.io/Logging_1421/klagomålsmail/A 4522-2020 klagomålsmail.docx", "A 4522-2020")</f>
        <v/>
      </c>
      <c r="X329">
        <f>HYPERLINK("https://klasma.github.io/Logging_1421/tillsyn/A 4522-2020 tillsyn.docx", "A 4522-2020")</f>
        <v/>
      </c>
      <c r="Y329">
        <f>HYPERLINK("https://klasma.github.io/Logging_1421/tillsynsmail/A 4522-2020 tillsynsmail.docx", "A 4522-2020")</f>
        <v/>
      </c>
    </row>
    <row r="330" ht="15" customHeight="1">
      <c r="A330" t="inlineStr">
        <is>
          <t>A 4535-2020</t>
        </is>
      </c>
      <c r="B330" s="1" t="n">
        <v>43858</v>
      </c>
      <c r="C330" s="1" t="n">
        <v>45212</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HYPERLINK("https://klasma.github.io/Logging_1421/artfynd/A 4535-2020 artfynd.xlsx", "A 4535-2020")</f>
        <v/>
      </c>
      <c r="T330">
        <f>HYPERLINK("https://klasma.github.io/Logging_1421/karta/A 4535-2020 karta.png", "A 4535-2020")</f>
        <v/>
      </c>
      <c r="U330">
        <f>HYPERLINK("https://klasma.github.io/Logging_1421/knärot/A 4535-2020 knärot.png", "A 4535-2020")</f>
        <v/>
      </c>
      <c r="V330">
        <f>HYPERLINK("https://klasma.github.io/Logging_1421/klagomål/A 4535-2020 klagomål.docx", "A 4535-2020")</f>
        <v/>
      </c>
      <c r="W330">
        <f>HYPERLINK("https://klasma.github.io/Logging_1421/klagomålsmail/A 4535-2020 klagomålsmail.docx", "A 4535-2020")</f>
        <v/>
      </c>
      <c r="X330">
        <f>HYPERLINK("https://klasma.github.io/Logging_1421/tillsyn/A 4535-2020 tillsyn.docx", "A 4535-2020")</f>
        <v/>
      </c>
      <c r="Y330">
        <f>HYPERLINK("https://klasma.github.io/Logging_1421/tillsynsmail/A 4535-2020 tillsynsmail.docx", "A 4535-2020")</f>
        <v/>
      </c>
    </row>
    <row r="331" ht="15" customHeight="1">
      <c r="A331" t="inlineStr">
        <is>
          <t>A 5136-2020</t>
        </is>
      </c>
      <c r="B331" s="1" t="n">
        <v>43860</v>
      </c>
      <c r="C331" s="1" t="n">
        <v>45212</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HYPERLINK("https://klasma.github.io/Logging_1491/artfynd/A 5136-2020 artfynd.xlsx", "A 5136-2020")</f>
        <v/>
      </c>
      <c r="T331">
        <f>HYPERLINK("https://klasma.github.io/Logging_1491/karta/A 5136-2020 karta.png", "A 5136-2020")</f>
        <v/>
      </c>
      <c r="V331">
        <f>HYPERLINK("https://klasma.github.io/Logging_1491/klagomål/A 5136-2020 klagomål.docx", "A 5136-2020")</f>
        <v/>
      </c>
      <c r="W331">
        <f>HYPERLINK("https://klasma.github.io/Logging_1491/klagomålsmail/A 5136-2020 klagomålsmail.docx", "A 5136-2020")</f>
        <v/>
      </c>
      <c r="X331">
        <f>HYPERLINK("https://klasma.github.io/Logging_1491/tillsyn/A 5136-2020 tillsyn.docx", "A 5136-2020")</f>
        <v/>
      </c>
      <c r="Y331">
        <f>HYPERLINK("https://klasma.github.io/Logging_1491/tillsynsmail/A 5136-2020 tillsynsmail.docx", "A 5136-2020")</f>
        <v/>
      </c>
    </row>
    <row r="332" ht="15" customHeight="1">
      <c r="A332" t="inlineStr">
        <is>
          <t>A 5148-2020</t>
        </is>
      </c>
      <c r="B332" s="1" t="n">
        <v>43860</v>
      </c>
      <c r="C332" s="1" t="n">
        <v>45212</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HYPERLINK("https://klasma.github.io/Logging_1491/artfynd/A 5148-2020 artfynd.xlsx", "A 5148-2020")</f>
        <v/>
      </c>
      <c r="T332">
        <f>HYPERLINK("https://klasma.github.io/Logging_1491/karta/A 5148-2020 karta.png", "A 5148-2020")</f>
        <v/>
      </c>
      <c r="V332">
        <f>HYPERLINK("https://klasma.github.io/Logging_1491/klagomål/A 5148-2020 klagomål.docx", "A 5148-2020")</f>
        <v/>
      </c>
      <c r="W332">
        <f>HYPERLINK("https://klasma.github.io/Logging_1491/klagomålsmail/A 5148-2020 klagomålsmail.docx", "A 5148-2020")</f>
        <v/>
      </c>
      <c r="X332">
        <f>HYPERLINK("https://klasma.github.io/Logging_1491/tillsyn/A 5148-2020 tillsyn.docx", "A 5148-2020")</f>
        <v/>
      </c>
      <c r="Y332">
        <f>HYPERLINK("https://klasma.github.io/Logging_1491/tillsynsmail/A 5148-2020 tillsynsmail.docx", "A 5148-2020")</f>
        <v/>
      </c>
    </row>
    <row r="333" ht="15" customHeight="1">
      <c r="A333" t="inlineStr">
        <is>
          <t>A 5277-2020</t>
        </is>
      </c>
      <c r="B333" s="1" t="n">
        <v>43860</v>
      </c>
      <c r="C333" s="1" t="n">
        <v>45212</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HYPERLINK("https://klasma.github.io/Logging_1463/artfynd/A 5277-2020 artfynd.xlsx", "A 5277-2020")</f>
        <v/>
      </c>
      <c r="T333">
        <f>HYPERLINK("https://klasma.github.io/Logging_1463/karta/A 5277-2020 karta.png", "A 5277-2020")</f>
        <v/>
      </c>
      <c r="V333">
        <f>HYPERLINK("https://klasma.github.io/Logging_1463/klagomål/A 5277-2020 klagomål.docx", "A 5277-2020")</f>
        <v/>
      </c>
      <c r="W333">
        <f>HYPERLINK("https://klasma.github.io/Logging_1463/klagomålsmail/A 5277-2020 klagomålsmail.docx", "A 5277-2020")</f>
        <v/>
      </c>
      <c r="X333">
        <f>HYPERLINK("https://klasma.github.io/Logging_1463/tillsyn/A 5277-2020 tillsyn.docx", "A 5277-2020")</f>
        <v/>
      </c>
      <c r="Y333">
        <f>HYPERLINK("https://klasma.github.io/Logging_1463/tillsynsmail/A 5277-2020 tillsynsmail.docx", "A 5277-2020")</f>
        <v/>
      </c>
    </row>
    <row r="334" ht="15" customHeight="1">
      <c r="A334" t="inlineStr">
        <is>
          <t>A 6492-2020</t>
        </is>
      </c>
      <c r="B334" s="1" t="n">
        <v>43866</v>
      </c>
      <c r="C334" s="1" t="n">
        <v>45212</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HYPERLINK("https://klasma.github.io/Logging_1495/artfynd/A 6492-2020 artfynd.xlsx", "A 6492-2020")</f>
        <v/>
      </c>
      <c r="T334">
        <f>HYPERLINK("https://klasma.github.io/Logging_1495/karta/A 6492-2020 karta.png", "A 6492-2020")</f>
        <v/>
      </c>
      <c r="V334">
        <f>HYPERLINK("https://klasma.github.io/Logging_1495/klagomål/A 6492-2020 klagomål.docx", "A 6492-2020")</f>
        <v/>
      </c>
      <c r="W334">
        <f>HYPERLINK("https://klasma.github.io/Logging_1495/klagomålsmail/A 6492-2020 klagomålsmail.docx", "A 6492-2020")</f>
        <v/>
      </c>
      <c r="X334">
        <f>HYPERLINK("https://klasma.github.io/Logging_1495/tillsyn/A 6492-2020 tillsyn.docx", "A 6492-2020")</f>
        <v/>
      </c>
      <c r="Y334">
        <f>HYPERLINK("https://klasma.github.io/Logging_1495/tillsynsmail/A 6492-2020 tillsynsmail.docx", "A 6492-2020")</f>
        <v/>
      </c>
    </row>
    <row r="335" ht="15" customHeight="1">
      <c r="A335" t="inlineStr">
        <is>
          <t>A 11312-2020</t>
        </is>
      </c>
      <c r="B335" s="1" t="n">
        <v>43892</v>
      </c>
      <c r="C335" s="1" t="n">
        <v>45212</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HYPERLINK("https://klasma.github.io/Logging_1462/artfynd/A 11312-2020 artfynd.xlsx", "A 11312-2020")</f>
        <v/>
      </c>
      <c r="T335">
        <f>HYPERLINK("https://klasma.github.io/Logging_1462/karta/A 11312-2020 karta.png", "A 11312-2020")</f>
        <v/>
      </c>
      <c r="V335">
        <f>HYPERLINK("https://klasma.github.io/Logging_1462/klagomål/A 11312-2020 klagomål.docx", "A 11312-2020")</f>
        <v/>
      </c>
      <c r="W335">
        <f>HYPERLINK("https://klasma.github.io/Logging_1462/klagomålsmail/A 11312-2020 klagomålsmail.docx", "A 11312-2020")</f>
        <v/>
      </c>
      <c r="X335">
        <f>HYPERLINK("https://klasma.github.io/Logging_1462/tillsyn/A 11312-2020 tillsyn.docx", "A 11312-2020")</f>
        <v/>
      </c>
      <c r="Y335">
        <f>HYPERLINK("https://klasma.github.io/Logging_1462/tillsynsmail/A 11312-2020 tillsynsmail.docx", "A 11312-2020")</f>
        <v/>
      </c>
    </row>
    <row r="336" ht="15" customHeight="1">
      <c r="A336" t="inlineStr">
        <is>
          <t>A 12800-2020</t>
        </is>
      </c>
      <c r="B336" s="1" t="n">
        <v>43893</v>
      </c>
      <c r="C336" s="1" t="n">
        <v>45212</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HYPERLINK("https://klasma.github.io/Logging_1486/artfynd/A 12800-2020 artfynd.xlsx", "A 12800-2020")</f>
        <v/>
      </c>
      <c r="T336">
        <f>HYPERLINK("https://klasma.github.io/Logging_1486/karta/A 12800-2020 karta.png", "A 12800-2020")</f>
        <v/>
      </c>
      <c r="V336">
        <f>HYPERLINK("https://klasma.github.io/Logging_1486/klagomål/A 12800-2020 klagomål.docx", "A 12800-2020")</f>
        <v/>
      </c>
      <c r="W336">
        <f>HYPERLINK("https://klasma.github.io/Logging_1486/klagomålsmail/A 12800-2020 klagomålsmail.docx", "A 12800-2020")</f>
        <v/>
      </c>
      <c r="X336">
        <f>HYPERLINK("https://klasma.github.io/Logging_1486/tillsyn/A 12800-2020 tillsyn.docx", "A 12800-2020")</f>
        <v/>
      </c>
      <c r="Y336">
        <f>HYPERLINK("https://klasma.github.io/Logging_1486/tillsynsmail/A 12800-2020 tillsynsmail.docx", "A 12800-2020")</f>
        <v/>
      </c>
    </row>
    <row r="337" ht="15" customHeight="1">
      <c r="A337" t="inlineStr">
        <is>
          <t>A 12851-2020</t>
        </is>
      </c>
      <c r="B337" s="1" t="n">
        <v>43899</v>
      </c>
      <c r="C337" s="1" t="n">
        <v>45212</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HYPERLINK("https://klasma.github.io/Logging_1439/artfynd/A 12851-2020 artfynd.xlsx", "A 12851-2020")</f>
        <v/>
      </c>
      <c r="T337">
        <f>HYPERLINK("https://klasma.github.io/Logging_1439/karta/A 12851-2020 karta.png", "A 12851-2020")</f>
        <v/>
      </c>
      <c r="V337">
        <f>HYPERLINK("https://klasma.github.io/Logging_1439/klagomål/A 12851-2020 klagomål.docx", "A 12851-2020")</f>
        <v/>
      </c>
      <c r="W337">
        <f>HYPERLINK("https://klasma.github.io/Logging_1439/klagomålsmail/A 12851-2020 klagomålsmail.docx", "A 12851-2020")</f>
        <v/>
      </c>
      <c r="X337">
        <f>HYPERLINK("https://klasma.github.io/Logging_1439/tillsyn/A 12851-2020 tillsyn.docx", "A 12851-2020")</f>
        <v/>
      </c>
      <c r="Y337">
        <f>HYPERLINK("https://klasma.github.io/Logging_1439/tillsynsmail/A 12851-2020 tillsynsmail.docx", "A 12851-2020")</f>
        <v/>
      </c>
    </row>
    <row r="338" ht="15" customHeight="1">
      <c r="A338" t="inlineStr">
        <is>
          <t>A 13411-2020</t>
        </is>
      </c>
      <c r="B338" s="1" t="n">
        <v>43902</v>
      </c>
      <c r="C338" s="1" t="n">
        <v>45212</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HYPERLINK("https://klasma.github.io/Logging_1490/artfynd/A 13411-2020 artfynd.xlsx", "A 13411-2020")</f>
        <v/>
      </c>
      <c r="T338">
        <f>HYPERLINK("https://klasma.github.io/Logging_1490/karta/A 13411-2020 karta.png", "A 13411-2020")</f>
        <v/>
      </c>
      <c r="V338">
        <f>HYPERLINK("https://klasma.github.io/Logging_1490/klagomål/A 13411-2020 klagomål.docx", "A 13411-2020")</f>
        <v/>
      </c>
      <c r="W338">
        <f>HYPERLINK("https://klasma.github.io/Logging_1490/klagomålsmail/A 13411-2020 klagomålsmail.docx", "A 13411-2020")</f>
        <v/>
      </c>
      <c r="X338">
        <f>HYPERLINK("https://klasma.github.io/Logging_1490/tillsyn/A 13411-2020 tillsyn.docx", "A 13411-2020")</f>
        <v/>
      </c>
      <c r="Y338">
        <f>HYPERLINK("https://klasma.github.io/Logging_1490/tillsynsmail/A 13411-2020 tillsynsmail.docx", "A 13411-2020")</f>
        <v/>
      </c>
    </row>
    <row r="339" ht="15" customHeight="1">
      <c r="A339" t="inlineStr">
        <is>
          <t>A 14791-2020</t>
        </is>
      </c>
      <c r="B339" s="1" t="n">
        <v>43909</v>
      </c>
      <c r="C339" s="1" t="n">
        <v>45212</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HYPERLINK("https://klasma.github.io/Logging_1401/artfynd/A 14791-2020 artfynd.xlsx", "A 14791-2020")</f>
        <v/>
      </c>
      <c r="T339">
        <f>HYPERLINK("https://klasma.github.io/Logging_1401/karta/A 14791-2020 karta.png", "A 14791-2020")</f>
        <v/>
      </c>
      <c r="V339">
        <f>HYPERLINK("https://klasma.github.io/Logging_1401/klagomål/A 14791-2020 klagomål.docx", "A 14791-2020")</f>
        <v/>
      </c>
      <c r="W339">
        <f>HYPERLINK("https://klasma.github.io/Logging_1401/klagomålsmail/A 14791-2020 klagomålsmail.docx", "A 14791-2020")</f>
        <v/>
      </c>
      <c r="X339">
        <f>HYPERLINK("https://klasma.github.io/Logging_1401/tillsyn/A 14791-2020 tillsyn.docx", "A 14791-2020")</f>
        <v/>
      </c>
      <c r="Y339">
        <f>HYPERLINK("https://klasma.github.io/Logging_1401/tillsynsmail/A 14791-2020 tillsynsmail.docx", "A 14791-2020")</f>
        <v/>
      </c>
    </row>
    <row r="340" ht="15" customHeight="1">
      <c r="A340" t="inlineStr">
        <is>
          <t>A 18853-2020</t>
        </is>
      </c>
      <c r="B340" s="1" t="n">
        <v>43929</v>
      </c>
      <c r="C340" s="1" t="n">
        <v>45212</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HYPERLINK("https://klasma.github.io/Logging_1401/artfynd/A 18853-2020 artfynd.xlsx", "A 18853-2020")</f>
        <v/>
      </c>
      <c r="T340">
        <f>HYPERLINK("https://klasma.github.io/Logging_1401/karta/A 18853-2020 karta.png", "A 18853-2020")</f>
        <v/>
      </c>
      <c r="V340">
        <f>HYPERLINK("https://klasma.github.io/Logging_1401/klagomål/A 18853-2020 klagomål.docx", "A 18853-2020")</f>
        <v/>
      </c>
      <c r="W340">
        <f>HYPERLINK("https://klasma.github.io/Logging_1401/klagomålsmail/A 18853-2020 klagomålsmail.docx", "A 18853-2020")</f>
        <v/>
      </c>
      <c r="X340">
        <f>HYPERLINK("https://klasma.github.io/Logging_1401/tillsyn/A 18853-2020 tillsyn.docx", "A 18853-2020")</f>
        <v/>
      </c>
      <c r="Y340">
        <f>HYPERLINK("https://klasma.github.io/Logging_1401/tillsynsmail/A 18853-2020 tillsynsmail.docx", "A 18853-2020")</f>
        <v/>
      </c>
    </row>
    <row r="341" ht="15" customHeight="1">
      <c r="A341" t="inlineStr">
        <is>
          <t>A 22966-2020</t>
        </is>
      </c>
      <c r="B341" s="1" t="n">
        <v>43965</v>
      </c>
      <c r="C341" s="1" t="n">
        <v>45212</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HYPERLINK("https://klasma.github.io/Logging_1481/artfynd/A 22966-2020 artfynd.xlsx", "A 22966-2020")</f>
        <v/>
      </c>
      <c r="T341">
        <f>HYPERLINK("https://klasma.github.io/Logging_1481/karta/A 22966-2020 karta.png", "A 22966-2020")</f>
        <v/>
      </c>
      <c r="V341">
        <f>HYPERLINK("https://klasma.github.io/Logging_1481/klagomål/A 22966-2020 klagomål.docx", "A 22966-2020")</f>
        <v/>
      </c>
      <c r="W341">
        <f>HYPERLINK("https://klasma.github.io/Logging_1481/klagomålsmail/A 22966-2020 klagomålsmail.docx", "A 22966-2020")</f>
        <v/>
      </c>
      <c r="X341">
        <f>HYPERLINK("https://klasma.github.io/Logging_1481/tillsyn/A 22966-2020 tillsyn.docx", "A 22966-2020")</f>
        <v/>
      </c>
      <c r="Y341">
        <f>HYPERLINK("https://klasma.github.io/Logging_1481/tillsynsmail/A 22966-2020 tillsynsmail.docx", "A 22966-2020")</f>
        <v/>
      </c>
    </row>
    <row r="342" ht="15" customHeight="1">
      <c r="A342" t="inlineStr">
        <is>
          <t>A 23387-2020</t>
        </is>
      </c>
      <c r="B342" s="1" t="n">
        <v>43968</v>
      </c>
      <c r="C342" s="1" t="n">
        <v>45212</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HYPERLINK("https://klasma.github.io/Logging_1482/artfynd/A 23387-2020 artfynd.xlsx", "A 23387-2020")</f>
        <v/>
      </c>
      <c r="T342">
        <f>HYPERLINK("https://klasma.github.io/Logging_1482/karta/A 23387-2020 karta.png", "A 23387-2020")</f>
        <v/>
      </c>
      <c r="V342">
        <f>HYPERLINK("https://klasma.github.io/Logging_1482/klagomål/A 23387-2020 klagomål.docx", "A 23387-2020")</f>
        <v/>
      </c>
      <c r="W342">
        <f>HYPERLINK("https://klasma.github.io/Logging_1482/klagomålsmail/A 23387-2020 klagomålsmail.docx", "A 23387-2020")</f>
        <v/>
      </c>
      <c r="X342">
        <f>HYPERLINK("https://klasma.github.io/Logging_1482/tillsyn/A 23387-2020 tillsyn.docx", "A 23387-2020")</f>
        <v/>
      </c>
      <c r="Y342">
        <f>HYPERLINK("https://klasma.github.io/Logging_1482/tillsynsmail/A 23387-2020 tillsynsmail.docx", "A 23387-2020")</f>
        <v/>
      </c>
    </row>
    <row r="343" ht="15" customHeight="1">
      <c r="A343" t="inlineStr">
        <is>
          <t>A 24203-2020</t>
        </is>
      </c>
      <c r="B343" s="1" t="n">
        <v>43971</v>
      </c>
      <c r="C343" s="1" t="n">
        <v>45212</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HYPERLINK("https://klasma.github.io/Logging_1415/artfynd/A 24203-2020 artfynd.xlsx", "A 24203-2020")</f>
        <v/>
      </c>
      <c r="T343">
        <f>HYPERLINK("https://klasma.github.io/Logging_1415/karta/A 24203-2020 karta.png", "A 24203-2020")</f>
        <v/>
      </c>
      <c r="V343">
        <f>HYPERLINK("https://klasma.github.io/Logging_1415/klagomål/A 24203-2020 klagomål.docx", "A 24203-2020")</f>
        <v/>
      </c>
      <c r="W343">
        <f>HYPERLINK("https://klasma.github.io/Logging_1415/klagomålsmail/A 24203-2020 klagomålsmail.docx", "A 24203-2020")</f>
        <v/>
      </c>
      <c r="X343">
        <f>HYPERLINK("https://klasma.github.io/Logging_1415/tillsyn/A 24203-2020 tillsyn.docx", "A 24203-2020")</f>
        <v/>
      </c>
      <c r="Y343">
        <f>HYPERLINK("https://klasma.github.io/Logging_1415/tillsynsmail/A 24203-2020 tillsynsmail.docx", "A 24203-2020")</f>
        <v/>
      </c>
    </row>
    <row r="344" ht="15" customHeight="1">
      <c r="A344" t="inlineStr">
        <is>
          <t>A 24251-2020</t>
        </is>
      </c>
      <c r="B344" s="1" t="n">
        <v>43975</v>
      </c>
      <c r="C344" s="1" t="n">
        <v>45212</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HYPERLINK("https://klasma.github.io/Logging_1435/artfynd/A 24251-2020 artfynd.xlsx", "A 24251-2020")</f>
        <v/>
      </c>
      <c r="T344">
        <f>HYPERLINK("https://klasma.github.io/Logging_1435/karta/A 24251-2020 karta.png", "A 24251-2020")</f>
        <v/>
      </c>
      <c r="U344">
        <f>HYPERLINK("https://klasma.github.io/Logging_1435/knärot/A 24251-2020 knärot.png", "A 24251-2020")</f>
        <v/>
      </c>
      <c r="V344">
        <f>HYPERLINK("https://klasma.github.io/Logging_1435/klagomål/A 24251-2020 klagomål.docx", "A 24251-2020")</f>
        <v/>
      </c>
      <c r="W344">
        <f>HYPERLINK("https://klasma.github.io/Logging_1435/klagomålsmail/A 24251-2020 klagomålsmail.docx", "A 24251-2020")</f>
        <v/>
      </c>
      <c r="X344">
        <f>HYPERLINK("https://klasma.github.io/Logging_1435/tillsyn/A 24251-2020 tillsyn.docx", "A 24251-2020")</f>
        <v/>
      </c>
      <c r="Y344">
        <f>HYPERLINK("https://klasma.github.io/Logging_1435/tillsynsmail/A 24251-2020 tillsynsmail.docx", "A 24251-2020")</f>
        <v/>
      </c>
    </row>
    <row r="345" ht="15" customHeight="1">
      <c r="A345" t="inlineStr">
        <is>
          <t>A 25598-2020</t>
        </is>
      </c>
      <c r="B345" s="1" t="n">
        <v>43983</v>
      </c>
      <c r="C345" s="1" t="n">
        <v>45212</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HYPERLINK("https://klasma.github.io/Logging_1487/artfynd/A 25598-2020 artfynd.xlsx", "A 25598-2020")</f>
        <v/>
      </c>
      <c r="T345">
        <f>HYPERLINK("https://klasma.github.io/Logging_1487/karta/A 25598-2020 karta.png", "A 25598-2020")</f>
        <v/>
      </c>
      <c r="V345">
        <f>HYPERLINK("https://klasma.github.io/Logging_1487/klagomål/A 25598-2020 klagomål.docx", "A 25598-2020")</f>
        <v/>
      </c>
      <c r="W345">
        <f>HYPERLINK("https://klasma.github.io/Logging_1487/klagomålsmail/A 25598-2020 klagomålsmail.docx", "A 25598-2020")</f>
        <v/>
      </c>
      <c r="X345">
        <f>HYPERLINK("https://klasma.github.io/Logging_1487/tillsyn/A 25598-2020 tillsyn.docx", "A 25598-2020")</f>
        <v/>
      </c>
      <c r="Y345">
        <f>HYPERLINK("https://klasma.github.io/Logging_1487/tillsynsmail/A 25598-2020 tillsynsmail.docx", "A 25598-2020")</f>
        <v/>
      </c>
    </row>
    <row r="346" ht="15" customHeight="1">
      <c r="A346" t="inlineStr">
        <is>
          <t>A 26240-2020</t>
        </is>
      </c>
      <c r="B346" s="1" t="n">
        <v>43986</v>
      </c>
      <c r="C346" s="1" t="n">
        <v>45212</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HYPERLINK("https://klasma.github.io/Logging_1489/artfynd/A 26240-2020 artfynd.xlsx", "A 26240-2020")</f>
        <v/>
      </c>
      <c r="T346">
        <f>HYPERLINK("https://klasma.github.io/Logging_1489/karta/A 26240-2020 karta.png", "A 26240-2020")</f>
        <v/>
      </c>
      <c r="V346">
        <f>HYPERLINK("https://klasma.github.io/Logging_1489/klagomål/A 26240-2020 klagomål.docx", "A 26240-2020")</f>
        <v/>
      </c>
      <c r="W346">
        <f>HYPERLINK("https://klasma.github.io/Logging_1489/klagomålsmail/A 26240-2020 klagomålsmail.docx", "A 26240-2020")</f>
        <v/>
      </c>
      <c r="X346">
        <f>HYPERLINK("https://klasma.github.io/Logging_1489/tillsyn/A 26240-2020 tillsyn.docx", "A 26240-2020")</f>
        <v/>
      </c>
      <c r="Y346">
        <f>HYPERLINK("https://klasma.github.io/Logging_1489/tillsynsmail/A 26240-2020 tillsynsmail.docx", "A 26240-2020")</f>
        <v/>
      </c>
    </row>
    <row r="347" ht="15" customHeight="1">
      <c r="A347" t="inlineStr">
        <is>
          <t>A 28412-2020</t>
        </is>
      </c>
      <c r="B347" s="1" t="n">
        <v>43998</v>
      </c>
      <c r="C347" s="1" t="n">
        <v>45212</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HYPERLINK("https://klasma.github.io/Logging_1463/artfynd/A 28412-2020 artfynd.xlsx", "A 28412-2020")</f>
        <v/>
      </c>
      <c r="T347">
        <f>HYPERLINK("https://klasma.github.io/Logging_1463/karta/A 28412-2020 karta.png", "A 28412-2020")</f>
        <v/>
      </c>
      <c r="V347">
        <f>HYPERLINK("https://klasma.github.io/Logging_1463/klagomål/A 28412-2020 klagomål.docx", "A 28412-2020")</f>
        <v/>
      </c>
      <c r="W347">
        <f>HYPERLINK("https://klasma.github.io/Logging_1463/klagomålsmail/A 28412-2020 klagomålsmail.docx", "A 28412-2020")</f>
        <v/>
      </c>
      <c r="X347">
        <f>HYPERLINK("https://klasma.github.io/Logging_1463/tillsyn/A 28412-2020 tillsyn.docx", "A 28412-2020")</f>
        <v/>
      </c>
      <c r="Y347">
        <f>HYPERLINK("https://klasma.github.io/Logging_1463/tillsynsmail/A 28412-2020 tillsynsmail.docx", "A 28412-2020")</f>
        <v/>
      </c>
    </row>
    <row r="348" ht="15" customHeight="1">
      <c r="A348" t="inlineStr">
        <is>
          <t>A 28666-2020</t>
        </is>
      </c>
      <c r="B348" s="1" t="n">
        <v>43999</v>
      </c>
      <c r="C348" s="1" t="n">
        <v>45212</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HYPERLINK("https://klasma.github.io/Logging_1487/artfynd/A 28666-2020 artfynd.xlsx", "A 28666-2020")</f>
        <v/>
      </c>
      <c r="T348">
        <f>HYPERLINK("https://klasma.github.io/Logging_1487/karta/A 28666-2020 karta.png", "A 28666-2020")</f>
        <v/>
      </c>
      <c r="V348">
        <f>HYPERLINK("https://klasma.github.io/Logging_1487/klagomål/A 28666-2020 klagomål.docx", "A 28666-2020")</f>
        <v/>
      </c>
      <c r="W348">
        <f>HYPERLINK("https://klasma.github.io/Logging_1487/klagomålsmail/A 28666-2020 klagomålsmail.docx", "A 28666-2020")</f>
        <v/>
      </c>
      <c r="X348">
        <f>HYPERLINK("https://klasma.github.io/Logging_1487/tillsyn/A 28666-2020 tillsyn.docx", "A 28666-2020")</f>
        <v/>
      </c>
      <c r="Y348">
        <f>HYPERLINK("https://klasma.github.io/Logging_1487/tillsynsmail/A 28666-2020 tillsynsmail.docx", "A 28666-2020")</f>
        <v/>
      </c>
    </row>
    <row r="349" ht="15" customHeight="1">
      <c r="A349" t="inlineStr">
        <is>
          <t>A 30048-2020</t>
        </is>
      </c>
      <c r="B349" s="1" t="n">
        <v>44006</v>
      </c>
      <c r="C349" s="1" t="n">
        <v>45212</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HYPERLINK("https://klasma.github.io/Logging_1486/artfynd/A 30048-2020 artfynd.xlsx", "A 30048-2020")</f>
        <v/>
      </c>
      <c r="T349">
        <f>HYPERLINK("https://klasma.github.io/Logging_1486/karta/A 30048-2020 karta.png", "A 30048-2020")</f>
        <v/>
      </c>
      <c r="V349">
        <f>HYPERLINK("https://klasma.github.io/Logging_1486/klagomål/A 30048-2020 klagomål.docx", "A 30048-2020")</f>
        <v/>
      </c>
      <c r="W349">
        <f>HYPERLINK("https://klasma.github.io/Logging_1486/klagomålsmail/A 30048-2020 klagomålsmail.docx", "A 30048-2020")</f>
        <v/>
      </c>
      <c r="X349">
        <f>HYPERLINK("https://klasma.github.io/Logging_1486/tillsyn/A 30048-2020 tillsyn.docx", "A 30048-2020")</f>
        <v/>
      </c>
      <c r="Y349">
        <f>HYPERLINK("https://klasma.github.io/Logging_1486/tillsynsmail/A 30048-2020 tillsynsmail.docx", "A 30048-2020")</f>
        <v/>
      </c>
    </row>
    <row r="350" ht="15" customHeight="1">
      <c r="A350" t="inlineStr">
        <is>
          <t>A 33035-2020</t>
        </is>
      </c>
      <c r="B350" s="1" t="n">
        <v>44019</v>
      </c>
      <c r="C350" s="1" t="n">
        <v>45212</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HYPERLINK("https://klasma.github.io/Logging_1463/artfynd/A 33035-2020 artfynd.xlsx", "A 33035-2020")</f>
        <v/>
      </c>
      <c r="T350">
        <f>HYPERLINK("https://klasma.github.io/Logging_1463/karta/A 33035-2020 karta.png", "A 33035-2020")</f>
        <v/>
      </c>
      <c r="U350">
        <f>HYPERLINK("https://klasma.github.io/Logging_1463/knärot/A 33035-2020 knärot.png", "A 33035-2020")</f>
        <v/>
      </c>
      <c r="V350">
        <f>HYPERLINK("https://klasma.github.io/Logging_1463/klagomål/A 33035-2020 klagomål.docx", "A 33035-2020")</f>
        <v/>
      </c>
      <c r="W350">
        <f>HYPERLINK("https://klasma.github.io/Logging_1463/klagomålsmail/A 33035-2020 klagomålsmail.docx", "A 33035-2020")</f>
        <v/>
      </c>
      <c r="X350">
        <f>HYPERLINK("https://klasma.github.io/Logging_1463/tillsyn/A 33035-2020 tillsyn.docx", "A 33035-2020")</f>
        <v/>
      </c>
      <c r="Y350">
        <f>HYPERLINK("https://klasma.github.io/Logging_1463/tillsynsmail/A 33035-2020 tillsynsmail.docx", "A 33035-2020")</f>
        <v/>
      </c>
    </row>
    <row r="351" ht="15" customHeight="1">
      <c r="A351" t="inlineStr">
        <is>
          <t>A 33057-2020</t>
        </is>
      </c>
      <c r="B351" s="1" t="n">
        <v>44020</v>
      </c>
      <c r="C351" s="1" t="n">
        <v>45212</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HYPERLINK("https://klasma.github.io/Logging_1498/artfynd/A 33057-2020 artfynd.xlsx", "A 33057-2020")</f>
        <v/>
      </c>
      <c r="T351">
        <f>HYPERLINK("https://klasma.github.io/Logging_1498/karta/A 33057-2020 karta.png", "A 33057-2020")</f>
        <v/>
      </c>
      <c r="V351">
        <f>HYPERLINK("https://klasma.github.io/Logging_1498/klagomål/A 33057-2020 klagomål.docx", "A 33057-2020")</f>
        <v/>
      </c>
      <c r="W351">
        <f>HYPERLINK("https://klasma.github.io/Logging_1498/klagomålsmail/A 33057-2020 klagomålsmail.docx", "A 33057-2020")</f>
        <v/>
      </c>
      <c r="X351">
        <f>HYPERLINK("https://klasma.github.io/Logging_1498/tillsyn/A 33057-2020 tillsyn.docx", "A 33057-2020")</f>
        <v/>
      </c>
      <c r="Y351">
        <f>HYPERLINK("https://klasma.github.io/Logging_1498/tillsynsmail/A 33057-2020 tillsynsmail.docx", "A 33057-2020")</f>
        <v/>
      </c>
    </row>
    <row r="352" ht="15" customHeight="1">
      <c r="A352" t="inlineStr">
        <is>
          <t>A 37216-2020</t>
        </is>
      </c>
      <c r="B352" s="1" t="n">
        <v>44054</v>
      </c>
      <c r="C352" s="1" t="n">
        <v>45212</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HYPERLINK("https://klasma.github.io/Logging_1496/artfynd/A 37216-2020 artfynd.xlsx", "A 37216-2020")</f>
        <v/>
      </c>
      <c r="T352">
        <f>HYPERLINK("https://klasma.github.io/Logging_1496/karta/A 37216-2020 karta.png", "A 37216-2020")</f>
        <v/>
      </c>
      <c r="V352">
        <f>HYPERLINK("https://klasma.github.io/Logging_1496/klagomål/A 37216-2020 klagomål.docx", "A 37216-2020")</f>
        <v/>
      </c>
      <c r="W352">
        <f>HYPERLINK("https://klasma.github.io/Logging_1496/klagomålsmail/A 37216-2020 klagomålsmail.docx", "A 37216-2020")</f>
        <v/>
      </c>
      <c r="X352">
        <f>HYPERLINK("https://klasma.github.io/Logging_1496/tillsyn/A 37216-2020 tillsyn.docx", "A 37216-2020")</f>
        <v/>
      </c>
      <c r="Y352">
        <f>HYPERLINK("https://klasma.github.io/Logging_1496/tillsynsmail/A 37216-2020 tillsynsmail.docx", "A 37216-2020")</f>
        <v/>
      </c>
    </row>
    <row r="353" ht="15" customHeight="1">
      <c r="A353" t="inlineStr">
        <is>
          <t>A 37323-2020</t>
        </is>
      </c>
      <c r="B353" s="1" t="n">
        <v>44055</v>
      </c>
      <c r="C353" s="1" t="n">
        <v>45212</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HYPERLINK("https://klasma.github.io/Logging_1493/artfynd/A 37323-2020 artfynd.xlsx", "A 37323-2020")</f>
        <v/>
      </c>
      <c r="T353">
        <f>HYPERLINK("https://klasma.github.io/Logging_1493/karta/A 37323-2020 karta.png", "A 37323-2020")</f>
        <v/>
      </c>
      <c r="V353">
        <f>HYPERLINK("https://klasma.github.io/Logging_1493/klagomål/A 37323-2020 klagomål.docx", "A 37323-2020")</f>
        <v/>
      </c>
      <c r="W353">
        <f>HYPERLINK("https://klasma.github.io/Logging_1493/klagomålsmail/A 37323-2020 klagomålsmail.docx", "A 37323-2020")</f>
        <v/>
      </c>
      <c r="X353">
        <f>HYPERLINK("https://klasma.github.io/Logging_1493/tillsyn/A 37323-2020 tillsyn.docx", "A 37323-2020")</f>
        <v/>
      </c>
      <c r="Y353">
        <f>HYPERLINK("https://klasma.github.io/Logging_1493/tillsynsmail/A 37323-2020 tillsynsmail.docx", "A 37323-2020")</f>
        <v/>
      </c>
    </row>
    <row r="354" ht="15" customHeight="1">
      <c r="A354" t="inlineStr">
        <is>
          <t>A 38818-2020</t>
        </is>
      </c>
      <c r="B354" s="1" t="n">
        <v>44061</v>
      </c>
      <c r="C354" s="1" t="n">
        <v>45212</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HYPERLINK("https://klasma.github.io/Logging_1461/artfynd/A 38818-2020 artfynd.xlsx", "A 38818-2020")</f>
        <v/>
      </c>
      <c r="T354">
        <f>HYPERLINK("https://klasma.github.io/Logging_1461/karta/A 38818-2020 karta.png", "A 38818-2020")</f>
        <v/>
      </c>
      <c r="V354">
        <f>HYPERLINK("https://klasma.github.io/Logging_1461/klagomål/A 38818-2020 klagomål.docx", "A 38818-2020")</f>
        <v/>
      </c>
      <c r="W354">
        <f>HYPERLINK("https://klasma.github.io/Logging_1461/klagomålsmail/A 38818-2020 klagomålsmail.docx", "A 38818-2020")</f>
        <v/>
      </c>
      <c r="X354">
        <f>HYPERLINK("https://klasma.github.io/Logging_1461/tillsyn/A 38818-2020 tillsyn.docx", "A 38818-2020")</f>
        <v/>
      </c>
      <c r="Y354">
        <f>HYPERLINK("https://klasma.github.io/Logging_1461/tillsynsmail/A 38818-2020 tillsynsmail.docx", "A 38818-2020")</f>
        <v/>
      </c>
    </row>
    <row r="355" ht="15" customHeight="1">
      <c r="A355" t="inlineStr">
        <is>
          <t>A 40799-2020</t>
        </is>
      </c>
      <c r="B355" s="1" t="n">
        <v>44070</v>
      </c>
      <c r="C355" s="1" t="n">
        <v>45212</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HYPERLINK("https://klasma.github.io/Logging_1441/artfynd/A 40799-2020 artfynd.xlsx", "A 40799-2020")</f>
        <v/>
      </c>
      <c r="T355">
        <f>HYPERLINK("https://klasma.github.io/Logging_1441/karta/A 40799-2020 karta.png", "A 40799-2020")</f>
        <v/>
      </c>
      <c r="U355">
        <f>HYPERLINK("https://klasma.github.io/Logging_1441/knärot/A 40799-2020 knärot.png", "A 40799-2020")</f>
        <v/>
      </c>
      <c r="V355">
        <f>HYPERLINK("https://klasma.github.io/Logging_1441/klagomål/A 40799-2020 klagomål.docx", "A 40799-2020")</f>
        <v/>
      </c>
      <c r="W355">
        <f>HYPERLINK("https://klasma.github.io/Logging_1441/klagomålsmail/A 40799-2020 klagomålsmail.docx", "A 40799-2020")</f>
        <v/>
      </c>
      <c r="X355">
        <f>HYPERLINK("https://klasma.github.io/Logging_1441/tillsyn/A 40799-2020 tillsyn.docx", "A 40799-2020")</f>
        <v/>
      </c>
      <c r="Y355">
        <f>HYPERLINK("https://klasma.github.io/Logging_1441/tillsynsmail/A 40799-2020 tillsynsmail.docx", "A 40799-2020")</f>
        <v/>
      </c>
    </row>
    <row r="356" ht="15" customHeight="1">
      <c r="A356" t="inlineStr">
        <is>
          <t>A 41328-2020</t>
        </is>
      </c>
      <c r="B356" s="1" t="n">
        <v>44071</v>
      </c>
      <c r="C356" s="1" t="n">
        <v>45212</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HYPERLINK("https://klasma.github.io/Logging_1460/artfynd/A 41328-2020 artfynd.xlsx", "A 41328-2020")</f>
        <v/>
      </c>
      <c r="T356">
        <f>HYPERLINK("https://klasma.github.io/Logging_1460/karta/A 41328-2020 karta.png", "A 41328-2020")</f>
        <v/>
      </c>
      <c r="V356">
        <f>HYPERLINK("https://klasma.github.io/Logging_1460/klagomål/A 41328-2020 klagomål.docx", "A 41328-2020")</f>
        <v/>
      </c>
      <c r="W356">
        <f>HYPERLINK("https://klasma.github.io/Logging_1460/klagomålsmail/A 41328-2020 klagomålsmail.docx", "A 41328-2020")</f>
        <v/>
      </c>
      <c r="X356">
        <f>HYPERLINK("https://klasma.github.io/Logging_1460/tillsyn/A 41328-2020 tillsyn.docx", "A 41328-2020")</f>
        <v/>
      </c>
      <c r="Y356">
        <f>HYPERLINK("https://klasma.github.io/Logging_1460/tillsynsmail/A 41328-2020 tillsynsmail.docx", "A 41328-2020")</f>
        <v/>
      </c>
    </row>
    <row r="357" ht="15" customHeight="1">
      <c r="A357" t="inlineStr">
        <is>
          <t>A 41211-2020</t>
        </is>
      </c>
      <c r="B357" s="1" t="n">
        <v>44071</v>
      </c>
      <c r="C357" s="1" t="n">
        <v>45212</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HYPERLINK("https://klasma.github.io/Logging_1486/artfynd/A 41211-2020 artfynd.xlsx", "A 41211-2020")</f>
        <v/>
      </c>
      <c r="T357">
        <f>HYPERLINK("https://klasma.github.io/Logging_1486/karta/A 41211-2020 karta.png", "A 41211-2020")</f>
        <v/>
      </c>
      <c r="V357">
        <f>HYPERLINK("https://klasma.github.io/Logging_1486/klagomål/A 41211-2020 klagomål.docx", "A 41211-2020")</f>
        <v/>
      </c>
      <c r="W357">
        <f>HYPERLINK("https://klasma.github.io/Logging_1486/klagomålsmail/A 41211-2020 klagomålsmail.docx", "A 41211-2020")</f>
        <v/>
      </c>
      <c r="X357">
        <f>HYPERLINK("https://klasma.github.io/Logging_1486/tillsyn/A 41211-2020 tillsyn.docx", "A 41211-2020")</f>
        <v/>
      </c>
      <c r="Y357">
        <f>HYPERLINK("https://klasma.github.io/Logging_1486/tillsynsmail/A 41211-2020 tillsynsmail.docx", "A 41211-2020")</f>
        <v/>
      </c>
    </row>
    <row r="358" ht="15" customHeight="1">
      <c r="A358" t="inlineStr">
        <is>
          <t>A 41475-2020</t>
        </is>
      </c>
      <c r="B358" s="1" t="n">
        <v>44074</v>
      </c>
      <c r="C358" s="1" t="n">
        <v>45212</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HYPERLINK("https://klasma.github.io/Logging_1461/artfynd/A 41475-2020 artfynd.xlsx", "A 41475-2020")</f>
        <v/>
      </c>
      <c r="T358">
        <f>HYPERLINK("https://klasma.github.io/Logging_1461/karta/A 41475-2020 karta.png", "A 41475-2020")</f>
        <v/>
      </c>
      <c r="V358">
        <f>HYPERLINK("https://klasma.github.io/Logging_1461/klagomål/A 41475-2020 klagomål.docx", "A 41475-2020")</f>
        <v/>
      </c>
      <c r="W358">
        <f>HYPERLINK("https://klasma.github.io/Logging_1461/klagomålsmail/A 41475-2020 klagomålsmail.docx", "A 41475-2020")</f>
        <v/>
      </c>
      <c r="X358">
        <f>HYPERLINK("https://klasma.github.io/Logging_1461/tillsyn/A 41475-2020 tillsyn.docx", "A 41475-2020")</f>
        <v/>
      </c>
      <c r="Y358">
        <f>HYPERLINK("https://klasma.github.io/Logging_1461/tillsynsmail/A 41475-2020 tillsynsmail.docx", "A 41475-2020")</f>
        <v/>
      </c>
    </row>
    <row r="359" ht="15" customHeight="1">
      <c r="A359" t="inlineStr">
        <is>
          <t>A 46628-2020</t>
        </is>
      </c>
      <c r="B359" s="1" t="n">
        <v>44089</v>
      </c>
      <c r="C359" s="1" t="n">
        <v>45212</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HYPERLINK("https://klasma.github.io/Logging_1498/artfynd/A 46628-2020 artfynd.xlsx", "A 46628-2020")</f>
        <v/>
      </c>
      <c r="T359">
        <f>HYPERLINK("https://klasma.github.io/Logging_1498/karta/A 46628-2020 karta.png", "A 46628-2020")</f>
        <v/>
      </c>
      <c r="V359">
        <f>HYPERLINK("https://klasma.github.io/Logging_1498/klagomål/A 46628-2020 klagomål.docx", "A 46628-2020")</f>
        <v/>
      </c>
      <c r="W359">
        <f>HYPERLINK("https://klasma.github.io/Logging_1498/klagomålsmail/A 46628-2020 klagomålsmail.docx", "A 46628-2020")</f>
        <v/>
      </c>
      <c r="X359">
        <f>HYPERLINK("https://klasma.github.io/Logging_1498/tillsyn/A 46628-2020 tillsyn.docx", "A 46628-2020")</f>
        <v/>
      </c>
      <c r="Y359">
        <f>HYPERLINK("https://klasma.github.io/Logging_1498/tillsynsmail/A 46628-2020 tillsynsmail.docx", "A 46628-2020")</f>
        <v/>
      </c>
    </row>
    <row r="360" ht="15" customHeight="1">
      <c r="A360" t="inlineStr">
        <is>
          <t>A 50811-2020</t>
        </is>
      </c>
      <c r="B360" s="1" t="n">
        <v>44111</v>
      </c>
      <c r="C360" s="1" t="n">
        <v>45212</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HYPERLINK("https://klasma.github.io/Logging_1493/artfynd/A 50811-2020 artfynd.xlsx", "A 50811-2020")</f>
        <v/>
      </c>
      <c r="T360">
        <f>HYPERLINK("https://klasma.github.io/Logging_1493/karta/A 50811-2020 karta.png", "A 50811-2020")</f>
        <v/>
      </c>
      <c r="V360">
        <f>HYPERLINK("https://klasma.github.io/Logging_1493/klagomål/A 50811-2020 klagomål.docx", "A 50811-2020")</f>
        <v/>
      </c>
      <c r="W360">
        <f>HYPERLINK("https://klasma.github.io/Logging_1493/klagomålsmail/A 50811-2020 klagomålsmail.docx", "A 50811-2020")</f>
        <v/>
      </c>
      <c r="X360">
        <f>HYPERLINK("https://klasma.github.io/Logging_1493/tillsyn/A 50811-2020 tillsyn.docx", "A 50811-2020")</f>
        <v/>
      </c>
      <c r="Y360">
        <f>HYPERLINK("https://klasma.github.io/Logging_1493/tillsynsmail/A 50811-2020 tillsynsmail.docx", "A 50811-2020")</f>
        <v/>
      </c>
    </row>
    <row r="361" ht="15" customHeight="1">
      <c r="A361" t="inlineStr">
        <is>
          <t>A 51309-2020</t>
        </is>
      </c>
      <c r="B361" s="1" t="n">
        <v>44112</v>
      </c>
      <c r="C361" s="1" t="n">
        <v>45212</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HYPERLINK("https://klasma.github.io/Logging_1447/artfynd/A 51309-2020 artfynd.xlsx", "A 51309-2020")</f>
        <v/>
      </c>
      <c r="T361">
        <f>HYPERLINK("https://klasma.github.io/Logging_1447/karta/A 51309-2020 karta.png", "A 51309-2020")</f>
        <v/>
      </c>
      <c r="V361">
        <f>HYPERLINK("https://klasma.github.io/Logging_1447/klagomål/A 51309-2020 klagomål.docx", "A 51309-2020")</f>
        <v/>
      </c>
      <c r="W361">
        <f>HYPERLINK("https://klasma.github.io/Logging_1447/klagomålsmail/A 51309-2020 klagomålsmail.docx", "A 51309-2020")</f>
        <v/>
      </c>
      <c r="X361">
        <f>HYPERLINK("https://klasma.github.io/Logging_1447/tillsyn/A 51309-2020 tillsyn.docx", "A 51309-2020")</f>
        <v/>
      </c>
      <c r="Y361">
        <f>HYPERLINK("https://klasma.github.io/Logging_1447/tillsynsmail/A 51309-2020 tillsynsmail.docx", "A 51309-2020")</f>
        <v/>
      </c>
    </row>
    <row r="362" ht="15" customHeight="1">
      <c r="A362" t="inlineStr">
        <is>
          <t>A 51541-2020</t>
        </is>
      </c>
      <c r="B362" s="1" t="n">
        <v>44113</v>
      </c>
      <c r="C362" s="1" t="n">
        <v>45212</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HYPERLINK("https://klasma.github.io/Logging_1443/artfynd/A 51541-2020 artfynd.xlsx", "A 51541-2020")</f>
        <v/>
      </c>
      <c r="T362">
        <f>HYPERLINK("https://klasma.github.io/Logging_1443/karta/A 51541-2020 karta.png", "A 51541-2020")</f>
        <v/>
      </c>
      <c r="V362">
        <f>HYPERLINK("https://klasma.github.io/Logging_1443/klagomål/A 51541-2020 klagomål.docx", "A 51541-2020")</f>
        <v/>
      </c>
      <c r="W362">
        <f>HYPERLINK("https://klasma.github.io/Logging_1443/klagomålsmail/A 51541-2020 klagomålsmail.docx", "A 51541-2020")</f>
        <v/>
      </c>
      <c r="X362">
        <f>HYPERLINK("https://klasma.github.io/Logging_1443/tillsyn/A 51541-2020 tillsyn.docx", "A 51541-2020")</f>
        <v/>
      </c>
      <c r="Y362">
        <f>HYPERLINK("https://klasma.github.io/Logging_1443/tillsynsmail/A 51541-2020 tillsynsmail.docx", "A 51541-2020")</f>
        <v/>
      </c>
    </row>
    <row r="363" ht="15" customHeight="1">
      <c r="A363" t="inlineStr">
        <is>
          <t>A 53041-2020</t>
        </is>
      </c>
      <c r="B363" s="1" t="n">
        <v>44120</v>
      </c>
      <c r="C363" s="1" t="n">
        <v>45212</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HYPERLINK("https://klasma.github.io/Logging_1491/artfynd/A 53041-2020 artfynd.xlsx", "A 53041-2020")</f>
        <v/>
      </c>
      <c r="T363">
        <f>HYPERLINK("https://klasma.github.io/Logging_1491/karta/A 53041-2020 karta.png", "A 53041-2020")</f>
        <v/>
      </c>
      <c r="V363">
        <f>HYPERLINK("https://klasma.github.io/Logging_1491/klagomål/A 53041-2020 klagomål.docx", "A 53041-2020")</f>
        <v/>
      </c>
      <c r="W363">
        <f>HYPERLINK("https://klasma.github.io/Logging_1491/klagomålsmail/A 53041-2020 klagomålsmail.docx", "A 53041-2020")</f>
        <v/>
      </c>
      <c r="X363">
        <f>HYPERLINK("https://klasma.github.io/Logging_1491/tillsyn/A 53041-2020 tillsyn.docx", "A 53041-2020")</f>
        <v/>
      </c>
      <c r="Y363">
        <f>HYPERLINK("https://klasma.github.io/Logging_1491/tillsynsmail/A 53041-2020 tillsynsmail.docx", "A 53041-2020")</f>
        <v/>
      </c>
    </row>
    <row r="364" ht="15" customHeight="1">
      <c r="A364" t="inlineStr">
        <is>
          <t>A 54232-2020</t>
        </is>
      </c>
      <c r="B364" s="1" t="n">
        <v>44126</v>
      </c>
      <c r="C364" s="1" t="n">
        <v>45212</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HYPERLINK("https://klasma.github.io/Logging_1463/artfynd/A 54232-2020 artfynd.xlsx", "A 54232-2020")</f>
        <v/>
      </c>
      <c r="T364">
        <f>HYPERLINK("https://klasma.github.io/Logging_1463/karta/A 54232-2020 karta.png", "A 54232-2020")</f>
        <v/>
      </c>
      <c r="V364">
        <f>HYPERLINK("https://klasma.github.io/Logging_1463/klagomål/A 54232-2020 klagomål.docx", "A 54232-2020")</f>
        <v/>
      </c>
      <c r="W364">
        <f>HYPERLINK("https://klasma.github.io/Logging_1463/klagomålsmail/A 54232-2020 klagomålsmail.docx", "A 54232-2020")</f>
        <v/>
      </c>
      <c r="X364">
        <f>HYPERLINK("https://klasma.github.io/Logging_1463/tillsyn/A 54232-2020 tillsyn.docx", "A 54232-2020")</f>
        <v/>
      </c>
      <c r="Y364">
        <f>HYPERLINK("https://klasma.github.io/Logging_1463/tillsynsmail/A 54232-2020 tillsynsmail.docx", "A 54232-2020")</f>
        <v/>
      </c>
    </row>
    <row r="365" ht="15" customHeight="1">
      <c r="A365" t="inlineStr">
        <is>
          <t>A 55551-2020</t>
        </is>
      </c>
      <c r="B365" s="1" t="n">
        <v>44131</v>
      </c>
      <c r="C365" s="1" t="n">
        <v>45212</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HYPERLINK("https://klasma.github.io/Logging_1435/artfynd/A 55551-2020 artfynd.xlsx", "A 55551-2020")</f>
        <v/>
      </c>
      <c r="T365">
        <f>HYPERLINK("https://klasma.github.io/Logging_1435/karta/A 55551-2020 karta.png", "A 55551-2020")</f>
        <v/>
      </c>
      <c r="U365">
        <f>HYPERLINK("https://klasma.github.io/Logging_1435/knärot/A 55551-2020 knärot.png", "A 55551-2020")</f>
        <v/>
      </c>
      <c r="V365">
        <f>HYPERLINK("https://klasma.github.io/Logging_1435/klagomål/A 55551-2020 klagomål.docx", "A 55551-2020")</f>
        <v/>
      </c>
      <c r="W365">
        <f>HYPERLINK("https://klasma.github.io/Logging_1435/klagomålsmail/A 55551-2020 klagomålsmail.docx", "A 55551-2020")</f>
        <v/>
      </c>
      <c r="X365">
        <f>HYPERLINK("https://klasma.github.io/Logging_1435/tillsyn/A 55551-2020 tillsyn.docx", "A 55551-2020")</f>
        <v/>
      </c>
      <c r="Y365">
        <f>HYPERLINK("https://klasma.github.io/Logging_1435/tillsynsmail/A 55551-2020 tillsynsmail.docx", "A 55551-2020")</f>
        <v/>
      </c>
    </row>
    <row r="366" ht="15" customHeight="1">
      <c r="A366" t="inlineStr">
        <is>
          <t>A 56400-2020</t>
        </is>
      </c>
      <c r="B366" s="1" t="n">
        <v>44137</v>
      </c>
      <c r="C366" s="1" t="n">
        <v>45212</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HYPERLINK("https://klasma.github.io/Logging_1493/artfynd/A 56400-2020 artfynd.xlsx", "A 56400-2020")</f>
        <v/>
      </c>
      <c r="T366">
        <f>HYPERLINK("https://klasma.github.io/Logging_1493/karta/A 56400-2020 karta.png", "A 56400-2020")</f>
        <v/>
      </c>
      <c r="V366">
        <f>HYPERLINK("https://klasma.github.io/Logging_1493/klagomål/A 56400-2020 klagomål.docx", "A 56400-2020")</f>
        <v/>
      </c>
      <c r="W366">
        <f>HYPERLINK("https://klasma.github.io/Logging_1493/klagomålsmail/A 56400-2020 klagomålsmail.docx", "A 56400-2020")</f>
        <v/>
      </c>
      <c r="X366">
        <f>HYPERLINK("https://klasma.github.io/Logging_1493/tillsyn/A 56400-2020 tillsyn.docx", "A 56400-2020")</f>
        <v/>
      </c>
      <c r="Y366">
        <f>HYPERLINK("https://klasma.github.io/Logging_1493/tillsynsmail/A 56400-2020 tillsynsmail.docx", "A 56400-2020")</f>
        <v/>
      </c>
    </row>
    <row r="367" ht="15" customHeight="1">
      <c r="A367" t="inlineStr">
        <is>
          <t>A 57206-2020</t>
        </is>
      </c>
      <c r="B367" s="1" t="n">
        <v>44139</v>
      </c>
      <c r="C367" s="1" t="n">
        <v>45212</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HYPERLINK("https://klasma.github.io/Logging_1495/artfynd/A 57206-2020 artfynd.xlsx", "A 57206-2020")</f>
        <v/>
      </c>
      <c r="T367">
        <f>HYPERLINK("https://klasma.github.io/Logging_1495/karta/A 57206-2020 karta.png", "A 57206-2020")</f>
        <v/>
      </c>
      <c r="V367">
        <f>HYPERLINK("https://klasma.github.io/Logging_1495/klagomål/A 57206-2020 klagomål.docx", "A 57206-2020")</f>
        <v/>
      </c>
      <c r="W367">
        <f>HYPERLINK("https://klasma.github.io/Logging_1495/klagomålsmail/A 57206-2020 klagomålsmail.docx", "A 57206-2020")</f>
        <v/>
      </c>
      <c r="X367">
        <f>HYPERLINK("https://klasma.github.io/Logging_1495/tillsyn/A 57206-2020 tillsyn.docx", "A 57206-2020")</f>
        <v/>
      </c>
      <c r="Y367">
        <f>HYPERLINK("https://klasma.github.io/Logging_1495/tillsynsmail/A 57206-2020 tillsynsmail.docx", "A 57206-2020")</f>
        <v/>
      </c>
    </row>
    <row r="368" ht="15" customHeight="1">
      <c r="A368" t="inlineStr">
        <is>
          <t>A 59982-2020</t>
        </is>
      </c>
      <c r="B368" s="1" t="n">
        <v>44151</v>
      </c>
      <c r="C368" s="1" t="n">
        <v>45212</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HYPERLINK("https://klasma.github.io/Logging_1486/artfynd/A 59982-2020 artfynd.xlsx", "A 59982-2020")</f>
        <v/>
      </c>
      <c r="T368">
        <f>HYPERLINK("https://klasma.github.io/Logging_1486/karta/A 59982-2020 karta.png", "A 59982-2020")</f>
        <v/>
      </c>
      <c r="V368">
        <f>HYPERLINK("https://klasma.github.io/Logging_1486/klagomål/A 59982-2020 klagomål.docx", "A 59982-2020")</f>
        <v/>
      </c>
      <c r="W368">
        <f>HYPERLINK("https://klasma.github.io/Logging_1486/klagomålsmail/A 59982-2020 klagomålsmail.docx", "A 59982-2020")</f>
        <v/>
      </c>
      <c r="X368">
        <f>HYPERLINK("https://klasma.github.io/Logging_1486/tillsyn/A 59982-2020 tillsyn.docx", "A 59982-2020")</f>
        <v/>
      </c>
      <c r="Y368">
        <f>HYPERLINK("https://klasma.github.io/Logging_1486/tillsynsmail/A 59982-2020 tillsynsmail.docx", "A 59982-2020")</f>
        <v/>
      </c>
    </row>
    <row r="369" ht="15" customHeight="1">
      <c r="A369" t="inlineStr">
        <is>
          <t>A 60640-2020</t>
        </is>
      </c>
      <c r="B369" s="1" t="n">
        <v>44153</v>
      </c>
      <c r="C369" s="1" t="n">
        <v>45212</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HYPERLINK("https://klasma.github.io/Logging_1435/artfynd/A 60640-2020 artfynd.xlsx", "A 60640-2020")</f>
        <v/>
      </c>
      <c r="T369">
        <f>HYPERLINK("https://klasma.github.io/Logging_1435/karta/A 60640-2020 karta.png", "A 60640-2020")</f>
        <v/>
      </c>
      <c r="V369">
        <f>HYPERLINK("https://klasma.github.io/Logging_1435/klagomål/A 60640-2020 klagomål.docx", "A 60640-2020")</f>
        <v/>
      </c>
      <c r="W369">
        <f>HYPERLINK("https://klasma.github.io/Logging_1435/klagomålsmail/A 60640-2020 klagomålsmail.docx", "A 60640-2020")</f>
        <v/>
      </c>
      <c r="X369">
        <f>HYPERLINK("https://klasma.github.io/Logging_1435/tillsyn/A 60640-2020 tillsyn.docx", "A 60640-2020")</f>
        <v/>
      </c>
      <c r="Y369">
        <f>HYPERLINK("https://klasma.github.io/Logging_1435/tillsynsmail/A 60640-2020 tillsynsmail.docx", "A 60640-2020")</f>
        <v/>
      </c>
    </row>
    <row r="370" ht="15" customHeight="1">
      <c r="A370" t="inlineStr">
        <is>
          <t>A 64046-2020</t>
        </is>
      </c>
      <c r="B370" s="1" t="n">
        <v>44167</v>
      </c>
      <c r="C370" s="1" t="n">
        <v>45212</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HYPERLINK("https://klasma.github.io/Logging_1493/artfynd/A 64046-2020 artfynd.xlsx", "A 64046-2020")</f>
        <v/>
      </c>
      <c r="T370">
        <f>HYPERLINK("https://klasma.github.io/Logging_1493/karta/A 64046-2020 karta.png", "A 64046-2020")</f>
        <v/>
      </c>
      <c r="V370">
        <f>HYPERLINK("https://klasma.github.io/Logging_1493/klagomål/A 64046-2020 klagomål.docx", "A 64046-2020")</f>
        <v/>
      </c>
      <c r="W370">
        <f>HYPERLINK("https://klasma.github.io/Logging_1493/klagomålsmail/A 64046-2020 klagomålsmail.docx", "A 64046-2020")</f>
        <v/>
      </c>
      <c r="X370">
        <f>HYPERLINK("https://klasma.github.io/Logging_1493/tillsyn/A 64046-2020 tillsyn.docx", "A 64046-2020")</f>
        <v/>
      </c>
      <c r="Y370">
        <f>HYPERLINK("https://klasma.github.io/Logging_1493/tillsynsmail/A 64046-2020 tillsynsmail.docx", "A 64046-2020")</f>
        <v/>
      </c>
    </row>
    <row r="371" ht="15" customHeight="1">
      <c r="A371" t="inlineStr">
        <is>
          <t>A 64414-2020</t>
        </is>
      </c>
      <c r="B371" s="1" t="n">
        <v>44168</v>
      </c>
      <c r="C371" s="1" t="n">
        <v>45212</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HYPERLINK("https://klasma.github.io/Logging_1490/artfynd/A 64414-2020 artfynd.xlsx", "A 64414-2020")</f>
        <v/>
      </c>
      <c r="T371">
        <f>HYPERLINK("https://klasma.github.io/Logging_1490/karta/A 64414-2020 karta.png", "A 64414-2020")</f>
        <v/>
      </c>
      <c r="V371">
        <f>HYPERLINK("https://klasma.github.io/Logging_1490/klagomål/A 64414-2020 klagomål.docx", "A 64414-2020")</f>
        <v/>
      </c>
      <c r="W371">
        <f>HYPERLINK("https://klasma.github.io/Logging_1490/klagomålsmail/A 64414-2020 klagomålsmail.docx", "A 64414-2020")</f>
        <v/>
      </c>
      <c r="X371">
        <f>HYPERLINK("https://klasma.github.io/Logging_1490/tillsyn/A 64414-2020 tillsyn.docx", "A 64414-2020")</f>
        <v/>
      </c>
      <c r="Y371">
        <f>HYPERLINK("https://klasma.github.io/Logging_1490/tillsynsmail/A 64414-2020 tillsynsmail.docx", "A 64414-2020")</f>
        <v/>
      </c>
    </row>
    <row r="372" ht="15" customHeight="1">
      <c r="A372" t="inlineStr">
        <is>
          <t>A 64734-2020</t>
        </is>
      </c>
      <c r="B372" s="1" t="n">
        <v>44169</v>
      </c>
      <c r="C372" s="1" t="n">
        <v>45212</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HYPERLINK("https://klasma.github.io/Logging_1401/artfynd/A 64734-2020 artfynd.xlsx", "A 64734-2020")</f>
        <v/>
      </c>
      <c r="T372">
        <f>HYPERLINK("https://klasma.github.io/Logging_1401/karta/A 64734-2020 karta.png", "A 64734-2020")</f>
        <v/>
      </c>
      <c r="V372">
        <f>HYPERLINK("https://klasma.github.io/Logging_1401/klagomål/A 64734-2020 klagomål.docx", "A 64734-2020")</f>
        <v/>
      </c>
      <c r="W372">
        <f>HYPERLINK("https://klasma.github.io/Logging_1401/klagomålsmail/A 64734-2020 klagomålsmail.docx", "A 64734-2020")</f>
        <v/>
      </c>
      <c r="X372">
        <f>HYPERLINK("https://klasma.github.io/Logging_1401/tillsyn/A 64734-2020 tillsyn.docx", "A 64734-2020")</f>
        <v/>
      </c>
      <c r="Y372">
        <f>HYPERLINK("https://klasma.github.io/Logging_1401/tillsynsmail/A 64734-2020 tillsynsmail.docx", "A 64734-2020")</f>
        <v/>
      </c>
    </row>
    <row r="373" ht="15" customHeight="1">
      <c r="A373" t="inlineStr">
        <is>
          <t>A 65769-2020</t>
        </is>
      </c>
      <c r="B373" s="1" t="n">
        <v>44172</v>
      </c>
      <c r="C373" s="1" t="n">
        <v>45212</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HYPERLINK("https://klasma.github.io/Logging_1461/artfynd/A 65769-2020 artfynd.xlsx", "A 65769-2020")</f>
        <v/>
      </c>
      <c r="T373">
        <f>HYPERLINK("https://klasma.github.io/Logging_1461/karta/A 65769-2020 karta.png", "A 65769-2020")</f>
        <v/>
      </c>
      <c r="V373">
        <f>HYPERLINK("https://klasma.github.io/Logging_1461/klagomål/A 65769-2020 klagomål.docx", "A 65769-2020")</f>
        <v/>
      </c>
      <c r="W373">
        <f>HYPERLINK("https://klasma.github.io/Logging_1461/klagomålsmail/A 65769-2020 klagomålsmail.docx", "A 65769-2020")</f>
        <v/>
      </c>
      <c r="X373">
        <f>HYPERLINK("https://klasma.github.io/Logging_1461/tillsyn/A 65769-2020 tillsyn.docx", "A 65769-2020")</f>
        <v/>
      </c>
      <c r="Y373">
        <f>HYPERLINK("https://klasma.github.io/Logging_1461/tillsynsmail/A 65769-2020 tillsynsmail.docx", "A 65769-2020")</f>
        <v/>
      </c>
    </row>
    <row r="374" ht="15" customHeight="1">
      <c r="A374" t="inlineStr">
        <is>
          <t>A 65581-2020</t>
        </is>
      </c>
      <c r="B374" s="1" t="n">
        <v>44173</v>
      </c>
      <c r="C374" s="1" t="n">
        <v>45212</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HYPERLINK("https://klasma.github.io/Logging_1443/artfynd/A 65581-2020 artfynd.xlsx", "A 65581-2020")</f>
        <v/>
      </c>
      <c r="T374">
        <f>HYPERLINK("https://klasma.github.io/Logging_1443/karta/A 65581-2020 karta.png", "A 65581-2020")</f>
        <v/>
      </c>
      <c r="U374">
        <f>HYPERLINK("https://klasma.github.io/Logging_1443/knärot/A 65581-2020 knärot.png", "A 65581-2020")</f>
        <v/>
      </c>
      <c r="V374">
        <f>HYPERLINK("https://klasma.github.io/Logging_1443/klagomål/A 65581-2020 klagomål.docx", "A 65581-2020")</f>
        <v/>
      </c>
      <c r="W374">
        <f>HYPERLINK("https://klasma.github.io/Logging_1443/klagomålsmail/A 65581-2020 klagomålsmail.docx", "A 65581-2020")</f>
        <v/>
      </c>
      <c r="X374">
        <f>HYPERLINK("https://klasma.github.io/Logging_1443/tillsyn/A 65581-2020 tillsyn.docx", "A 65581-2020")</f>
        <v/>
      </c>
      <c r="Y374">
        <f>HYPERLINK("https://klasma.github.io/Logging_1443/tillsynsmail/A 65581-2020 tillsynsmail.docx", "A 65581-2020")</f>
        <v/>
      </c>
    </row>
    <row r="375" ht="15" customHeight="1">
      <c r="A375" t="inlineStr">
        <is>
          <t>A 66393-2020</t>
        </is>
      </c>
      <c r="B375" s="1" t="n">
        <v>44176</v>
      </c>
      <c r="C375" s="1" t="n">
        <v>45212</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HYPERLINK("https://klasma.github.io/Logging_1486/artfynd/A 66393-2020 artfynd.xlsx", "A 66393-2020")</f>
        <v/>
      </c>
      <c r="T375">
        <f>HYPERLINK("https://klasma.github.io/Logging_1486/karta/A 66393-2020 karta.png", "A 66393-2020")</f>
        <v/>
      </c>
      <c r="V375">
        <f>HYPERLINK("https://klasma.github.io/Logging_1486/klagomål/A 66393-2020 klagomål.docx", "A 66393-2020")</f>
        <v/>
      </c>
      <c r="W375">
        <f>HYPERLINK("https://klasma.github.io/Logging_1486/klagomålsmail/A 66393-2020 klagomålsmail.docx", "A 66393-2020")</f>
        <v/>
      </c>
      <c r="X375">
        <f>HYPERLINK("https://klasma.github.io/Logging_1486/tillsyn/A 66393-2020 tillsyn.docx", "A 66393-2020")</f>
        <v/>
      </c>
      <c r="Y375">
        <f>HYPERLINK("https://klasma.github.io/Logging_1486/tillsynsmail/A 66393-2020 tillsynsmail.docx", "A 66393-2020")</f>
        <v/>
      </c>
    </row>
    <row r="376" ht="15" customHeight="1">
      <c r="A376" t="inlineStr">
        <is>
          <t>A 67174-2020</t>
        </is>
      </c>
      <c r="B376" s="1" t="n">
        <v>44180</v>
      </c>
      <c r="C376" s="1" t="n">
        <v>45212</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HYPERLINK("https://klasma.github.io/Logging_1438/artfynd/A 67174-2020 artfynd.xlsx", "A 67174-2020")</f>
        <v/>
      </c>
      <c r="T376">
        <f>HYPERLINK("https://klasma.github.io/Logging_1438/karta/A 67174-2020 karta.png", "A 67174-2020")</f>
        <v/>
      </c>
      <c r="V376">
        <f>HYPERLINK("https://klasma.github.io/Logging_1438/klagomål/A 67174-2020 klagomål.docx", "A 67174-2020")</f>
        <v/>
      </c>
      <c r="W376">
        <f>HYPERLINK("https://klasma.github.io/Logging_1438/klagomålsmail/A 67174-2020 klagomålsmail.docx", "A 67174-2020")</f>
        <v/>
      </c>
      <c r="X376">
        <f>HYPERLINK("https://klasma.github.io/Logging_1438/tillsyn/A 67174-2020 tillsyn.docx", "A 67174-2020")</f>
        <v/>
      </c>
      <c r="Y376">
        <f>HYPERLINK("https://klasma.github.io/Logging_1438/tillsynsmail/A 67174-2020 tillsynsmail.docx", "A 67174-2020")</f>
        <v/>
      </c>
    </row>
    <row r="377" ht="15" customHeight="1">
      <c r="A377" t="inlineStr">
        <is>
          <t>A 901-2021</t>
        </is>
      </c>
      <c r="B377" s="1" t="n">
        <v>44206</v>
      </c>
      <c r="C377" s="1" t="n">
        <v>45212</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HYPERLINK("https://klasma.github.io/Logging_1492/artfynd/A 901-2021 artfynd.xlsx", "A 901-2021")</f>
        <v/>
      </c>
      <c r="T377">
        <f>HYPERLINK("https://klasma.github.io/Logging_1492/karta/A 901-2021 karta.png", "A 901-2021")</f>
        <v/>
      </c>
      <c r="V377">
        <f>HYPERLINK("https://klasma.github.io/Logging_1492/klagomål/A 901-2021 klagomål.docx", "A 901-2021")</f>
        <v/>
      </c>
      <c r="W377">
        <f>HYPERLINK("https://klasma.github.io/Logging_1492/klagomålsmail/A 901-2021 klagomålsmail.docx", "A 901-2021")</f>
        <v/>
      </c>
      <c r="X377">
        <f>HYPERLINK("https://klasma.github.io/Logging_1492/tillsyn/A 901-2021 tillsyn.docx", "A 901-2021")</f>
        <v/>
      </c>
      <c r="Y377">
        <f>HYPERLINK("https://klasma.github.io/Logging_1492/tillsynsmail/A 901-2021 tillsynsmail.docx", "A 901-2021")</f>
        <v/>
      </c>
    </row>
    <row r="378" ht="15" customHeight="1">
      <c r="A378" t="inlineStr">
        <is>
          <t>A 1255-2021</t>
        </is>
      </c>
      <c r="B378" s="1" t="n">
        <v>44207</v>
      </c>
      <c r="C378" s="1" t="n">
        <v>45212</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HYPERLINK("https://klasma.github.io/Logging_1435/artfynd/A 1255-2021 artfynd.xlsx", "A 1255-2021")</f>
        <v/>
      </c>
      <c r="T378">
        <f>HYPERLINK("https://klasma.github.io/Logging_1435/karta/A 1255-2021 karta.png", "A 1255-2021")</f>
        <v/>
      </c>
      <c r="V378">
        <f>HYPERLINK("https://klasma.github.io/Logging_1435/klagomål/A 1255-2021 klagomål.docx", "A 1255-2021")</f>
        <v/>
      </c>
      <c r="W378">
        <f>HYPERLINK("https://klasma.github.io/Logging_1435/klagomålsmail/A 1255-2021 klagomålsmail.docx", "A 1255-2021")</f>
        <v/>
      </c>
      <c r="X378">
        <f>HYPERLINK("https://klasma.github.io/Logging_1435/tillsyn/A 1255-2021 tillsyn.docx", "A 1255-2021")</f>
        <v/>
      </c>
      <c r="Y378">
        <f>HYPERLINK("https://klasma.github.io/Logging_1435/tillsynsmail/A 1255-2021 tillsynsmail.docx", "A 1255-2021")</f>
        <v/>
      </c>
    </row>
    <row r="379" ht="15" customHeight="1">
      <c r="A379" t="inlineStr">
        <is>
          <t>A 2381-2021</t>
        </is>
      </c>
      <c r="B379" s="1" t="n">
        <v>44211</v>
      </c>
      <c r="C379" s="1" t="n">
        <v>45212</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HYPERLINK("https://klasma.github.io/Logging_1462/artfynd/A 2381-2021 artfynd.xlsx", "A 2381-2021")</f>
        <v/>
      </c>
      <c r="T379">
        <f>HYPERLINK("https://klasma.github.io/Logging_1462/karta/A 2381-2021 karta.png", "A 2381-2021")</f>
        <v/>
      </c>
      <c r="V379">
        <f>HYPERLINK("https://klasma.github.io/Logging_1462/klagomål/A 2381-2021 klagomål.docx", "A 2381-2021")</f>
        <v/>
      </c>
      <c r="W379">
        <f>HYPERLINK("https://klasma.github.io/Logging_1462/klagomålsmail/A 2381-2021 klagomålsmail.docx", "A 2381-2021")</f>
        <v/>
      </c>
      <c r="X379">
        <f>HYPERLINK("https://klasma.github.io/Logging_1462/tillsyn/A 2381-2021 tillsyn.docx", "A 2381-2021")</f>
        <v/>
      </c>
      <c r="Y379">
        <f>HYPERLINK("https://klasma.github.io/Logging_1462/tillsynsmail/A 2381-2021 tillsynsmail.docx", "A 2381-2021")</f>
        <v/>
      </c>
    </row>
    <row r="380" ht="15" customHeight="1">
      <c r="A380" t="inlineStr">
        <is>
          <t>A 2741-2021</t>
        </is>
      </c>
      <c r="B380" s="1" t="n">
        <v>44215</v>
      </c>
      <c r="C380" s="1" t="n">
        <v>45212</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HYPERLINK("https://klasma.github.io/Logging_1497/artfynd/A 2741-2021 artfynd.xlsx", "A 2741-2021")</f>
        <v/>
      </c>
      <c r="T380">
        <f>HYPERLINK("https://klasma.github.io/Logging_1497/karta/A 2741-2021 karta.png", "A 2741-2021")</f>
        <v/>
      </c>
      <c r="V380">
        <f>HYPERLINK("https://klasma.github.io/Logging_1497/klagomål/A 2741-2021 klagomål.docx", "A 2741-2021")</f>
        <v/>
      </c>
      <c r="W380">
        <f>HYPERLINK("https://klasma.github.io/Logging_1497/klagomålsmail/A 2741-2021 klagomålsmail.docx", "A 2741-2021")</f>
        <v/>
      </c>
      <c r="X380">
        <f>HYPERLINK("https://klasma.github.io/Logging_1497/tillsyn/A 2741-2021 tillsyn.docx", "A 2741-2021")</f>
        <v/>
      </c>
      <c r="Y380">
        <f>HYPERLINK("https://klasma.github.io/Logging_1497/tillsynsmail/A 2741-2021 tillsynsmail.docx", "A 2741-2021")</f>
        <v/>
      </c>
    </row>
    <row r="381" ht="15" customHeight="1">
      <c r="A381" t="inlineStr">
        <is>
          <t>A 3899-2021</t>
        </is>
      </c>
      <c r="B381" s="1" t="n">
        <v>44217</v>
      </c>
      <c r="C381" s="1" t="n">
        <v>45212</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HYPERLINK("https://klasma.github.io/Logging_1430/artfynd/A 3899-2021 artfynd.xlsx", "A 3899-2021")</f>
        <v/>
      </c>
      <c r="T381">
        <f>HYPERLINK("https://klasma.github.io/Logging_1430/karta/A 3899-2021 karta.png", "A 3899-2021")</f>
        <v/>
      </c>
      <c r="V381">
        <f>HYPERLINK("https://klasma.github.io/Logging_1430/klagomål/A 3899-2021 klagomål.docx", "A 3899-2021")</f>
        <v/>
      </c>
      <c r="W381">
        <f>HYPERLINK("https://klasma.github.io/Logging_1430/klagomålsmail/A 3899-2021 klagomålsmail.docx", "A 3899-2021")</f>
        <v/>
      </c>
      <c r="X381">
        <f>HYPERLINK("https://klasma.github.io/Logging_1430/tillsyn/A 3899-2021 tillsyn.docx", "A 3899-2021")</f>
        <v/>
      </c>
      <c r="Y381">
        <f>HYPERLINK("https://klasma.github.io/Logging_1430/tillsynsmail/A 3899-2021 tillsynsmail.docx", "A 3899-2021")</f>
        <v/>
      </c>
    </row>
    <row r="382" ht="15" customHeight="1">
      <c r="A382" t="inlineStr">
        <is>
          <t>A 3798-2021</t>
        </is>
      </c>
      <c r="B382" s="1" t="n">
        <v>44221</v>
      </c>
      <c r="C382" s="1" t="n">
        <v>45212</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HYPERLINK("https://klasma.github.io/Logging_1487/artfynd/A 3798-2021 artfynd.xlsx", "A 3798-2021")</f>
        <v/>
      </c>
      <c r="T382">
        <f>HYPERLINK("https://klasma.github.io/Logging_1487/karta/A 3798-2021 karta.png", "A 3798-2021")</f>
        <v/>
      </c>
      <c r="V382">
        <f>HYPERLINK("https://klasma.github.io/Logging_1487/klagomål/A 3798-2021 klagomål.docx", "A 3798-2021")</f>
        <v/>
      </c>
      <c r="W382">
        <f>HYPERLINK("https://klasma.github.io/Logging_1487/klagomålsmail/A 3798-2021 klagomålsmail.docx", "A 3798-2021")</f>
        <v/>
      </c>
      <c r="X382">
        <f>HYPERLINK("https://klasma.github.io/Logging_1487/tillsyn/A 3798-2021 tillsyn.docx", "A 3798-2021")</f>
        <v/>
      </c>
      <c r="Y382">
        <f>HYPERLINK("https://klasma.github.io/Logging_1487/tillsynsmail/A 3798-2021 tillsynsmail.docx", "A 3798-2021")</f>
        <v/>
      </c>
    </row>
    <row r="383" ht="15" customHeight="1">
      <c r="A383" t="inlineStr">
        <is>
          <t>A 6484-2021</t>
        </is>
      </c>
      <c r="B383" s="1" t="n">
        <v>44235</v>
      </c>
      <c r="C383" s="1" t="n">
        <v>45212</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HYPERLINK("https://klasma.github.io/Logging_1496/artfynd/A 6484-2021 artfynd.xlsx", "A 6484-2021")</f>
        <v/>
      </c>
      <c r="T383">
        <f>HYPERLINK("https://klasma.github.io/Logging_1496/karta/A 6484-2021 karta.png", "A 6484-2021")</f>
        <v/>
      </c>
      <c r="V383">
        <f>HYPERLINK("https://klasma.github.io/Logging_1496/klagomål/A 6484-2021 klagomål.docx", "A 6484-2021")</f>
        <v/>
      </c>
      <c r="W383">
        <f>HYPERLINK("https://klasma.github.io/Logging_1496/klagomålsmail/A 6484-2021 klagomålsmail.docx", "A 6484-2021")</f>
        <v/>
      </c>
      <c r="X383">
        <f>HYPERLINK("https://klasma.github.io/Logging_1496/tillsyn/A 6484-2021 tillsyn.docx", "A 6484-2021")</f>
        <v/>
      </c>
      <c r="Y383">
        <f>HYPERLINK("https://klasma.github.io/Logging_1496/tillsynsmail/A 6484-2021 tillsynsmail.docx", "A 6484-2021")</f>
        <v/>
      </c>
    </row>
    <row r="384" ht="15" customHeight="1">
      <c r="A384" t="inlineStr">
        <is>
          <t>A 7814-2021</t>
        </is>
      </c>
      <c r="B384" s="1" t="n">
        <v>44242</v>
      </c>
      <c r="C384" s="1" t="n">
        <v>45212</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HYPERLINK("https://klasma.github.io/Logging_1401/artfynd/A 7814-2021 artfynd.xlsx", "A 7814-2021")</f>
        <v/>
      </c>
      <c r="T384">
        <f>HYPERLINK("https://klasma.github.io/Logging_1401/karta/A 7814-2021 karta.png", "A 7814-2021")</f>
        <v/>
      </c>
      <c r="V384">
        <f>HYPERLINK("https://klasma.github.io/Logging_1401/klagomål/A 7814-2021 klagomål.docx", "A 7814-2021")</f>
        <v/>
      </c>
      <c r="W384">
        <f>HYPERLINK("https://klasma.github.io/Logging_1401/klagomålsmail/A 7814-2021 klagomålsmail.docx", "A 7814-2021")</f>
        <v/>
      </c>
      <c r="X384">
        <f>HYPERLINK("https://klasma.github.io/Logging_1401/tillsyn/A 7814-2021 tillsyn.docx", "A 7814-2021")</f>
        <v/>
      </c>
      <c r="Y384">
        <f>HYPERLINK("https://klasma.github.io/Logging_1401/tillsynsmail/A 7814-2021 tillsynsmail.docx", "A 7814-2021")</f>
        <v/>
      </c>
    </row>
    <row r="385" ht="15" customHeight="1">
      <c r="A385" t="inlineStr">
        <is>
          <t>A 7778-2021</t>
        </is>
      </c>
      <c r="B385" s="1" t="n">
        <v>44242</v>
      </c>
      <c r="C385" s="1" t="n">
        <v>45212</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HYPERLINK("https://klasma.github.io/Logging_1486/artfynd/A 7778-2021 artfynd.xlsx", "A 7778-2021")</f>
        <v/>
      </c>
      <c r="T385">
        <f>HYPERLINK("https://klasma.github.io/Logging_1486/karta/A 7778-2021 karta.png", "A 7778-2021")</f>
        <v/>
      </c>
      <c r="V385">
        <f>HYPERLINK("https://klasma.github.io/Logging_1486/klagomål/A 7778-2021 klagomål.docx", "A 7778-2021")</f>
        <v/>
      </c>
      <c r="W385">
        <f>HYPERLINK("https://klasma.github.io/Logging_1486/klagomålsmail/A 7778-2021 klagomålsmail.docx", "A 7778-2021")</f>
        <v/>
      </c>
      <c r="X385">
        <f>HYPERLINK("https://klasma.github.io/Logging_1486/tillsyn/A 7778-2021 tillsyn.docx", "A 7778-2021")</f>
        <v/>
      </c>
      <c r="Y385">
        <f>HYPERLINK("https://klasma.github.io/Logging_1486/tillsynsmail/A 7778-2021 tillsynsmail.docx", "A 7778-2021")</f>
        <v/>
      </c>
    </row>
    <row r="386" ht="15" customHeight="1">
      <c r="A386" t="inlineStr">
        <is>
          <t>A 8209-2021</t>
        </is>
      </c>
      <c r="B386" s="1" t="n">
        <v>44244</v>
      </c>
      <c r="C386" s="1" t="n">
        <v>45212</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HYPERLINK("https://klasma.github.io/Logging_1489/artfynd/A 8209-2021 artfynd.xlsx", "A 8209-2021")</f>
        <v/>
      </c>
      <c r="T386">
        <f>HYPERLINK("https://klasma.github.io/Logging_1489/karta/A 8209-2021 karta.png", "A 8209-2021")</f>
        <v/>
      </c>
      <c r="V386">
        <f>HYPERLINK("https://klasma.github.io/Logging_1489/klagomål/A 8209-2021 klagomål.docx", "A 8209-2021")</f>
        <v/>
      </c>
      <c r="W386">
        <f>HYPERLINK("https://klasma.github.io/Logging_1489/klagomålsmail/A 8209-2021 klagomålsmail.docx", "A 8209-2021")</f>
        <v/>
      </c>
      <c r="X386">
        <f>HYPERLINK("https://klasma.github.io/Logging_1489/tillsyn/A 8209-2021 tillsyn.docx", "A 8209-2021")</f>
        <v/>
      </c>
      <c r="Y386">
        <f>HYPERLINK("https://klasma.github.io/Logging_1489/tillsynsmail/A 8209-2021 tillsynsmail.docx", "A 8209-2021")</f>
        <v/>
      </c>
    </row>
    <row r="387" ht="15" customHeight="1">
      <c r="A387" t="inlineStr">
        <is>
          <t>A 9043-2021</t>
        </is>
      </c>
      <c r="B387" s="1" t="n">
        <v>44249</v>
      </c>
      <c r="C387" s="1" t="n">
        <v>45212</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HYPERLINK("https://klasma.github.io/Logging_1460/artfynd/A 9043-2021 artfynd.xlsx", "A 9043-2021")</f>
        <v/>
      </c>
      <c r="T387">
        <f>HYPERLINK("https://klasma.github.io/Logging_1460/karta/A 9043-2021 karta.png", "A 9043-2021")</f>
        <v/>
      </c>
      <c r="V387">
        <f>HYPERLINK("https://klasma.github.io/Logging_1460/klagomål/A 9043-2021 klagomål.docx", "A 9043-2021")</f>
        <v/>
      </c>
      <c r="W387">
        <f>HYPERLINK("https://klasma.github.io/Logging_1460/klagomålsmail/A 9043-2021 klagomålsmail.docx", "A 9043-2021")</f>
        <v/>
      </c>
      <c r="X387">
        <f>HYPERLINK("https://klasma.github.io/Logging_1460/tillsyn/A 9043-2021 tillsyn.docx", "A 9043-2021")</f>
        <v/>
      </c>
      <c r="Y387">
        <f>HYPERLINK("https://klasma.github.io/Logging_1460/tillsynsmail/A 9043-2021 tillsynsmail.docx", "A 9043-2021")</f>
        <v/>
      </c>
    </row>
    <row r="388" ht="15" customHeight="1">
      <c r="A388" t="inlineStr">
        <is>
          <t>A 9246-2021</t>
        </is>
      </c>
      <c r="B388" s="1" t="n">
        <v>44250</v>
      </c>
      <c r="C388" s="1" t="n">
        <v>45212</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HYPERLINK("https://klasma.github.io/Logging_1465/artfynd/A 9246-2021 artfynd.xlsx", "A 9246-2021")</f>
        <v/>
      </c>
      <c r="T388">
        <f>HYPERLINK("https://klasma.github.io/Logging_1465/karta/A 9246-2021 karta.png", "A 9246-2021")</f>
        <v/>
      </c>
      <c r="V388">
        <f>HYPERLINK("https://klasma.github.io/Logging_1465/klagomål/A 9246-2021 klagomål.docx", "A 9246-2021")</f>
        <v/>
      </c>
      <c r="W388">
        <f>HYPERLINK("https://klasma.github.io/Logging_1465/klagomålsmail/A 9246-2021 klagomålsmail.docx", "A 9246-2021")</f>
        <v/>
      </c>
      <c r="X388">
        <f>HYPERLINK("https://klasma.github.io/Logging_1465/tillsyn/A 9246-2021 tillsyn.docx", "A 9246-2021")</f>
        <v/>
      </c>
      <c r="Y388">
        <f>HYPERLINK("https://klasma.github.io/Logging_1465/tillsynsmail/A 9246-2021 tillsynsmail.docx", "A 9246-2021")</f>
        <v/>
      </c>
    </row>
    <row r="389" ht="15" customHeight="1">
      <c r="A389" t="inlineStr">
        <is>
          <t>A 9947-2021</t>
        </is>
      </c>
      <c r="B389" s="1" t="n">
        <v>44252</v>
      </c>
      <c r="C389" s="1" t="n">
        <v>45212</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HYPERLINK("https://klasma.github.io/Logging_1486/artfynd/A 9947-2021 artfynd.xlsx", "A 9947-2021")</f>
        <v/>
      </c>
      <c r="T389">
        <f>HYPERLINK("https://klasma.github.io/Logging_1486/karta/A 9947-2021 karta.png", "A 9947-2021")</f>
        <v/>
      </c>
      <c r="U389">
        <f>HYPERLINK("https://klasma.github.io/Logging_1486/knärot/A 9947-2021 knärot.png", "A 9947-2021")</f>
        <v/>
      </c>
      <c r="V389">
        <f>HYPERLINK("https://klasma.github.io/Logging_1486/klagomål/A 9947-2021 klagomål.docx", "A 9947-2021")</f>
        <v/>
      </c>
      <c r="W389">
        <f>HYPERLINK("https://klasma.github.io/Logging_1486/klagomålsmail/A 9947-2021 klagomålsmail.docx", "A 9947-2021")</f>
        <v/>
      </c>
      <c r="X389">
        <f>HYPERLINK("https://klasma.github.io/Logging_1486/tillsyn/A 9947-2021 tillsyn.docx", "A 9947-2021")</f>
        <v/>
      </c>
      <c r="Y389">
        <f>HYPERLINK("https://klasma.github.io/Logging_1486/tillsynsmail/A 9947-2021 tillsynsmail.docx", "A 9947-2021")</f>
        <v/>
      </c>
    </row>
    <row r="390" ht="15" customHeight="1">
      <c r="A390" t="inlineStr">
        <is>
          <t>A 9865-2021</t>
        </is>
      </c>
      <c r="B390" s="1" t="n">
        <v>44253</v>
      </c>
      <c r="C390" s="1" t="n">
        <v>45212</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HYPERLINK("https://klasma.github.io/Logging_1484/artfynd/A 9865-2021 artfynd.xlsx", "A 9865-2021")</f>
        <v/>
      </c>
      <c r="T390">
        <f>HYPERLINK("https://klasma.github.io/Logging_1484/karta/A 9865-2021 karta.png", "A 9865-2021")</f>
        <v/>
      </c>
      <c r="V390">
        <f>HYPERLINK("https://klasma.github.io/Logging_1484/klagomål/A 9865-2021 klagomål.docx", "A 9865-2021")</f>
        <v/>
      </c>
      <c r="W390">
        <f>HYPERLINK("https://klasma.github.io/Logging_1484/klagomålsmail/A 9865-2021 klagomålsmail.docx", "A 9865-2021")</f>
        <v/>
      </c>
      <c r="X390">
        <f>HYPERLINK("https://klasma.github.io/Logging_1484/tillsyn/A 9865-2021 tillsyn.docx", "A 9865-2021")</f>
        <v/>
      </c>
      <c r="Y390">
        <f>HYPERLINK("https://klasma.github.io/Logging_1484/tillsynsmail/A 9865-2021 tillsynsmail.docx", "A 9865-2021")</f>
        <v/>
      </c>
    </row>
    <row r="391" ht="15" customHeight="1">
      <c r="A391" t="inlineStr">
        <is>
          <t>A 11615-2021</t>
        </is>
      </c>
      <c r="B391" s="1" t="n">
        <v>44264</v>
      </c>
      <c r="C391" s="1" t="n">
        <v>45212</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HYPERLINK("https://klasma.github.io/Logging_1487/artfynd/A 11615-2021 artfynd.xlsx", "A 11615-2021")</f>
        <v/>
      </c>
      <c r="T391">
        <f>HYPERLINK("https://klasma.github.io/Logging_1487/karta/A 11615-2021 karta.png", "A 11615-2021")</f>
        <v/>
      </c>
      <c r="V391">
        <f>HYPERLINK("https://klasma.github.io/Logging_1487/klagomål/A 11615-2021 klagomål.docx", "A 11615-2021")</f>
        <v/>
      </c>
      <c r="W391">
        <f>HYPERLINK("https://klasma.github.io/Logging_1487/klagomålsmail/A 11615-2021 klagomålsmail.docx", "A 11615-2021")</f>
        <v/>
      </c>
      <c r="X391">
        <f>HYPERLINK("https://klasma.github.io/Logging_1487/tillsyn/A 11615-2021 tillsyn.docx", "A 11615-2021")</f>
        <v/>
      </c>
      <c r="Y391">
        <f>HYPERLINK("https://klasma.github.io/Logging_1487/tillsynsmail/A 11615-2021 tillsynsmail.docx", "A 11615-2021")</f>
        <v/>
      </c>
    </row>
    <row r="392" ht="15" customHeight="1">
      <c r="A392" t="inlineStr">
        <is>
          <t>A 12624-2021</t>
        </is>
      </c>
      <c r="B392" s="1" t="n">
        <v>44270</v>
      </c>
      <c r="C392" s="1" t="n">
        <v>45212</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HYPERLINK("https://klasma.github.io/Logging_1492/artfynd/A 12624-2021 artfynd.xlsx", "A 12624-2021")</f>
        <v/>
      </c>
      <c r="T392">
        <f>HYPERLINK("https://klasma.github.io/Logging_1492/karta/A 12624-2021 karta.png", "A 12624-2021")</f>
        <v/>
      </c>
      <c r="V392">
        <f>HYPERLINK("https://klasma.github.io/Logging_1492/klagomål/A 12624-2021 klagomål.docx", "A 12624-2021")</f>
        <v/>
      </c>
      <c r="W392">
        <f>HYPERLINK("https://klasma.github.io/Logging_1492/klagomålsmail/A 12624-2021 klagomålsmail.docx", "A 12624-2021")</f>
        <v/>
      </c>
      <c r="X392">
        <f>HYPERLINK("https://klasma.github.io/Logging_1492/tillsyn/A 12624-2021 tillsyn.docx", "A 12624-2021")</f>
        <v/>
      </c>
      <c r="Y392">
        <f>HYPERLINK("https://klasma.github.io/Logging_1492/tillsynsmail/A 12624-2021 tillsynsmail.docx", "A 12624-2021")</f>
        <v/>
      </c>
    </row>
    <row r="393" ht="15" customHeight="1">
      <c r="A393" t="inlineStr">
        <is>
          <t>A 13597-2021</t>
        </is>
      </c>
      <c r="B393" s="1" t="n">
        <v>44274</v>
      </c>
      <c r="C393" s="1" t="n">
        <v>45212</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HYPERLINK("https://klasma.github.io/Logging_1488/artfynd/A 13597-2021 artfynd.xlsx", "A 13597-2021")</f>
        <v/>
      </c>
      <c r="T393">
        <f>HYPERLINK("https://klasma.github.io/Logging_1488/karta/A 13597-2021 karta.png", "A 13597-2021")</f>
        <v/>
      </c>
      <c r="V393">
        <f>HYPERLINK("https://klasma.github.io/Logging_1488/klagomål/A 13597-2021 klagomål.docx", "A 13597-2021")</f>
        <v/>
      </c>
      <c r="W393">
        <f>HYPERLINK("https://klasma.github.io/Logging_1488/klagomålsmail/A 13597-2021 klagomålsmail.docx", "A 13597-2021")</f>
        <v/>
      </c>
      <c r="X393">
        <f>HYPERLINK("https://klasma.github.io/Logging_1488/tillsyn/A 13597-2021 tillsyn.docx", "A 13597-2021")</f>
        <v/>
      </c>
      <c r="Y393">
        <f>HYPERLINK("https://klasma.github.io/Logging_1488/tillsynsmail/A 13597-2021 tillsynsmail.docx", "A 13597-2021")</f>
        <v/>
      </c>
    </row>
    <row r="394" ht="15" customHeight="1">
      <c r="A394" t="inlineStr">
        <is>
          <t>A 17546-2021</t>
        </is>
      </c>
      <c r="B394" s="1" t="n">
        <v>44299</v>
      </c>
      <c r="C394" s="1" t="n">
        <v>45212</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HYPERLINK("https://klasma.github.io/Logging_1495/artfynd/A 17546-2021 artfynd.xlsx", "A 17546-2021")</f>
        <v/>
      </c>
      <c r="T394">
        <f>HYPERLINK("https://klasma.github.io/Logging_1495/karta/A 17546-2021 karta.png", "A 17546-2021")</f>
        <v/>
      </c>
      <c r="V394">
        <f>HYPERLINK("https://klasma.github.io/Logging_1495/klagomål/A 17546-2021 klagomål.docx", "A 17546-2021")</f>
        <v/>
      </c>
      <c r="W394">
        <f>HYPERLINK("https://klasma.github.io/Logging_1495/klagomålsmail/A 17546-2021 klagomålsmail.docx", "A 17546-2021")</f>
        <v/>
      </c>
      <c r="X394">
        <f>HYPERLINK("https://klasma.github.io/Logging_1495/tillsyn/A 17546-2021 tillsyn.docx", "A 17546-2021")</f>
        <v/>
      </c>
      <c r="Y394">
        <f>HYPERLINK("https://klasma.github.io/Logging_1495/tillsynsmail/A 17546-2021 tillsynsmail.docx", "A 17546-2021")</f>
        <v/>
      </c>
    </row>
    <row r="395" ht="15" customHeight="1">
      <c r="A395" t="inlineStr">
        <is>
          <t>A 17770-2021</t>
        </is>
      </c>
      <c r="B395" s="1" t="n">
        <v>44300</v>
      </c>
      <c r="C395" s="1" t="n">
        <v>45212</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HYPERLINK("https://klasma.github.io/Logging_1495/artfynd/A 17770-2021 artfynd.xlsx", "A 17770-2021")</f>
        <v/>
      </c>
      <c r="T395">
        <f>HYPERLINK("https://klasma.github.io/Logging_1495/karta/A 17770-2021 karta.png", "A 17770-2021")</f>
        <v/>
      </c>
      <c r="V395">
        <f>HYPERLINK("https://klasma.github.io/Logging_1495/klagomål/A 17770-2021 klagomål.docx", "A 17770-2021")</f>
        <v/>
      </c>
      <c r="W395">
        <f>HYPERLINK("https://klasma.github.io/Logging_1495/klagomålsmail/A 17770-2021 klagomålsmail.docx", "A 17770-2021")</f>
        <v/>
      </c>
      <c r="X395">
        <f>HYPERLINK("https://klasma.github.io/Logging_1495/tillsyn/A 17770-2021 tillsyn.docx", "A 17770-2021")</f>
        <v/>
      </c>
      <c r="Y395">
        <f>HYPERLINK("https://klasma.github.io/Logging_1495/tillsynsmail/A 17770-2021 tillsynsmail.docx", "A 17770-2021")</f>
        <v/>
      </c>
    </row>
    <row r="396" ht="15" customHeight="1">
      <c r="A396" t="inlineStr">
        <is>
          <t>A 17804-2021</t>
        </is>
      </c>
      <c r="B396" s="1" t="n">
        <v>44300</v>
      </c>
      <c r="C396" s="1" t="n">
        <v>45212</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HYPERLINK("https://klasma.github.io/Logging_1486/artfynd/A 17804-2021 artfynd.xlsx", "A 17804-2021")</f>
        <v/>
      </c>
      <c r="T396">
        <f>HYPERLINK("https://klasma.github.io/Logging_1486/karta/A 17804-2021 karta.png", "A 17804-2021")</f>
        <v/>
      </c>
      <c r="V396">
        <f>HYPERLINK("https://klasma.github.io/Logging_1486/klagomål/A 17804-2021 klagomål.docx", "A 17804-2021")</f>
        <v/>
      </c>
      <c r="W396">
        <f>HYPERLINK("https://klasma.github.io/Logging_1486/klagomålsmail/A 17804-2021 klagomålsmail.docx", "A 17804-2021")</f>
        <v/>
      </c>
      <c r="X396">
        <f>HYPERLINK("https://klasma.github.io/Logging_1486/tillsyn/A 17804-2021 tillsyn.docx", "A 17804-2021")</f>
        <v/>
      </c>
      <c r="Y396">
        <f>HYPERLINK("https://klasma.github.io/Logging_1486/tillsynsmail/A 17804-2021 tillsynsmail.docx", "A 17804-2021")</f>
        <v/>
      </c>
    </row>
    <row r="397" ht="15" customHeight="1">
      <c r="A397" t="inlineStr">
        <is>
          <t>A 19162-2021</t>
        </is>
      </c>
      <c r="B397" s="1" t="n">
        <v>44308</v>
      </c>
      <c r="C397" s="1" t="n">
        <v>45212</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HYPERLINK("https://klasma.github.io/Logging_1452/artfynd/A 19162-2021 artfynd.xlsx", "A 19162-2021")</f>
        <v/>
      </c>
      <c r="T397">
        <f>HYPERLINK("https://klasma.github.io/Logging_1452/karta/A 19162-2021 karta.png", "A 19162-2021")</f>
        <v/>
      </c>
      <c r="V397">
        <f>HYPERLINK("https://klasma.github.io/Logging_1452/klagomål/A 19162-2021 klagomål.docx", "A 19162-2021")</f>
        <v/>
      </c>
      <c r="W397">
        <f>HYPERLINK("https://klasma.github.io/Logging_1452/klagomålsmail/A 19162-2021 klagomålsmail.docx", "A 19162-2021")</f>
        <v/>
      </c>
      <c r="X397">
        <f>HYPERLINK("https://klasma.github.io/Logging_1452/tillsyn/A 19162-2021 tillsyn.docx", "A 19162-2021")</f>
        <v/>
      </c>
      <c r="Y397">
        <f>HYPERLINK("https://klasma.github.io/Logging_1452/tillsynsmail/A 19162-2021 tillsynsmail.docx", "A 19162-2021")</f>
        <v/>
      </c>
    </row>
    <row r="398" ht="15" customHeight="1">
      <c r="A398" t="inlineStr">
        <is>
          <t>A 21050-2021</t>
        </is>
      </c>
      <c r="B398" s="1" t="n">
        <v>44319</v>
      </c>
      <c r="C398" s="1" t="n">
        <v>45212</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HYPERLINK("https://klasma.github.io/Logging_1495/artfynd/A 21050-2021 artfynd.xlsx", "A 21050-2021")</f>
        <v/>
      </c>
      <c r="T398">
        <f>HYPERLINK("https://klasma.github.io/Logging_1495/karta/A 21050-2021 karta.png", "A 21050-2021")</f>
        <v/>
      </c>
      <c r="U398">
        <f>HYPERLINK("https://klasma.github.io/Logging_1495/knärot/A 21050-2021 knärot.png", "A 21050-2021")</f>
        <v/>
      </c>
      <c r="V398">
        <f>HYPERLINK("https://klasma.github.io/Logging_1495/klagomål/A 21050-2021 klagomål.docx", "A 21050-2021")</f>
        <v/>
      </c>
      <c r="W398">
        <f>HYPERLINK("https://klasma.github.io/Logging_1495/klagomålsmail/A 21050-2021 klagomålsmail.docx", "A 21050-2021")</f>
        <v/>
      </c>
      <c r="X398">
        <f>HYPERLINK("https://klasma.github.io/Logging_1495/tillsyn/A 21050-2021 tillsyn.docx", "A 21050-2021")</f>
        <v/>
      </c>
      <c r="Y398">
        <f>HYPERLINK("https://klasma.github.io/Logging_1495/tillsynsmail/A 21050-2021 tillsynsmail.docx", "A 21050-2021")</f>
        <v/>
      </c>
    </row>
    <row r="399" ht="15" customHeight="1">
      <c r="A399" t="inlineStr">
        <is>
          <t>A 23519-2021</t>
        </is>
      </c>
      <c r="B399" s="1" t="n">
        <v>44333</v>
      </c>
      <c r="C399" s="1" t="n">
        <v>45212</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HYPERLINK("https://klasma.github.io/Logging_1463/artfynd/A 23519-2021 artfynd.xlsx", "A 23519-2021")</f>
        <v/>
      </c>
      <c r="T399">
        <f>HYPERLINK("https://klasma.github.io/Logging_1463/karta/A 23519-2021 karta.png", "A 23519-2021")</f>
        <v/>
      </c>
      <c r="V399">
        <f>HYPERLINK("https://klasma.github.io/Logging_1463/klagomål/A 23519-2021 klagomål.docx", "A 23519-2021")</f>
        <v/>
      </c>
      <c r="W399">
        <f>HYPERLINK("https://klasma.github.io/Logging_1463/klagomålsmail/A 23519-2021 klagomålsmail.docx", "A 23519-2021")</f>
        <v/>
      </c>
      <c r="X399">
        <f>HYPERLINK("https://klasma.github.io/Logging_1463/tillsyn/A 23519-2021 tillsyn.docx", "A 23519-2021")</f>
        <v/>
      </c>
      <c r="Y399">
        <f>HYPERLINK("https://klasma.github.io/Logging_1463/tillsynsmail/A 23519-2021 tillsynsmail.docx", "A 23519-2021")</f>
        <v/>
      </c>
    </row>
    <row r="400" ht="15" customHeight="1">
      <c r="A400" t="inlineStr">
        <is>
          <t>A 23982-2021</t>
        </is>
      </c>
      <c r="B400" s="1" t="n">
        <v>44335</v>
      </c>
      <c r="C400" s="1" t="n">
        <v>45212</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HYPERLINK("https://klasma.github.io/Logging_1463/artfynd/A 23982-2021 artfynd.xlsx", "A 23982-2021")</f>
        <v/>
      </c>
      <c r="T400">
        <f>HYPERLINK("https://klasma.github.io/Logging_1463/karta/A 23982-2021 karta.png", "A 23982-2021")</f>
        <v/>
      </c>
      <c r="V400">
        <f>HYPERLINK("https://klasma.github.io/Logging_1463/klagomål/A 23982-2021 klagomål.docx", "A 23982-2021")</f>
        <v/>
      </c>
      <c r="W400">
        <f>HYPERLINK("https://klasma.github.io/Logging_1463/klagomålsmail/A 23982-2021 klagomålsmail.docx", "A 23982-2021")</f>
        <v/>
      </c>
      <c r="X400">
        <f>HYPERLINK("https://klasma.github.io/Logging_1463/tillsyn/A 23982-2021 tillsyn.docx", "A 23982-2021")</f>
        <v/>
      </c>
      <c r="Y400">
        <f>HYPERLINK("https://klasma.github.io/Logging_1463/tillsynsmail/A 23982-2021 tillsynsmail.docx", "A 23982-2021")</f>
        <v/>
      </c>
    </row>
    <row r="401" ht="15" customHeight="1">
      <c r="A401" t="inlineStr">
        <is>
          <t>A 25884-2021</t>
        </is>
      </c>
      <c r="B401" s="1" t="n">
        <v>44344</v>
      </c>
      <c r="C401" s="1" t="n">
        <v>45212</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HYPERLINK("https://klasma.github.io/Logging_1495/artfynd/A 25884-2021 artfynd.xlsx", "A 25884-2021")</f>
        <v/>
      </c>
      <c r="T401">
        <f>HYPERLINK("https://klasma.github.io/Logging_1495/karta/A 25884-2021 karta.png", "A 25884-2021")</f>
        <v/>
      </c>
      <c r="V401">
        <f>HYPERLINK("https://klasma.github.io/Logging_1495/klagomål/A 25884-2021 klagomål.docx", "A 25884-2021")</f>
        <v/>
      </c>
      <c r="W401">
        <f>HYPERLINK("https://klasma.github.io/Logging_1495/klagomålsmail/A 25884-2021 klagomålsmail.docx", "A 25884-2021")</f>
        <v/>
      </c>
      <c r="X401">
        <f>HYPERLINK("https://klasma.github.io/Logging_1495/tillsyn/A 25884-2021 tillsyn.docx", "A 25884-2021")</f>
        <v/>
      </c>
      <c r="Y401">
        <f>HYPERLINK("https://klasma.github.io/Logging_1495/tillsynsmail/A 25884-2021 tillsynsmail.docx", "A 25884-2021")</f>
        <v/>
      </c>
    </row>
    <row r="402" ht="15" customHeight="1">
      <c r="A402" t="inlineStr">
        <is>
          <t>A 26710-2021</t>
        </is>
      </c>
      <c r="B402" s="1" t="n">
        <v>44349</v>
      </c>
      <c r="C402" s="1" t="n">
        <v>45212</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HYPERLINK("https://klasma.github.io/Logging_1499/artfynd/A 26710-2021 artfynd.xlsx", "A 26710-2021")</f>
        <v/>
      </c>
      <c r="T402">
        <f>HYPERLINK("https://klasma.github.io/Logging_1499/karta/A 26710-2021 karta.png", "A 26710-2021")</f>
        <v/>
      </c>
      <c r="V402">
        <f>HYPERLINK("https://klasma.github.io/Logging_1499/klagomål/A 26710-2021 klagomål.docx", "A 26710-2021")</f>
        <v/>
      </c>
      <c r="W402">
        <f>HYPERLINK("https://klasma.github.io/Logging_1499/klagomålsmail/A 26710-2021 klagomålsmail.docx", "A 26710-2021")</f>
        <v/>
      </c>
      <c r="X402">
        <f>HYPERLINK("https://klasma.github.io/Logging_1499/tillsyn/A 26710-2021 tillsyn.docx", "A 26710-2021")</f>
        <v/>
      </c>
      <c r="Y402">
        <f>HYPERLINK("https://klasma.github.io/Logging_1499/tillsynsmail/A 26710-2021 tillsynsmail.docx", "A 26710-2021")</f>
        <v/>
      </c>
    </row>
    <row r="403" ht="15" customHeight="1">
      <c r="A403" t="inlineStr">
        <is>
          <t>A 29668-2021</t>
        </is>
      </c>
      <c r="B403" s="1" t="n">
        <v>44361</v>
      </c>
      <c r="C403" s="1" t="n">
        <v>45212</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HYPERLINK("https://klasma.github.io/Logging_1435/artfynd/A 29668-2021 artfynd.xlsx", "A 29668-2021")</f>
        <v/>
      </c>
      <c r="T403">
        <f>HYPERLINK("https://klasma.github.io/Logging_1435/karta/A 29668-2021 karta.png", "A 29668-2021")</f>
        <v/>
      </c>
      <c r="V403">
        <f>HYPERLINK("https://klasma.github.io/Logging_1435/klagomål/A 29668-2021 klagomål.docx", "A 29668-2021")</f>
        <v/>
      </c>
      <c r="W403">
        <f>HYPERLINK("https://klasma.github.io/Logging_1435/klagomålsmail/A 29668-2021 klagomålsmail.docx", "A 29668-2021")</f>
        <v/>
      </c>
      <c r="X403">
        <f>HYPERLINK("https://klasma.github.io/Logging_1435/tillsyn/A 29668-2021 tillsyn.docx", "A 29668-2021")</f>
        <v/>
      </c>
      <c r="Y403">
        <f>HYPERLINK("https://klasma.github.io/Logging_1435/tillsynsmail/A 29668-2021 tillsynsmail.docx", "A 29668-2021")</f>
        <v/>
      </c>
    </row>
    <row r="404" ht="15" customHeight="1">
      <c r="A404" t="inlineStr">
        <is>
          <t>A 34678-2021</t>
        </is>
      </c>
      <c r="B404" s="1" t="n">
        <v>44381</v>
      </c>
      <c r="C404" s="1" t="n">
        <v>45212</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HYPERLINK("https://klasma.github.io/Logging_1427/artfynd/A 34678-2021 artfynd.xlsx", "A 34678-2021")</f>
        <v/>
      </c>
      <c r="T404">
        <f>HYPERLINK("https://klasma.github.io/Logging_1427/karta/A 34678-2021 karta.png", "A 34678-2021")</f>
        <v/>
      </c>
      <c r="V404">
        <f>HYPERLINK("https://klasma.github.io/Logging_1427/klagomål/A 34678-2021 klagomål.docx", "A 34678-2021")</f>
        <v/>
      </c>
      <c r="W404">
        <f>HYPERLINK("https://klasma.github.io/Logging_1427/klagomålsmail/A 34678-2021 klagomålsmail.docx", "A 34678-2021")</f>
        <v/>
      </c>
      <c r="X404">
        <f>HYPERLINK("https://klasma.github.io/Logging_1427/tillsyn/A 34678-2021 tillsyn.docx", "A 34678-2021")</f>
        <v/>
      </c>
      <c r="Y404">
        <f>HYPERLINK("https://klasma.github.io/Logging_1427/tillsynsmail/A 34678-2021 tillsynsmail.docx", "A 34678-2021")</f>
        <v/>
      </c>
    </row>
    <row r="405" ht="15" customHeight="1">
      <c r="A405" t="inlineStr">
        <is>
          <t>A 34589-2021</t>
        </is>
      </c>
      <c r="B405" s="1" t="n">
        <v>44382</v>
      </c>
      <c r="C405" s="1" t="n">
        <v>45212</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HYPERLINK("https://klasma.github.io/Logging_1487/artfynd/A 34589-2021 artfynd.xlsx", "A 34589-2021")</f>
        <v/>
      </c>
      <c r="T405">
        <f>HYPERLINK("https://klasma.github.io/Logging_1487/karta/A 34589-2021 karta.png", "A 34589-2021")</f>
        <v/>
      </c>
      <c r="V405">
        <f>HYPERLINK("https://klasma.github.io/Logging_1487/klagomål/A 34589-2021 klagomål.docx", "A 34589-2021")</f>
        <v/>
      </c>
      <c r="W405">
        <f>HYPERLINK("https://klasma.github.io/Logging_1487/klagomålsmail/A 34589-2021 klagomålsmail.docx", "A 34589-2021")</f>
        <v/>
      </c>
      <c r="X405">
        <f>HYPERLINK("https://klasma.github.io/Logging_1487/tillsyn/A 34589-2021 tillsyn.docx", "A 34589-2021")</f>
        <v/>
      </c>
      <c r="Y405">
        <f>HYPERLINK("https://klasma.github.io/Logging_1487/tillsynsmail/A 34589-2021 tillsynsmail.docx", "A 34589-2021")</f>
        <v/>
      </c>
    </row>
    <row r="406" ht="15" customHeight="1">
      <c r="A406" t="inlineStr">
        <is>
          <t>A 36083-2021</t>
        </is>
      </c>
      <c r="B406" s="1" t="n">
        <v>44389</v>
      </c>
      <c r="C406" s="1" t="n">
        <v>45212</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HYPERLINK("https://klasma.github.io/Logging_1461/artfynd/A 36083-2021 artfynd.xlsx", "A 36083-2021")</f>
        <v/>
      </c>
      <c r="T406">
        <f>HYPERLINK("https://klasma.github.io/Logging_1461/karta/A 36083-2021 karta.png", "A 36083-2021")</f>
        <v/>
      </c>
      <c r="V406">
        <f>HYPERLINK("https://klasma.github.io/Logging_1461/klagomål/A 36083-2021 klagomål.docx", "A 36083-2021")</f>
        <v/>
      </c>
      <c r="W406">
        <f>HYPERLINK("https://klasma.github.io/Logging_1461/klagomålsmail/A 36083-2021 klagomålsmail.docx", "A 36083-2021")</f>
        <v/>
      </c>
      <c r="X406">
        <f>HYPERLINK("https://klasma.github.io/Logging_1461/tillsyn/A 36083-2021 tillsyn.docx", "A 36083-2021")</f>
        <v/>
      </c>
      <c r="Y406">
        <f>HYPERLINK("https://klasma.github.io/Logging_1461/tillsynsmail/A 36083-2021 tillsynsmail.docx", "A 36083-2021")</f>
        <v/>
      </c>
    </row>
    <row r="407" ht="15" customHeight="1">
      <c r="A407" t="inlineStr">
        <is>
          <t>A 36840-2021</t>
        </is>
      </c>
      <c r="B407" s="1" t="n">
        <v>44393</v>
      </c>
      <c r="C407" s="1" t="n">
        <v>45212</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HYPERLINK("https://klasma.github.io/Logging_1463/artfynd/A 36840-2021 artfynd.xlsx", "A 36840-2021")</f>
        <v/>
      </c>
      <c r="T407">
        <f>HYPERLINK("https://klasma.github.io/Logging_1463/karta/A 36840-2021 karta.png", "A 36840-2021")</f>
        <v/>
      </c>
      <c r="V407">
        <f>HYPERLINK("https://klasma.github.io/Logging_1463/klagomål/A 36840-2021 klagomål.docx", "A 36840-2021")</f>
        <v/>
      </c>
      <c r="W407">
        <f>HYPERLINK("https://klasma.github.io/Logging_1463/klagomålsmail/A 36840-2021 klagomålsmail.docx", "A 36840-2021")</f>
        <v/>
      </c>
      <c r="X407">
        <f>HYPERLINK("https://klasma.github.io/Logging_1463/tillsyn/A 36840-2021 tillsyn.docx", "A 36840-2021")</f>
        <v/>
      </c>
      <c r="Y407">
        <f>HYPERLINK("https://klasma.github.io/Logging_1463/tillsynsmail/A 36840-2021 tillsynsmail.docx", "A 36840-2021")</f>
        <v/>
      </c>
    </row>
    <row r="408" ht="15" customHeight="1">
      <c r="A408" t="inlineStr">
        <is>
          <t>A 39846-2021</t>
        </is>
      </c>
      <c r="B408" s="1" t="n">
        <v>44417</v>
      </c>
      <c r="C408" s="1" t="n">
        <v>45212</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HYPERLINK("https://klasma.github.io/Logging_1463/artfynd/A 39846-2021 artfynd.xlsx", "A 39846-2021")</f>
        <v/>
      </c>
      <c r="T408">
        <f>HYPERLINK("https://klasma.github.io/Logging_1463/karta/A 39846-2021 karta.png", "A 39846-2021")</f>
        <v/>
      </c>
      <c r="V408">
        <f>HYPERLINK("https://klasma.github.io/Logging_1463/klagomål/A 39846-2021 klagomål.docx", "A 39846-2021")</f>
        <v/>
      </c>
      <c r="W408">
        <f>HYPERLINK("https://klasma.github.io/Logging_1463/klagomålsmail/A 39846-2021 klagomålsmail.docx", "A 39846-2021")</f>
        <v/>
      </c>
      <c r="X408">
        <f>HYPERLINK("https://klasma.github.io/Logging_1463/tillsyn/A 39846-2021 tillsyn.docx", "A 39846-2021")</f>
        <v/>
      </c>
      <c r="Y408">
        <f>HYPERLINK("https://klasma.github.io/Logging_1463/tillsynsmail/A 39846-2021 tillsynsmail.docx", "A 39846-2021")</f>
        <v/>
      </c>
    </row>
    <row r="409" ht="15" customHeight="1">
      <c r="A409" t="inlineStr">
        <is>
          <t>A 39804-2021</t>
        </is>
      </c>
      <c r="B409" s="1" t="n">
        <v>44417</v>
      </c>
      <c r="C409" s="1" t="n">
        <v>45212</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HYPERLINK("https://klasma.github.io/Logging_1460/artfynd/A 39804-2021 artfynd.xlsx", "A 39804-2021")</f>
        <v/>
      </c>
      <c r="T409">
        <f>HYPERLINK("https://klasma.github.io/Logging_1460/karta/A 39804-2021 karta.png", "A 39804-2021")</f>
        <v/>
      </c>
      <c r="V409">
        <f>HYPERLINK("https://klasma.github.io/Logging_1460/klagomål/A 39804-2021 klagomål.docx", "A 39804-2021")</f>
        <v/>
      </c>
      <c r="W409">
        <f>HYPERLINK("https://klasma.github.io/Logging_1460/klagomålsmail/A 39804-2021 klagomålsmail.docx", "A 39804-2021")</f>
        <v/>
      </c>
      <c r="X409">
        <f>HYPERLINK("https://klasma.github.io/Logging_1460/tillsyn/A 39804-2021 tillsyn.docx", "A 39804-2021")</f>
        <v/>
      </c>
      <c r="Y409">
        <f>HYPERLINK("https://klasma.github.io/Logging_1460/tillsynsmail/A 39804-2021 tillsynsmail.docx", "A 39804-2021")</f>
        <v/>
      </c>
    </row>
    <row r="410" ht="15" customHeight="1">
      <c r="A410" t="inlineStr">
        <is>
          <t>A 40547-2021</t>
        </is>
      </c>
      <c r="B410" s="1" t="n">
        <v>44420</v>
      </c>
      <c r="C410" s="1" t="n">
        <v>45212</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HYPERLINK("https://klasma.github.io/Logging_1498/artfynd/A 40547-2021 artfynd.xlsx", "A 40547-2021")</f>
        <v/>
      </c>
      <c r="T410">
        <f>HYPERLINK("https://klasma.github.io/Logging_1498/karta/A 40547-2021 karta.png", "A 40547-2021")</f>
        <v/>
      </c>
      <c r="V410">
        <f>HYPERLINK("https://klasma.github.io/Logging_1498/klagomål/A 40547-2021 klagomål.docx", "A 40547-2021")</f>
        <v/>
      </c>
      <c r="W410">
        <f>HYPERLINK("https://klasma.github.io/Logging_1498/klagomålsmail/A 40547-2021 klagomålsmail.docx", "A 40547-2021")</f>
        <v/>
      </c>
      <c r="X410">
        <f>HYPERLINK("https://klasma.github.io/Logging_1498/tillsyn/A 40547-2021 tillsyn.docx", "A 40547-2021")</f>
        <v/>
      </c>
      <c r="Y410">
        <f>HYPERLINK("https://klasma.github.io/Logging_1498/tillsynsmail/A 40547-2021 tillsynsmail.docx", "A 40547-2021")</f>
        <v/>
      </c>
    </row>
    <row r="411" ht="15" customHeight="1">
      <c r="A411" t="inlineStr">
        <is>
          <t>A 42509-2021</t>
        </is>
      </c>
      <c r="B411" s="1" t="n">
        <v>44427</v>
      </c>
      <c r="C411" s="1" t="n">
        <v>45212</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HYPERLINK("https://klasma.github.io/Logging_1499/artfynd/A 42509-2021 artfynd.xlsx", "A 42509-2021")</f>
        <v/>
      </c>
      <c r="T411">
        <f>HYPERLINK("https://klasma.github.io/Logging_1499/karta/A 42509-2021 karta.png", "A 42509-2021")</f>
        <v/>
      </c>
      <c r="V411">
        <f>HYPERLINK("https://klasma.github.io/Logging_1499/klagomål/A 42509-2021 klagomål.docx", "A 42509-2021")</f>
        <v/>
      </c>
      <c r="W411">
        <f>HYPERLINK("https://klasma.github.io/Logging_1499/klagomålsmail/A 42509-2021 klagomålsmail.docx", "A 42509-2021")</f>
        <v/>
      </c>
      <c r="X411">
        <f>HYPERLINK("https://klasma.github.io/Logging_1499/tillsyn/A 42509-2021 tillsyn.docx", "A 42509-2021")</f>
        <v/>
      </c>
      <c r="Y411">
        <f>HYPERLINK("https://klasma.github.io/Logging_1499/tillsynsmail/A 42509-2021 tillsynsmail.docx", "A 42509-2021")</f>
        <v/>
      </c>
    </row>
    <row r="412" ht="15" customHeight="1">
      <c r="A412" t="inlineStr">
        <is>
          <t>A 44202-2021</t>
        </is>
      </c>
      <c r="B412" s="1" t="n">
        <v>44434</v>
      </c>
      <c r="C412" s="1" t="n">
        <v>45212</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HYPERLINK("https://klasma.github.io/Logging_1490/artfynd/A 44202-2021 artfynd.xlsx", "A 44202-2021")</f>
        <v/>
      </c>
      <c r="T412">
        <f>HYPERLINK("https://klasma.github.io/Logging_1490/karta/A 44202-2021 karta.png", "A 44202-2021")</f>
        <v/>
      </c>
      <c r="V412">
        <f>HYPERLINK("https://klasma.github.io/Logging_1490/klagomål/A 44202-2021 klagomål.docx", "A 44202-2021")</f>
        <v/>
      </c>
      <c r="W412">
        <f>HYPERLINK("https://klasma.github.io/Logging_1490/klagomålsmail/A 44202-2021 klagomålsmail.docx", "A 44202-2021")</f>
        <v/>
      </c>
      <c r="X412">
        <f>HYPERLINK("https://klasma.github.io/Logging_1490/tillsyn/A 44202-2021 tillsyn.docx", "A 44202-2021")</f>
        <v/>
      </c>
      <c r="Y412">
        <f>HYPERLINK("https://klasma.github.io/Logging_1490/tillsynsmail/A 44202-2021 tillsynsmail.docx", "A 44202-2021")</f>
        <v/>
      </c>
    </row>
    <row r="413" ht="15" customHeight="1">
      <c r="A413" t="inlineStr">
        <is>
          <t>A 45168-2021</t>
        </is>
      </c>
      <c r="B413" s="1" t="n">
        <v>44439</v>
      </c>
      <c r="C413" s="1" t="n">
        <v>45212</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HYPERLINK("https://klasma.github.io/Logging_1473/artfynd/A 45168-2021 artfynd.xlsx", "A 45168-2021")</f>
        <v/>
      </c>
      <c r="T413">
        <f>HYPERLINK("https://klasma.github.io/Logging_1473/karta/A 45168-2021 karta.png", "A 45168-2021")</f>
        <v/>
      </c>
      <c r="V413">
        <f>HYPERLINK("https://klasma.github.io/Logging_1473/klagomål/A 45168-2021 klagomål.docx", "A 45168-2021")</f>
        <v/>
      </c>
      <c r="W413">
        <f>HYPERLINK("https://klasma.github.io/Logging_1473/klagomålsmail/A 45168-2021 klagomålsmail.docx", "A 45168-2021")</f>
        <v/>
      </c>
      <c r="X413">
        <f>HYPERLINK("https://klasma.github.io/Logging_1473/tillsyn/A 45168-2021 tillsyn.docx", "A 45168-2021")</f>
        <v/>
      </c>
      <c r="Y413">
        <f>HYPERLINK("https://klasma.github.io/Logging_1473/tillsynsmail/A 45168-2021 tillsynsmail.docx", "A 45168-2021")</f>
        <v/>
      </c>
    </row>
    <row r="414" ht="15" customHeight="1">
      <c r="A414" t="inlineStr">
        <is>
          <t>A 47082-2021</t>
        </is>
      </c>
      <c r="B414" s="1" t="n">
        <v>44446</v>
      </c>
      <c r="C414" s="1" t="n">
        <v>45212</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HYPERLINK("https://klasma.github.io/Logging_1460/artfynd/A 47082-2021 artfynd.xlsx", "A 47082-2021")</f>
        <v/>
      </c>
      <c r="T414">
        <f>HYPERLINK("https://klasma.github.io/Logging_1460/karta/A 47082-2021 karta.png", "A 47082-2021")</f>
        <v/>
      </c>
      <c r="V414">
        <f>HYPERLINK("https://klasma.github.io/Logging_1460/klagomål/A 47082-2021 klagomål.docx", "A 47082-2021")</f>
        <v/>
      </c>
      <c r="W414">
        <f>HYPERLINK("https://klasma.github.io/Logging_1460/klagomålsmail/A 47082-2021 klagomålsmail.docx", "A 47082-2021")</f>
        <v/>
      </c>
      <c r="X414">
        <f>HYPERLINK("https://klasma.github.io/Logging_1460/tillsyn/A 47082-2021 tillsyn.docx", "A 47082-2021")</f>
        <v/>
      </c>
      <c r="Y414">
        <f>HYPERLINK("https://klasma.github.io/Logging_1460/tillsynsmail/A 47082-2021 tillsynsmail.docx", "A 47082-2021")</f>
        <v/>
      </c>
    </row>
    <row r="415" ht="15" customHeight="1">
      <c r="A415" t="inlineStr">
        <is>
          <t>A 48150-2021</t>
        </is>
      </c>
      <c r="B415" s="1" t="n">
        <v>44449</v>
      </c>
      <c r="C415" s="1" t="n">
        <v>45212</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HYPERLINK("https://klasma.github.io/Logging_1491/artfynd/A 48150-2021 artfynd.xlsx", "A 48150-2021")</f>
        <v/>
      </c>
      <c r="T415">
        <f>HYPERLINK("https://klasma.github.io/Logging_1491/karta/A 48150-2021 karta.png", "A 48150-2021")</f>
        <v/>
      </c>
      <c r="V415">
        <f>HYPERLINK("https://klasma.github.io/Logging_1491/klagomål/A 48150-2021 klagomål.docx", "A 48150-2021")</f>
        <v/>
      </c>
      <c r="W415">
        <f>HYPERLINK("https://klasma.github.io/Logging_1491/klagomålsmail/A 48150-2021 klagomålsmail.docx", "A 48150-2021")</f>
        <v/>
      </c>
      <c r="X415">
        <f>HYPERLINK("https://klasma.github.io/Logging_1491/tillsyn/A 48150-2021 tillsyn.docx", "A 48150-2021")</f>
        <v/>
      </c>
      <c r="Y415">
        <f>HYPERLINK("https://klasma.github.io/Logging_1491/tillsynsmail/A 48150-2021 tillsynsmail.docx", "A 48150-2021")</f>
        <v/>
      </c>
    </row>
    <row r="416" ht="15" customHeight="1">
      <c r="A416" t="inlineStr">
        <is>
          <t>A 48330-2021</t>
        </is>
      </c>
      <c r="B416" s="1" t="n">
        <v>44450</v>
      </c>
      <c r="C416" s="1" t="n">
        <v>45212</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HYPERLINK("https://klasma.github.io/Logging_1492/artfynd/A 48330-2021 artfynd.xlsx", "A 48330-2021")</f>
        <v/>
      </c>
      <c r="T416">
        <f>HYPERLINK("https://klasma.github.io/Logging_1492/karta/A 48330-2021 karta.png", "A 48330-2021")</f>
        <v/>
      </c>
      <c r="V416">
        <f>HYPERLINK("https://klasma.github.io/Logging_1492/klagomål/A 48330-2021 klagomål.docx", "A 48330-2021")</f>
        <v/>
      </c>
      <c r="W416">
        <f>HYPERLINK("https://klasma.github.io/Logging_1492/klagomålsmail/A 48330-2021 klagomålsmail.docx", "A 48330-2021")</f>
        <v/>
      </c>
      <c r="X416">
        <f>HYPERLINK("https://klasma.github.io/Logging_1492/tillsyn/A 48330-2021 tillsyn.docx", "A 48330-2021")</f>
        <v/>
      </c>
      <c r="Y416">
        <f>HYPERLINK("https://klasma.github.io/Logging_1492/tillsynsmail/A 48330-2021 tillsynsmail.docx", "A 48330-2021")</f>
        <v/>
      </c>
    </row>
    <row r="417" ht="15" customHeight="1">
      <c r="A417" t="inlineStr">
        <is>
          <t>A 50555-2021</t>
        </is>
      </c>
      <c r="B417" s="1" t="n">
        <v>44455</v>
      </c>
      <c r="C417" s="1" t="n">
        <v>45212</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HYPERLINK("https://klasma.github.io/Logging_1491/artfynd/A 50555-2021 artfynd.xlsx", "A 50555-2021")</f>
        <v/>
      </c>
      <c r="T417">
        <f>HYPERLINK("https://klasma.github.io/Logging_1491/karta/A 50555-2021 karta.png", "A 50555-2021")</f>
        <v/>
      </c>
      <c r="V417">
        <f>HYPERLINK("https://klasma.github.io/Logging_1491/klagomål/A 50555-2021 klagomål.docx", "A 50555-2021")</f>
        <v/>
      </c>
      <c r="W417">
        <f>HYPERLINK("https://klasma.github.io/Logging_1491/klagomålsmail/A 50555-2021 klagomålsmail.docx", "A 50555-2021")</f>
        <v/>
      </c>
      <c r="X417">
        <f>HYPERLINK("https://klasma.github.io/Logging_1491/tillsyn/A 50555-2021 tillsyn.docx", "A 50555-2021")</f>
        <v/>
      </c>
      <c r="Y417">
        <f>HYPERLINK("https://klasma.github.io/Logging_1491/tillsynsmail/A 50555-2021 tillsynsmail.docx", "A 50555-2021")</f>
        <v/>
      </c>
    </row>
    <row r="418" ht="15" customHeight="1">
      <c r="A418" t="inlineStr">
        <is>
          <t>A 50318-2021</t>
        </is>
      </c>
      <c r="B418" s="1" t="n">
        <v>44459</v>
      </c>
      <c r="C418" s="1" t="n">
        <v>45212</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HYPERLINK("https://klasma.github.io/Logging_1495/artfynd/A 50318-2021 artfynd.xlsx", "A 50318-2021")</f>
        <v/>
      </c>
      <c r="T418">
        <f>HYPERLINK("https://klasma.github.io/Logging_1495/karta/A 50318-2021 karta.png", "A 50318-2021")</f>
        <v/>
      </c>
      <c r="U418">
        <f>HYPERLINK("https://klasma.github.io/Logging_1495/knärot/A 50318-2021 knärot.png", "A 50318-2021")</f>
        <v/>
      </c>
      <c r="V418">
        <f>HYPERLINK("https://klasma.github.io/Logging_1495/klagomål/A 50318-2021 klagomål.docx", "A 50318-2021")</f>
        <v/>
      </c>
      <c r="W418">
        <f>HYPERLINK("https://klasma.github.io/Logging_1495/klagomålsmail/A 50318-2021 klagomålsmail.docx", "A 50318-2021")</f>
        <v/>
      </c>
      <c r="X418">
        <f>HYPERLINK("https://klasma.github.io/Logging_1495/tillsyn/A 50318-2021 tillsyn.docx", "A 50318-2021")</f>
        <v/>
      </c>
      <c r="Y418">
        <f>HYPERLINK("https://klasma.github.io/Logging_1495/tillsynsmail/A 50318-2021 tillsynsmail.docx", "A 50318-2021")</f>
        <v/>
      </c>
    </row>
    <row r="419" ht="15" customHeight="1">
      <c r="A419" t="inlineStr">
        <is>
          <t>A 53156-2021</t>
        </is>
      </c>
      <c r="B419" s="1" t="n">
        <v>44468</v>
      </c>
      <c r="C419" s="1" t="n">
        <v>45212</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HYPERLINK("https://klasma.github.io/Logging_1415/artfynd/A 53156-2021 artfynd.xlsx", "A 53156-2021")</f>
        <v/>
      </c>
      <c r="T419">
        <f>HYPERLINK("https://klasma.github.io/Logging_1415/karta/A 53156-2021 karta.png", "A 53156-2021")</f>
        <v/>
      </c>
      <c r="U419">
        <f>HYPERLINK("https://klasma.github.io/Logging_1415/knärot/A 53156-2021 knärot.png", "A 53156-2021")</f>
        <v/>
      </c>
      <c r="V419">
        <f>HYPERLINK("https://klasma.github.io/Logging_1415/klagomål/A 53156-2021 klagomål.docx", "A 53156-2021")</f>
        <v/>
      </c>
      <c r="W419">
        <f>HYPERLINK("https://klasma.github.io/Logging_1415/klagomålsmail/A 53156-2021 klagomålsmail.docx", "A 53156-2021")</f>
        <v/>
      </c>
      <c r="X419">
        <f>HYPERLINK("https://klasma.github.io/Logging_1415/tillsyn/A 53156-2021 tillsyn.docx", "A 53156-2021")</f>
        <v/>
      </c>
      <c r="Y419">
        <f>HYPERLINK("https://klasma.github.io/Logging_1415/tillsynsmail/A 53156-2021 tillsynsmail.docx", "A 53156-2021")</f>
        <v/>
      </c>
    </row>
    <row r="420" ht="15" customHeight="1">
      <c r="A420" t="inlineStr">
        <is>
          <t>A 53203-2021</t>
        </is>
      </c>
      <c r="B420" s="1" t="n">
        <v>44468</v>
      </c>
      <c r="C420" s="1" t="n">
        <v>45212</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HYPERLINK("https://klasma.github.io/Logging_1401/artfynd/A 53203-2021 artfynd.xlsx", "A 53203-2021")</f>
        <v/>
      </c>
      <c r="T420">
        <f>HYPERLINK("https://klasma.github.io/Logging_1401/karta/A 53203-2021 karta.png", "A 53203-2021")</f>
        <v/>
      </c>
      <c r="V420">
        <f>HYPERLINK("https://klasma.github.io/Logging_1401/klagomål/A 53203-2021 klagomål.docx", "A 53203-2021")</f>
        <v/>
      </c>
      <c r="W420">
        <f>HYPERLINK("https://klasma.github.io/Logging_1401/klagomålsmail/A 53203-2021 klagomålsmail.docx", "A 53203-2021")</f>
        <v/>
      </c>
      <c r="X420">
        <f>HYPERLINK("https://klasma.github.io/Logging_1401/tillsyn/A 53203-2021 tillsyn.docx", "A 53203-2021")</f>
        <v/>
      </c>
      <c r="Y420">
        <f>HYPERLINK("https://klasma.github.io/Logging_1401/tillsynsmail/A 53203-2021 tillsynsmail.docx", "A 53203-2021")</f>
        <v/>
      </c>
    </row>
    <row r="421" ht="15" customHeight="1">
      <c r="A421" t="inlineStr">
        <is>
          <t>A 55075-2021</t>
        </is>
      </c>
      <c r="B421" s="1" t="n">
        <v>44474</v>
      </c>
      <c r="C421" s="1" t="n">
        <v>45212</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HYPERLINK("https://klasma.github.io/Logging_1499/artfynd/A 55075-2021 artfynd.xlsx", "A 55075-2021")</f>
        <v/>
      </c>
      <c r="T421">
        <f>HYPERLINK("https://klasma.github.io/Logging_1499/karta/A 55075-2021 karta.png", "A 55075-2021")</f>
        <v/>
      </c>
      <c r="V421">
        <f>HYPERLINK("https://klasma.github.io/Logging_1499/klagomål/A 55075-2021 klagomål.docx", "A 55075-2021")</f>
        <v/>
      </c>
      <c r="W421">
        <f>HYPERLINK("https://klasma.github.io/Logging_1499/klagomålsmail/A 55075-2021 klagomålsmail.docx", "A 55075-2021")</f>
        <v/>
      </c>
      <c r="X421">
        <f>HYPERLINK("https://klasma.github.io/Logging_1499/tillsyn/A 55075-2021 tillsyn.docx", "A 55075-2021")</f>
        <v/>
      </c>
      <c r="Y421">
        <f>HYPERLINK("https://klasma.github.io/Logging_1499/tillsynsmail/A 55075-2021 tillsynsmail.docx", "A 55075-2021")</f>
        <v/>
      </c>
    </row>
    <row r="422" ht="15" customHeight="1">
      <c r="A422" t="inlineStr">
        <is>
          <t>A 59679-2021</t>
        </is>
      </c>
      <c r="B422" s="1" t="n">
        <v>44494</v>
      </c>
      <c r="C422" s="1" t="n">
        <v>45212</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HYPERLINK("https://klasma.github.io/Logging_1495/artfynd/A 59679-2021 artfynd.xlsx", "A 59679-2021")</f>
        <v/>
      </c>
      <c r="T422">
        <f>HYPERLINK("https://klasma.github.io/Logging_1495/karta/A 59679-2021 karta.png", "A 59679-2021")</f>
        <v/>
      </c>
      <c r="V422">
        <f>HYPERLINK("https://klasma.github.io/Logging_1495/klagomål/A 59679-2021 klagomål.docx", "A 59679-2021")</f>
        <v/>
      </c>
      <c r="W422">
        <f>HYPERLINK("https://klasma.github.io/Logging_1495/klagomålsmail/A 59679-2021 klagomålsmail.docx", "A 59679-2021")</f>
        <v/>
      </c>
      <c r="X422">
        <f>HYPERLINK("https://klasma.github.io/Logging_1495/tillsyn/A 59679-2021 tillsyn.docx", "A 59679-2021")</f>
        <v/>
      </c>
      <c r="Y422">
        <f>HYPERLINK("https://klasma.github.io/Logging_1495/tillsynsmail/A 59679-2021 tillsynsmail.docx", "A 59679-2021")</f>
        <v/>
      </c>
    </row>
    <row r="423" ht="15" customHeight="1">
      <c r="A423" t="inlineStr">
        <is>
          <t>A 60172-2021</t>
        </is>
      </c>
      <c r="B423" s="1" t="n">
        <v>44495</v>
      </c>
      <c r="C423" s="1" t="n">
        <v>45212</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HYPERLINK("https://klasma.github.io/Logging_1496/artfynd/A 60172-2021 artfynd.xlsx", "A 60172-2021")</f>
        <v/>
      </c>
      <c r="T423">
        <f>HYPERLINK("https://klasma.github.io/Logging_1496/karta/A 60172-2021 karta.png", "A 60172-2021")</f>
        <v/>
      </c>
      <c r="V423">
        <f>HYPERLINK("https://klasma.github.io/Logging_1496/klagomål/A 60172-2021 klagomål.docx", "A 60172-2021")</f>
        <v/>
      </c>
      <c r="W423">
        <f>HYPERLINK("https://klasma.github.io/Logging_1496/klagomålsmail/A 60172-2021 klagomålsmail.docx", "A 60172-2021")</f>
        <v/>
      </c>
      <c r="X423">
        <f>HYPERLINK("https://klasma.github.io/Logging_1496/tillsyn/A 60172-2021 tillsyn.docx", "A 60172-2021")</f>
        <v/>
      </c>
      <c r="Y423">
        <f>HYPERLINK("https://klasma.github.io/Logging_1496/tillsynsmail/A 60172-2021 tillsynsmail.docx", "A 60172-2021")</f>
        <v/>
      </c>
    </row>
    <row r="424" ht="15" customHeight="1">
      <c r="A424" t="inlineStr">
        <is>
          <t>A 63729-2021</t>
        </is>
      </c>
      <c r="B424" s="1" t="n">
        <v>44508</v>
      </c>
      <c r="C424" s="1" t="n">
        <v>45212</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HYPERLINK("https://klasma.github.io/Logging_1460/artfynd/A 63729-2021 artfynd.xlsx", "A 63729-2021")</f>
        <v/>
      </c>
      <c r="T424">
        <f>HYPERLINK("https://klasma.github.io/Logging_1460/karta/A 63729-2021 karta.png", "A 63729-2021")</f>
        <v/>
      </c>
      <c r="V424">
        <f>HYPERLINK("https://klasma.github.io/Logging_1460/klagomål/A 63729-2021 klagomål.docx", "A 63729-2021")</f>
        <v/>
      </c>
      <c r="W424">
        <f>HYPERLINK("https://klasma.github.io/Logging_1460/klagomålsmail/A 63729-2021 klagomålsmail.docx", "A 63729-2021")</f>
        <v/>
      </c>
      <c r="X424">
        <f>HYPERLINK("https://klasma.github.io/Logging_1460/tillsyn/A 63729-2021 tillsyn.docx", "A 63729-2021")</f>
        <v/>
      </c>
      <c r="Y424">
        <f>HYPERLINK("https://klasma.github.io/Logging_1460/tillsynsmail/A 63729-2021 tillsynsmail.docx", "A 63729-2021")</f>
        <v/>
      </c>
    </row>
    <row r="425" ht="15" customHeight="1">
      <c r="A425" t="inlineStr">
        <is>
          <t>A 64484-2021</t>
        </is>
      </c>
      <c r="B425" s="1" t="n">
        <v>44511</v>
      </c>
      <c r="C425" s="1" t="n">
        <v>45212</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HYPERLINK("https://klasma.github.io/Logging_1435/artfynd/A 64484-2021 artfynd.xlsx", "A 64484-2021")</f>
        <v/>
      </c>
      <c r="T425">
        <f>HYPERLINK("https://klasma.github.io/Logging_1435/karta/A 64484-2021 karta.png", "A 64484-2021")</f>
        <v/>
      </c>
      <c r="V425">
        <f>HYPERLINK("https://klasma.github.io/Logging_1435/klagomål/A 64484-2021 klagomål.docx", "A 64484-2021")</f>
        <v/>
      </c>
      <c r="W425">
        <f>HYPERLINK("https://klasma.github.io/Logging_1435/klagomålsmail/A 64484-2021 klagomålsmail.docx", "A 64484-2021")</f>
        <v/>
      </c>
      <c r="X425">
        <f>HYPERLINK("https://klasma.github.io/Logging_1435/tillsyn/A 64484-2021 tillsyn.docx", "A 64484-2021")</f>
        <v/>
      </c>
      <c r="Y425">
        <f>HYPERLINK("https://klasma.github.io/Logging_1435/tillsynsmail/A 64484-2021 tillsynsmail.docx", "A 64484-2021")</f>
        <v/>
      </c>
    </row>
    <row r="426" ht="15" customHeight="1">
      <c r="A426" t="inlineStr">
        <is>
          <t>A 64810-2021</t>
        </is>
      </c>
      <c r="B426" s="1" t="n">
        <v>44512</v>
      </c>
      <c r="C426" s="1" t="n">
        <v>45212</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HYPERLINK("https://klasma.github.io/Logging_1491/artfynd/A 64810-2021 artfynd.xlsx", "A 64810-2021")</f>
        <v/>
      </c>
      <c r="T426">
        <f>HYPERLINK("https://klasma.github.io/Logging_1491/karta/A 64810-2021 karta.png", "A 64810-2021")</f>
        <v/>
      </c>
      <c r="V426">
        <f>HYPERLINK("https://klasma.github.io/Logging_1491/klagomål/A 64810-2021 klagomål.docx", "A 64810-2021")</f>
        <v/>
      </c>
      <c r="W426">
        <f>HYPERLINK("https://klasma.github.io/Logging_1491/klagomålsmail/A 64810-2021 klagomålsmail.docx", "A 64810-2021")</f>
        <v/>
      </c>
      <c r="X426">
        <f>HYPERLINK("https://klasma.github.io/Logging_1491/tillsyn/A 64810-2021 tillsyn.docx", "A 64810-2021")</f>
        <v/>
      </c>
      <c r="Y426">
        <f>HYPERLINK("https://klasma.github.io/Logging_1491/tillsynsmail/A 64810-2021 tillsynsmail.docx", "A 64810-2021")</f>
        <v/>
      </c>
    </row>
    <row r="427" ht="15" customHeight="1">
      <c r="A427" t="inlineStr">
        <is>
          <t>A 64860-2021</t>
        </is>
      </c>
      <c r="B427" s="1" t="n">
        <v>44512</v>
      </c>
      <c r="C427" s="1" t="n">
        <v>45212</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HYPERLINK("https://klasma.github.io/Logging_1401/artfynd/A 64860-2021 artfynd.xlsx", "A 64860-2021")</f>
        <v/>
      </c>
      <c r="T427">
        <f>HYPERLINK("https://klasma.github.io/Logging_1401/karta/A 64860-2021 karta.png", "A 64860-2021")</f>
        <v/>
      </c>
      <c r="V427">
        <f>HYPERLINK("https://klasma.github.io/Logging_1401/klagomål/A 64860-2021 klagomål.docx", "A 64860-2021")</f>
        <v/>
      </c>
      <c r="W427">
        <f>HYPERLINK("https://klasma.github.io/Logging_1401/klagomålsmail/A 64860-2021 klagomålsmail.docx", "A 64860-2021")</f>
        <v/>
      </c>
      <c r="X427">
        <f>HYPERLINK("https://klasma.github.io/Logging_1401/tillsyn/A 64860-2021 tillsyn.docx", "A 64860-2021")</f>
        <v/>
      </c>
      <c r="Y427">
        <f>HYPERLINK("https://klasma.github.io/Logging_1401/tillsynsmail/A 64860-2021 tillsynsmail.docx", "A 64860-2021")</f>
        <v/>
      </c>
    </row>
    <row r="428" ht="15" customHeight="1">
      <c r="A428" t="inlineStr">
        <is>
          <t>A 68707-2021</t>
        </is>
      </c>
      <c r="B428" s="1" t="n">
        <v>44529</v>
      </c>
      <c r="C428" s="1" t="n">
        <v>45212</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HYPERLINK("https://klasma.github.io/Logging_1485/artfynd/A 68707-2021 artfynd.xlsx", "A 68707-2021")</f>
        <v/>
      </c>
      <c r="T428">
        <f>HYPERLINK("https://klasma.github.io/Logging_1485/karta/A 68707-2021 karta.png", "A 68707-2021")</f>
        <v/>
      </c>
      <c r="U428">
        <f>HYPERLINK("https://klasma.github.io/Logging_1485/knärot/A 68707-2021 knärot.png", "A 68707-2021")</f>
        <v/>
      </c>
      <c r="V428">
        <f>HYPERLINK("https://klasma.github.io/Logging_1485/klagomål/A 68707-2021 klagomål.docx", "A 68707-2021")</f>
        <v/>
      </c>
      <c r="W428">
        <f>HYPERLINK("https://klasma.github.io/Logging_1485/klagomålsmail/A 68707-2021 klagomålsmail.docx", "A 68707-2021")</f>
        <v/>
      </c>
      <c r="X428">
        <f>HYPERLINK("https://klasma.github.io/Logging_1485/tillsyn/A 68707-2021 tillsyn.docx", "A 68707-2021")</f>
        <v/>
      </c>
      <c r="Y428">
        <f>HYPERLINK("https://klasma.github.io/Logging_1485/tillsynsmail/A 68707-2021 tillsynsmail.docx", "A 68707-2021")</f>
        <v/>
      </c>
    </row>
    <row r="429" ht="15" customHeight="1">
      <c r="A429" t="inlineStr">
        <is>
          <t>A 73714-2021</t>
        </is>
      </c>
      <c r="B429" s="1" t="n">
        <v>44551</v>
      </c>
      <c r="C429" s="1" t="n">
        <v>45212</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HYPERLINK("https://klasma.github.io/Logging_1481/artfynd/A 73714-2021 artfynd.xlsx", "A 73714-2021")</f>
        <v/>
      </c>
      <c r="T429">
        <f>HYPERLINK("https://klasma.github.io/Logging_1481/karta/A 73714-2021 karta.png", "A 73714-2021")</f>
        <v/>
      </c>
      <c r="V429">
        <f>HYPERLINK("https://klasma.github.io/Logging_1481/klagomål/A 73714-2021 klagomål.docx", "A 73714-2021")</f>
        <v/>
      </c>
      <c r="W429">
        <f>HYPERLINK("https://klasma.github.io/Logging_1481/klagomålsmail/A 73714-2021 klagomålsmail.docx", "A 73714-2021")</f>
        <v/>
      </c>
      <c r="X429">
        <f>HYPERLINK("https://klasma.github.io/Logging_1481/tillsyn/A 73714-2021 tillsyn.docx", "A 73714-2021")</f>
        <v/>
      </c>
      <c r="Y429">
        <f>HYPERLINK("https://klasma.github.io/Logging_1481/tillsynsmail/A 73714-2021 tillsynsmail.docx", "A 73714-2021")</f>
        <v/>
      </c>
    </row>
    <row r="430" ht="15" customHeight="1">
      <c r="A430" t="inlineStr">
        <is>
          <t>A 1013-2022</t>
        </is>
      </c>
      <c r="B430" s="1" t="n">
        <v>44571</v>
      </c>
      <c r="C430" s="1" t="n">
        <v>45212</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HYPERLINK("https://klasma.github.io/Logging_1486/artfynd/A 1013-2022 artfynd.xlsx", "A 1013-2022")</f>
        <v/>
      </c>
      <c r="T430">
        <f>HYPERLINK("https://klasma.github.io/Logging_1486/karta/A 1013-2022 karta.png", "A 1013-2022")</f>
        <v/>
      </c>
      <c r="V430">
        <f>HYPERLINK("https://klasma.github.io/Logging_1486/klagomål/A 1013-2022 klagomål.docx", "A 1013-2022")</f>
        <v/>
      </c>
      <c r="W430">
        <f>HYPERLINK("https://klasma.github.io/Logging_1486/klagomålsmail/A 1013-2022 klagomålsmail.docx", "A 1013-2022")</f>
        <v/>
      </c>
      <c r="X430">
        <f>HYPERLINK("https://klasma.github.io/Logging_1486/tillsyn/A 1013-2022 tillsyn.docx", "A 1013-2022")</f>
        <v/>
      </c>
      <c r="Y430">
        <f>HYPERLINK("https://klasma.github.io/Logging_1486/tillsynsmail/A 1013-2022 tillsynsmail.docx", "A 1013-2022")</f>
        <v/>
      </c>
    </row>
    <row r="431" ht="15" customHeight="1">
      <c r="A431" t="inlineStr">
        <is>
          <t>A 2637-2022</t>
        </is>
      </c>
      <c r="B431" s="1" t="n">
        <v>44580</v>
      </c>
      <c r="C431" s="1" t="n">
        <v>45212</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HYPERLINK("https://klasma.github.io/Logging_1447/artfynd/A 2637-2022 artfynd.xlsx", "A 2637-2022")</f>
        <v/>
      </c>
      <c r="T431">
        <f>HYPERLINK("https://klasma.github.io/Logging_1447/karta/A 2637-2022 karta.png", "A 2637-2022")</f>
        <v/>
      </c>
      <c r="U431">
        <f>HYPERLINK("https://klasma.github.io/Logging_1447/knärot/A 2637-2022 knärot.png", "A 2637-2022")</f>
        <v/>
      </c>
      <c r="V431">
        <f>HYPERLINK("https://klasma.github.io/Logging_1447/klagomål/A 2637-2022 klagomål.docx", "A 2637-2022")</f>
        <v/>
      </c>
      <c r="W431">
        <f>HYPERLINK("https://klasma.github.io/Logging_1447/klagomålsmail/A 2637-2022 klagomålsmail.docx", "A 2637-2022")</f>
        <v/>
      </c>
      <c r="X431">
        <f>HYPERLINK("https://klasma.github.io/Logging_1447/tillsyn/A 2637-2022 tillsyn.docx", "A 2637-2022")</f>
        <v/>
      </c>
      <c r="Y431">
        <f>HYPERLINK("https://klasma.github.io/Logging_1447/tillsynsmail/A 2637-2022 tillsynsmail.docx", "A 2637-2022")</f>
        <v/>
      </c>
    </row>
    <row r="432" ht="15" customHeight="1">
      <c r="A432" t="inlineStr">
        <is>
          <t>A 4966-2022</t>
        </is>
      </c>
      <c r="B432" s="1" t="n">
        <v>44593</v>
      </c>
      <c r="C432" s="1" t="n">
        <v>45212</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HYPERLINK("https://klasma.github.io/Logging_1497/artfynd/A 4966-2022 artfynd.xlsx", "A 4966-2022")</f>
        <v/>
      </c>
      <c r="T432">
        <f>HYPERLINK("https://klasma.github.io/Logging_1497/karta/A 4966-2022 karta.png", "A 4966-2022")</f>
        <v/>
      </c>
      <c r="V432">
        <f>HYPERLINK("https://klasma.github.io/Logging_1497/klagomål/A 4966-2022 klagomål.docx", "A 4966-2022")</f>
        <v/>
      </c>
      <c r="W432">
        <f>HYPERLINK("https://klasma.github.io/Logging_1497/klagomålsmail/A 4966-2022 klagomålsmail.docx", "A 4966-2022")</f>
        <v/>
      </c>
      <c r="X432">
        <f>HYPERLINK("https://klasma.github.io/Logging_1497/tillsyn/A 4966-2022 tillsyn.docx", "A 4966-2022")</f>
        <v/>
      </c>
      <c r="Y432">
        <f>HYPERLINK("https://klasma.github.io/Logging_1497/tillsynsmail/A 4966-2022 tillsynsmail.docx", "A 4966-2022")</f>
        <v/>
      </c>
    </row>
    <row r="433" ht="15" customHeight="1">
      <c r="A433" t="inlineStr">
        <is>
          <t>A 6545-2022</t>
        </is>
      </c>
      <c r="B433" s="1" t="n">
        <v>44601</v>
      </c>
      <c r="C433" s="1" t="n">
        <v>45212</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HYPERLINK("https://klasma.github.io/Logging_1430/artfynd/A 6545-2022 artfynd.xlsx", "A 6545-2022")</f>
        <v/>
      </c>
      <c r="T433">
        <f>HYPERLINK("https://klasma.github.io/Logging_1430/karta/A 6545-2022 karta.png", "A 6545-2022")</f>
        <v/>
      </c>
      <c r="V433">
        <f>HYPERLINK("https://klasma.github.io/Logging_1430/klagomål/A 6545-2022 klagomål.docx", "A 6545-2022")</f>
        <v/>
      </c>
      <c r="W433">
        <f>HYPERLINK("https://klasma.github.io/Logging_1430/klagomålsmail/A 6545-2022 klagomålsmail.docx", "A 6545-2022")</f>
        <v/>
      </c>
      <c r="X433">
        <f>HYPERLINK("https://klasma.github.io/Logging_1430/tillsyn/A 6545-2022 tillsyn.docx", "A 6545-2022")</f>
        <v/>
      </c>
      <c r="Y433">
        <f>HYPERLINK("https://klasma.github.io/Logging_1430/tillsynsmail/A 6545-2022 tillsynsmail.docx", "A 6545-2022")</f>
        <v/>
      </c>
    </row>
    <row r="434" ht="15" customHeight="1">
      <c r="A434" t="inlineStr">
        <is>
          <t>A 8098-2022</t>
        </is>
      </c>
      <c r="B434" s="1" t="n">
        <v>44609</v>
      </c>
      <c r="C434" s="1" t="n">
        <v>45212</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HYPERLINK("https://klasma.github.io/Logging_1452/artfynd/A 8098-2022 artfynd.xlsx", "A 8098-2022")</f>
        <v/>
      </c>
      <c r="T434">
        <f>HYPERLINK("https://klasma.github.io/Logging_1452/karta/A 8098-2022 karta.png", "A 8098-2022")</f>
        <v/>
      </c>
      <c r="V434">
        <f>HYPERLINK("https://klasma.github.io/Logging_1452/klagomål/A 8098-2022 klagomål.docx", "A 8098-2022")</f>
        <v/>
      </c>
      <c r="W434">
        <f>HYPERLINK("https://klasma.github.io/Logging_1452/klagomålsmail/A 8098-2022 klagomålsmail.docx", "A 8098-2022")</f>
        <v/>
      </c>
      <c r="X434">
        <f>HYPERLINK("https://klasma.github.io/Logging_1452/tillsyn/A 8098-2022 tillsyn.docx", "A 8098-2022")</f>
        <v/>
      </c>
      <c r="Y434">
        <f>HYPERLINK("https://klasma.github.io/Logging_1452/tillsynsmail/A 8098-2022 tillsynsmail.docx", "A 8098-2022")</f>
        <v/>
      </c>
    </row>
    <row r="435" ht="15" customHeight="1">
      <c r="A435" t="inlineStr">
        <is>
          <t>A 8266-2022</t>
        </is>
      </c>
      <c r="B435" s="1" t="n">
        <v>44610</v>
      </c>
      <c r="C435" s="1" t="n">
        <v>45212</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HYPERLINK("https://klasma.github.io/Logging_1473/artfynd/A 8266-2022 artfynd.xlsx", "A 8266-2022")</f>
        <v/>
      </c>
      <c r="T435">
        <f>HYPERLINK("https://klasma.github.io/Logging_1473/karta/A 8266-2022 karta.png", "A 8266-2022")</f>
        <v/>
      </c>
      <c r="V435">
        <f>HYPERLINK("https://klasma.github.io/Logging_1473/klagomål/A 8266-2022 klagomål.docx", "A 8266-2022")</f>
        <v/>
      </c>
      <c r="W435">
        <f>HYPERLINK("https://klasma.github.io/Logging_1473/klagomålsmail/A 8266-2022 klagomålsmail.docx", "A 8266-2022")</f>
        <v/>
      </c>
      <c r="X435">
        <f>HYPERLINK("https://klasma.github.io/Logging_1473/tillsyn/A 8266-2022 tillsyn.docx", "A 8266-2022")</f>
        <v/>
      </c>
      <c r="Y435">
        <f>HYPERLINK("https://klasma.github.io/Logging_1473/tillsynsmail/A 8266-2022 tillsynsmail.docx", "A 8266-2022")</f>
        <v/>
      </c>
    </row>
    <row r="436" ht="15" customHeight="1">
      <c r="A436" t="inlineStr">
        <is>
          <t>A 8701-2022</t>
        </is>
      </c>
      <c r="B436" s="1" t="n">
        <v>44613</v>
      </c>
      <c r="C436" s="1" t="n">
        <v>45212</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HYPERLINK("https://klasma.github.io/Logging_1465/artfynd/A 8701-2022 artfynd.xlsx", "A 8701-2022")</f>
        <v/>
      </c>
      <c r="T436">
        <f>HYPERLINK("https://klasma.github.io/Logging_1465/karta/A 8701-2022 karta.png", "A 8701-2022")</f>
        <v/>
      </c>
      <c r="V436">
        <f>HYPERLINK("https://klasma.github.io/Logging_1465/klagomål/A 8701-2022 klagomål.docx", "A 8701-2022")</f>
        <v/>
      </c>
      <c r="W436">
        <f>HYPERLINK("https://klasma.github.io/Logging_1465/klagomålsmail/A 8701-2022 klagomålsmail.docx", "A 8701-2022")</f>
        <v/>
      </c>
      <c r="X436">
        <f>HYPERLINK("https://klasma.github.io/Logging_1465/tillsyn/A 8701-2022 tillsyn.docx", "A 8701-2022")</f>
        <v/>
      </c>
      <c r="Y436">
        <f>HYPERLINK("https://klasma.github.io/Logging_1465/tillsynsmail/A 8701-2022 tillsynsmail.docx", "A 8701-2022")</f>
        <v/>
      </c>
    </row>
    <row r="437" ht="15" customHeight="1">
      <c r="A437" t="inlineStr">
        <is>
          <t>A 8697-2022</t>
        </is>
      </c>
      <c r="B437" s="1" t="n">
        <v>44613</v>
      </c>
      <c r="C437" s="1" t="n">
        <v>45212</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HYPERLINK("https://klasma.github.io/Logging_1465/artfynd/A 8697-2022 artfynd.xlsx", "A 8697-2022")</f>
        <v/>
      </c>
      <c r="T437">
        <f>HYPERLINK("https://klasma.github.io/Logging_1465/karta/A 8697-2022 karta.png", "A 8697-2022")</f>
        <v/>
      </c>
      <c r="V437">
        <f>HYPERLINK("https://klasma.github.io/Logging_1465/klagomål/A 8697-2022 klagomål.docx", "A 8697-2022")</f>
        <v/>
      </c>
      <c r="W437">
        <f>HYPERLINK("https://klasma.github.io/Logging_1465/klagomålsmail/A 8697-2022 klagomålsmail.docx", "A 8697-2022")</f>
        <v/>
      </c>
      <c r="X437">
        <f>HYPERLINK("https://klasma.github.io/Logging_1465/tillsyn/A 8697-2022 tillsyn.docx", "A 8697-2022")</f>
        <v/>
      </c>
      <c r="Y437">
        <f>HYPERLINK("https://klasma.github.io/Logging_1465/tillsynsmail/A 8697-2022 tillsynsmail.docx", "A 8697-2022")</f>
        <v/>
      </c>
    </row>
    <row r="438" ht="15" customHeight="1">
      <c r="A438" t="inlineStr">
        <is>
          <t>A 13277-2022</t>
        </is>
      </c>
      <c r="B438" s="1" t="n">
        <v>44644</v>
      </c>
      <c r="C438" s="1" t="n">
        <v>45212</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HYPERLINK("https://klasma.github.io/Logging_1452/artfynd/A 13277-2022 artfynd.xlsx", "A 13277-2022")</f>
        <v/>
      </c>
      <c r="T438">
        <f>HYPERLINK("https://klasma.github.io/Logging_1452/karta/A 13277-2022 karta.png", "A 13277-2022")</f>
        <v/>
      </c>
      <c r="V438">
        <f>HYPERLINK("https://klasma.github.io/Logging_1452/klagomål/A 13277-2022 klagomål.docx", "A 13277-2022")</f>
        <v/>
      </c>
      <c r="W438">
        <f>HYPERLINK("https://klasma.github.io/Logging_1452/klagomålsmail/A 13277-2022 klagomålsmail.docx", "A 13277-2022")</f>
        <v/>
      </c>
      <c r="X438">
        <f>HYPERLINK("https://klasma.github.io/Logging_1452/tillsyn/A 13277-2022 tillsyn.docx", "A 13277-2022")</f>
        <v/>
      </c>
      <c r="Y438">
        <f>HYPERLINK("https://klasma.github.io/Logging_1452/tillsynsmail/A 13277-2022 tillsynsmail.docx", "A 13277-2022")</f>
        <v/>
      </c>
    </row>
    <row r="439" ht="15" customHeight="1">
      <c r="A439" t="inlineStr">
        <is>
          <t>A 13606-2022</t>
        </is>
      </c>
      <c r="B439" s="1" t="n">
        <v>44648</v>
      </c>
      <c r="C439" s="1" t="n">
        <v>45212</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HYPERLINK("https://klasma.github.io/Logging_1493/artfynd/A 13606-2022 artfynd.xlsx", "A 13606-2022")</f>
        <v/>
      </c>
      <c r="T439">
        <f>HYPERLINK("https://klasma.github.io/Logging_1493/karta/A 13606-2022 karta.png", "A 13606-2022")</f>
        <v/>
      </c>
      <c r="V439">
        <f>HYPERLINK("https://klasma.github.io/Logging_1493/klagomål/A 13606-2022 klagomål.docx", "A 13606-2022")</f>
        <v/>
      </c>
      <c r="W439">
        <f>HYPERLINK("https://klasma.github.io/Logging_1493/klagomålsmail/A 13606-2022 klagomålsmail.docx", "A 13606-2022")</f>
        <v/>
      </c>
      <c r="X439">
        <f>HYPERLINK("https://klasma.github.io/Logging_1493/tillsyn/A 13606-2022 tillsyn.docx", "A 13606-2022")</f>
        <v/>
      </c>
      <c r="Y439">
        <f>HYPERLINK("https://klasma.github.io/Logging_1493/tillsynsmail/A 13606-2022 tillsynsmail.docx", "A 13606-2022")</f>
        <v/>
      </c>
    </row>
    <row r="440" ht="15" customHeight="1">
      <c r="A440" t="inlineStr">
        <is>
          <t>A 14487-2022</t>
        </is>
      </c>
      <c r="B440" s="1" t="n">
        <v>44652</v>
      </c>
      <c r="C440" s="1" t="n">
        <v>45212</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HYPERLINK("https://klasma.github.io/Logging_1496/artfynd/A 14487-2022 artfynd.xlsx", "A 14487-2022")</f>
        <v/>
      </c>
      <c r="T440">
        <f>HYPERLINK("https://klasma.github.io/Logging_1496/karta/A 14487-2022 karta.png", "A 14487-2022")</f>
        <v/>
      </c>
      <c r="V440">
        <f>HYPERLINK("https://klasma.github.io/Logging_1496/klagomål/A 14487-2022 klagomål.docx", "A 14487-2022")</f>
        <v/>
      </c>
      <c r="W440">
        <f>HYPERLINK("https://klasma.github.io/Logging_1496/klagomålsmail/A 14487-2022 klagomålsmail.docx", "A 14487-2022")</f>
        <v/>
      </c>
      <c r="X440">
        <f>HYPERLINK("https://klasma.github.io/Logging_1496/tillsyn/A 14487-2022 tillsyn.docx", "A 14487-2022")</f>
        <v/>
      </c>
      <c r="Y440">
        <f>HYPERLINK("https://klasma.github.io/Logging_1496/tillsynsmail/A 14487-2022 tillsynsmail.docx", "A 14487-2022")</f>
        <v/>
      </c>
    </row>
    <row r="441" ht="15" customHeight="1">
      <c r="A441" t="inlineStr">
        <is>
          <t>A 18264-2022</t>
        </is>
      </c>
      <c r="B441" s="1" t="n">
        <v>44685</v>
      </c>
      <c r="C441" s="1" t="n">
        <v>45212</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HYPERLINK("https://klasma.github.io/Logging_1488/artfynd/A 18264-2022 artfynd.xlsx", "A 18264-2022")</f>
        <v/>
      </c>
      <c r="T441">
        <f>HYPERLINK("https://klasma.github.io/Logging_1488/karta/A 18264-2022 karta.png", "A 18264-2022")</f>
        <v/>
      </c>
      <c r="U441">
        <f>HYPERLINK("https://klasma.github.io/Logging_1488/knärot/A 18264-2022 knärot.png", "A 18264-2022")</f>
        <v/>
      </c>
      <c r="V441">
        <f>HYPERLINK("https://klasma.github.io/Logging_1488/klagomål/A 18264-2022 klagomål.docx", "A 18264-2022")</f>
        <v/>
      </c>
      <c r="W441">
        <f>HYPERLINK("https://klasma.github.io/Logging_1488/klagomålsmail/A 18264-2022 klagomålsmail.docx", "A 18264-2022")</f>
        <v/>
      </c>
      <c r="X441">
        <f>HYPERLINK("https://klasma.github.io/Logging_1488/tillsyn/A 18264-2022 tillsyn.docx", "A 18264-2022")</f>
        <v/>
      </c>
      <c r="Y441">
        <f>HYPERLINK("https://klasma.github.io/Logging_1488/tillsynsmail/A 18264-2022 tillsynsmail.docx", "A 18264-2022")</f>
        <v/>
      </c>
    </row>
    <row r="442" ht="15" customHeight="1">
      <c r="A442" t="inlineStr">
        <is>
          <t>A 18959-2022</t>
        </is>
      </c>
      <c r="B442" s="1" t="n">
        <v>44690</v>
      </c>
      <c r="C442" s="1" t="n">
        <v>45212</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HYPERLINK("https://klasma.github.io/Logging_1491/artfynd/A 18959-2022 artfynd.xlsx", "A 18959-2022")</f>
        <v/>
      </c>
      <c r="T442">
        <f>HYPERLINK("https://klasma.github.io/Logging_1491/karta/A 18959-2022 karta.png", "A 18959-2022")</f>
        <v/>
      </c>
      <c r="V442">
        <f>HYPERLINK("https://klasma.github.io/Logging_1491/klagomål/A 18959-2022 klagomål.docx", "A 18959-2022")</f>
        <v/>
      </c>
      <c r="W442">
        <f>HYPERLINK("https://klasma.github.io/Logging_1491/klagomålsmail/A 18959-2022 klagomålsmail.docx", "A 18959-2022")</f>
        <v/>
      </c>
      <c r="X442">
        <f>HYPERLINK("https://klasma.github.io/Logging_1491/tillsyn/A 18959-2022 tillsyn.docx", "A 18959-2022")</f>
        <v/>
      </c>
      <c r="Y442">
        <f>HYPERLINK("https://klasma.github.io/Logging_1491/tillsynsmail/A 18959-2022 tillsynsmail.docx", "A 18959-2022")</f>
        <v/>
      </c>
    </row>
    <row r="443" ht="15" customHeight="1">
      <c r="A443" t="inlineStr">
        <is>
          <t>A 20640-2022</t>
        </is>
      </c>
      <c r="B443" s="1" t="n">
        <v>44700</v>
      </c>
      <c r="C443" s="1" t="n">
        <v>45212</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HYPERLINK("https://klasma.github.io/Logging_1401/artfynd/A 20640-2022 artfynd.xlsx", "A 20640-2022")</f>
        <v/>
      </c>
      <c r="T443">
        <f>HYPERLINK("https://klasma.github.io/Logging_1401/karta/A 20640-2022 karta.png", "A 20640-2022")</f>
        <v/>
      </c>
      <c r="V443">
        <f>HYPERLINK("https://klasma.github.io/Logging_1401/klagomål/A 20640-2022 klagomål.docx", "A 20640-2022")</f>
        <v/>
      </c>
      <c r="W443">
        <f>HYPERLINK("https://klasma.github.io/Logging_1401/klagomålsmail/A 20640-2022 klagomålsmail.docx", "A 20640-2022")</f>
        <v/>
      </c>
      <c r="X443">
        <f>HYPERLINK("https://klasma.github.io/Logging_1401/tillsyn/A 20640-2022 tillsyn.docx", "A 20640-2022")</f>
        <v/>
      </c>
      <c r="Y443">
        <f>HYPERLINK("https://klasma.github.io/Logging_1401/tillsynsmail/A 20640-2022 tillsynsmail.docx", "A 20640-2022")</f>
        <v/>
      </c>
    </row>
    <row r="444" ht="15" customHeight="1">
      <c r="A444" t="inlineStr">
        <is>
          <t>A 23151-2022</t>
        </is>
      </c>
      <c r="B444" s="1" t="n">
        <v>44719</v>
      </c>
      <c r="C444" s="1" t="n">
        <v>45212</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HYPERLINK("https://klasma.github.io/Logging_1435/artfynd/A 23151-2022 artfynd.xlsx", "A 23151-2022")</f>
        <v/>
      </c>
      <c r="T444">
        <f>HYPERLINK("https://klasma.github.io/Logging_1435/karta/A 23151-2022 karta.png", "A 23151-2022")</f>
        <v/>
      </c>
      <c r="V444">
        <f>HYPERLINK("https://klasma.github.io/Logging_1435/klagomål/A 23151-2022 klagomål.docx", "A 23151-2022")</f>
        <v/>
      </c>
      <c r="W444">
        <f>HYPERLINK("https://klasma.github.io/Logging_1435/klagomålsmail/A 23151-2022 klagomålsmail.docx", "A 23151-2022")</f>
        <v/>
      </c>
      <c r="X444">
        <f>HYPERLINK("https://klasma.github.io/Logging_1435/tillsyn/A 23151-2022 tillsyn.docx", "A 23151-2022")</f>
        <v/>
      </c>
      <c r="Y444">
        <f>HYPERLINK("https://klasma.github.io/Logging_1435/tillsynsmail/A 23151-2022 tillsynsmail.docx", "A 23151-2022")</f>
        <v/>
      </c>
    </row>
    <row r="445" ht="15" customHeight="1">
      <c r="A445" t="inlineStr">
        <is>
          <t>A 25467-2022</t>
        </is>
      </c>
      <c r="B445" s="1" t="n">
        <v>44732</v>
      </c>
      <c r="C445" s="1" t="n">
        <v>45212</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HYPERLINK("https://klasma.github.io/Logging_1452/artfynd/A 25467-2022 artfynd.xlsx", "A 25467-2022")</f>
        <v/>
      </c>
      <c r="T445">
        <f>HYPERLINK("https://klasma.github.io/Logging_1452/karta/A 25467-2022 karta.png", "A 25467-2022")</f>
        <v/>
      </c>
      <c r="V445">
        <f>HYPERLINK("https://klasma.github.io/Logging_1452/klagomål/A 25467-2022 klagomål.docx", "A 25467-2022")</f>
        <v/>
      </c>
      <c r="W445">
        <f>HYPERLINK("https://klasma.github.io/Logging_1452/klagomålsmail/A 25467-2022 klagomålsmail.docx", "A 25467-2022")</f>
        <v/>
      </c>
      <c r="X445">
        <f>HYPERLINK("https://klasma.github.io/Logging_1452/tillsyn/A 25467-2022 tillsyn.docx", "A 25467-2022")</f>
        <v/>
      </c>
      <c r="Y445">
        <f>HYPERLINK("https://klasma.github.io/Logging_1452/tillsynsmail/A 25467-2022 tillsynsmail.docx", "A 25467-2022")</f>
        <v/>
      </c>
    </row>
    <row r="446" ht="15" customHeight="1">
      <c r="A446" t="inlineStr">
        <is>
          <t>A 25806-2022</t>
        </is>
      </c>
      <c r="B446" s="1" t="n">
        <v>44733</v>
      </c>
      <c r="C446" s="1" t="n">
        <v>45212</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HYPERLINK("https://klasma.github.io/Logging_1485/artfynd/A 25806-2022 artfynd.xlsx", "A 25806-2022")</f>
        <v/>
      </c>
      <c r="T446">
        <f>HYPERLINK("https://klasma.github.io/Logging_1485/karta/A 25806-2022 karta.png", "A 25806-2022")</f>
        <v/>
      </c>
      <c r="V446">
        <f>HYPERLINK("https://klasma.github.io/Logging_1485/klagomål/A 25806-2022 klagomål.docx", "A 25806-2022")</f>
        <v/>
      </c>
      <c r="W446">
        <f>HYPERLINK("https://klasma.github.io/Logging_1485/klagomålsmail/A 25806-2022 klagomålsmail.docx", "A 25806-2022")</f>
        <v/>
      </c>
      <c r="X446">
        <f>HYPERLINK("https://klasma.github.io/Logging_1485/tillsyn/A 25806-2022 tillsyn.docx", "A 25806-2022")</f>
        <v/>
      </c>
      <c r="Y446">
        <f>HYPERLINK("https://klasma.github.io/Logging_1485/tillsynsmail/A 25806-2022 tillsynsmail.docx", "A 25806-2022")</f>
        <v/>
      </c>
    </row>
    <row r="447" ht="15" customHeight="1">
      <c r="A447" t="inlineStr">
        <is>
          <t>A 26040-2022</t>
        </is>
      </c>
      <c r="B447" s="1" t="n">
        <v>44734</v>
      </c>
      <c r="C447" s="1" t="n">
        <v>45212</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HYPERLINK("https://klasma.github.io/Logging_1430/artfynd/A 26040-2022 artfynd.xlsx", "A 26040-2022")</f>
        <v/>
      </c>
      <c r="T447">
        <f>HYPERLINK("https://klasma.github.io/Logging_1430/karta/A 26040-2022 karta.png", "A 26040-2022")</f>
        <v/>
      </c>
      <c r="V447">
        <f>HYPERLINK("https://klasma.github.io/Logging_1430/klagomål/A 26040-2022 klagomål.docx", "A 26040-2022")</f>
        <v/>
      </c>
      <c r="W447">
        <f>HYPERLINK("https://klasma.github.io/Logging_1430/klagomålsmail/A 26040-2022 klagomålsmail.docx", "A 26040-2022")</f>
        <v/>
      </c>
      <c r="X447">
        <f>HYPERLINK("https://klasma.github.io/Logging_1430/tillsyn/A 26040-2022 tillsyn.docx", "A 26040-2022")</f>
        <v/>
      </c>
      <c r="Y447">
        <f>HYPERLINK("https://klasma.github.io/Logging_1430/tillsynsmail/A 26040-2022 tillsynsmail.docx", "A 26040-2022")</f>
        <v/>
      </c>
    </row>
    <row r="448" ht="15" customHeight="1">
      <c r="A448" t="inlineStr">
        <is>
          <t>A 26867-2022</t>
        </is>
      </c>
      <c r="B448" s="1" t="n">
        <v>44740</v>
      </c>
      <c r="C448" s="1" t="n">
        <v>45212</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HYPERLINK("https://klasma.github.io/Logging_1460/artfynd/A 26867-2022 artfynd.xlsx", "A 26867-2022")</f>
        <v/>
      </c>
      <c r="T448">
        <f>HYPERLINK("https://klasma.github.io/Logging_1460/karta/A 26867-2022 karta.png", "A 26867-2022")</f>
        <v/>
      </c>
      <c r="V448">
        <f>HYPERLINK("https://klasma.github.io/Logging_1460/klagomål/A 26867-2022 klagomål.docx", "A 26867-2022")</f>
        <v/>
      </c>
      <c r="W448">
        <f>HYPERLINK("https://klasma.github.io/Logging_1460/klagomålsmail/A 26867-2022 klagomålsmail.docx", "A 26867-2022")</f>
        <v/>
      </c>
      <c r="X448">
        <f>HYPERLINK("https://klasma.github.io/Logging_1460/tillsyn/A 26867-2022 tillsyn.docx", "A 26867-2022")</f>
        <v/>
      </c>
      <c r="Y448">
        <f>HYPERLINK("https://klasma.github.io/Logging_1460/tillsynsmail/A 26867-2022 tillsynsmail.docx", "A 26867-2022")</f>
        <v/>
      </c>
    </row>
    <row r="449" ht="15" customHeight="1">
      <c r="A449" t="inlineStr">
        <is>
          <t>A 29215-2022</t>
        </is>
      </c>
      <c r="B449" s="1" t="n">
        <v>44750</v>
      </c>
      <c r="C449" s="1" t="n">
        <v>45212</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HYPERLINK("https://klasma.github.io/Logging_1460/artfynd/A 29215-2022 artfynd.xlsx", "A 29215-2022")</f>
        <v/>
      </c>
      <c r="T449">
        <f>HYPERLINK("https://klasma.github.io/Logging_1460/karta/A 29215-2022 karta.png", "A 29215-2022")</f>
        <v/>
      </c>
      <c r="V449">
        <f>HYPERLINK("https://klasma.github.io/Logging_1460/klagomål/A 29215-2022 klagomål.docx", "A 29215-2022")</f>
        <v/>
      </c>
      <c r="W449">
        <f>HYPERLINK("https://klasma.github.io/Logging_1460/klagomålsmail/A 29215-2022 klagomålsmail.docx", "A 29215-2022")</f>
        <v/>
      </c>
      <c r="X449">
        <f>HYPERLINK("https://klasma.github.io/Logging_1460/tillsyn/A 29215-2022 tillsyn.docx", "A 29215-2022")</f>
        <v/>
      </c>
      <c r="Y449">
        <f>HYPERLINK("https://klasma.github.io/Logging_1460/tillsynsmail/A 29215-2022 tillsynsmail.docx", "A 29215-2022")</f>
        <v/>
      </c>
    </row>
    <row r="450" ht="15" customHeight="1">
      <c r="A450" t="inlineStr">
        <is>
          <t>A 29376-2022</t>
        </is>
      </c>
      <c r="B450" s="1" t="n">
        <v>44753</v>
      </c>
      <c r="C450" s="1" t="n">
        <v>45212</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HYPERLINK("https://klasma.github.io/Logging_1487/artfynd/A 29376-2022 artfynd.xlsx", "A 29376-2022")</f>
        <v/>
      </c>
      <c r="T450">
        <f>HYPERLINK("https://klasma.github.io/Logging_1487/karta/A 29376-2022 karta.png", "A 29376-2022")</f>
        <v/>
      </c>
      <c r="V450">
        <f>HYPERLINK("https://klasma.github.io/Logging_1487/klagomål/A 29376-2022 klagomål.docx", "A 29376-2022")</f>
        <v/>
      </c>
      <c r="W450">
        <f>HYPERLINK("https://klasma.github.io/Logging_1487/klagomålsmail/A 29376-2022 klagomålsmail.docx", "A 29376-2022")</f>
        <v/>
      </c>
      <c r="X450">
        <f>HYPERLINK("https://klasma.github.io/Logging_1487/tillsyn/A 29376-2022 tillsyn.docx", "A 29376-2022")</f>
        <v/>
      </c>
      <c r="Y450">
        <f>HYPERLINK("https://klasma.github.io/Logging_1487/tillsynsmail/A 29376-2022 tillsynsmail.docx", "A 29376-2022")</f>
        <v/>
      </c>
    </row>
    <row r="451" ht="15" customHeight="1">
      <c r="A451" t="inlineStr">
        <is>
          <t>A 29369-2022</t>
        </is>
      </c>
      <c r="B451" s="1" t="n">
        <v>44753</v>
      </c>
      <c r="C451" s="1" t="n">
        <v>45212</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HYPERLINK("https://klasma.github.io/Logging_1487/artfynd/A 29369-2022 artfynd.xlsx", "A 29369-2022")</f>
        <v/>
      </c>
      <c r="T451">
        <f>HYPERLINK("https://klasma.github.io/Logging_1487/karta/A 29369-2022 karta.png", "A 29369-2022")</f>
        <v/>
      </c>
      <c r="V451">
        <f>HYPERLINK("https://klasma.github.io/Logging_1487/klagomål/A 29369-2022 klagomål.docx", "A 29369-2022")</f>
        <v/>
      </c>
      <c r="W451">
        <f>HYPERLINK("https://klasma.github.io/Logging_1487/klagomålsmail/A 29369-2022 klagomålsmail.docx", "A 29369-2022")</f>
        <v/>
      </c>
      <c r="X451">
        <f>HYPERLINK("https://klasma.github.io/Logging_1487/tillsyn/A 29369-2022 tillsyn.docx", "A 29369-2022")</f>
        <v/>
      </c>
      <c r="Y451">
        <f>HYPERLINK("https://klasma.github.io/Logging_1487/tillsynsmail/A 29369-2022 tillsynsmail.docx", "A 29369-2022")</f>
        <v/>
      </c>
    </row>
    <row r="452" ht="15" customHeight="1">
      <c r="A452" t="inlineStr">
        <is>
          <t>A 29375-2022</t>
        </is>
      </c>
      <c r="B452" s="1" t="n">
        <v>44753</v>
      </c>
      <c r="C452" s="1" t="n">
        <v>45212</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HYPERLINK("https://klasma.github.io/Logging_1487/artfynd/A 29375-2022 artfynd.xlsx", "A 29375-2022")</f>
        <v/>
      </c>
      <c r="T452">
        <f>HYPERLINK("https://klasma.github.io/Logging_1487/karta/A 29375-2022 karta.png", "A 29375-2022")</f>
        <v/>
      </c>
      <c r="V452">
        <f>HYPERLINK("https://klasma.github.io/Logging_1487/klagomål/A 29375-2022 klagomål.docx", "A 29375-2022")</f>
        <v/>
      </c>
      <c r="W452">
        <f>HYPERLINK("https://klasma.github.io/Logging_1487/klagomålsmail/A 29375-2022 klagomålsmail.docx", "A 29375-2022")</f>
        <v/>
      </c>
      <c r="X452">
        <f>HYPERLINK("https://klasma.github.io/Logging_1487/tillsyn/A 29375-2022 tillsyn.docx", "A 29375-2022")</f>
        <v/>
      </c>
      <c r="Y452">
        <f>HYPERLINK("https://klasma.github.io/Logging_1487/tillsynsmail/A 29375-2022 tillsynsmail.docx", "A 29375-2022")</f>
        <v/>
      </c>
    </row>
    <row r="453" ht="15" customHeight="1">
      <c r="A453" t="inlineStr">
        <is>
          <t>A 29725-2022</t>
        </is>
      </c>
      <c r="B453" s="1" t="n">
        <v>44755</v>
      </c>
      <c r="C453" s="1" t="n">
        <v>45212</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HYPERLINK("https://klasma.github.io/Logging_1472/artfynd/A 29725-2022 artfynd.xlsx", "A 29725-2022")</f>
        <v/>
      </c>
      <c r="T453">
        <f>HYPERLINK("https://klasma.github.io/Logging_1472/karta/A 29725-2022 karta.png", "A 29725-2022")</f>
        <v/>
      </c>
      <c r="U453">
        <f>HYPERLINK("https://klasma.github.io/Logging_1472/knärot/A 29725-2022 knärot.png", "A 29725-2022")</f>
        <v/>
      </c>
      <c r="V453">
        <f>HYPERLINK("https://klasma.github.io/Logging_1472/klagomål/A 29725-2022 klagomål.docx", "A 29725-2022")</f>
        <v/>
      </c>
      <c r="W453">
        <f>HYPERLINK("https://klasma.github.io/Logging_1472/klagomålsmail/A 29725-2022 klagomålsmail.docx", "A 29725-2022")</f>
        <v/>
      </c>
      <c r="X453">
        <f>HYPERLINK("https://klasma.github.io/Logging_1472/tillsyn/A 29725-2022 tillsyn.docx", "A 29725-2022")</f>
        <v/>
      </c>
      <c r="Y453">
        <f>HYPERLINK("https://klasma.github.io/Logging_1472/tillsynsmail/A 29725-2022 tillsynsmail.docx", "A 29725-2022")</f>
        <v/>
      </c>
    </row>
    <row r="454" ht="15" customHeight="1">
      <c r="A454" t="inlineStr">
        <is>
          <t>A 30273-2022</t>
        </is>
      </c>
      <c r="B454" s="1" t="n">
        <v>44759</v>
      </c>
      <c r="C454" s="1" t="n">
        <v>45212</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HYPERLINK("https://klasma.github.io/Logging_1462/artfynd/A 30273-2022 artfynd.xlsx", "A 30273-2022")</f>
        <v/>
      </c>
      <c r="T454">
        <f>HYPERLINK("https://klasma.github.io/Logging_1462/karta/A 30273-2022 karta.png", "A 30273-2022")</f>
        <v/>
      </c>
      <c r="V454">
        <f>HYPERLINK("https://klasma.github.io/Logging_1462/klagomål/A 30273-2022 klagomål.docx", "A 30273-2022")</f>
        <v/>
      </c>
      <c r="W454">
        <f>HYPERLINK("https://klasma.github.io/Logging_1462/klagomålsmail/A 30273-2022 klagomålsmail.docx", "A 30273-2022")</f>
        <v/>
      </c>
      <c r="X454">
        <f>HYPERLINK("https://klasma.github.io/Logging_1462/tillsyn/A 30273-2022 tillsyn.docx", "A 30273-2022")</f>
        <v/>
      </c>
      <c r="Y454">
        <f>HYPERLINK("https://klasma.github.io/Logging_1462/tillsynsmail/A 30273-2022 tillsynsmail.docx", "A 30273-2022")</f>
        <v/>
      </c>
    </row>
    <row r="455" ht="15" customHeight="1">
      <c r="A455" t="inlineStr">
        <is>
          <t>A 30771-2022</t>
        </is>
      </c>
      <c r="B455" s="1" t="n">
        <v>44764</v>
      </c>
      <c r="C455" s="1" t="n">
        <v>45212</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HYPERLINK("https://klasma.github.io/Logging_1465/artfynd/A 30771-2022 artfynd.xlsx", "A 30771-2022")</f>
        <v/>
      </c>
      <c r="T455">
        <f>HYPERLINK("https://klasma.github.io/Logging_1465/karta/A 30771-2022 karta.png", "A 30771-2022")</f>
        <v/>
      </c>
      <c r="V455">
        <f>HYPERLINK("https://klasma.github.io/Logging_1465/klagomål/A 30771-2022 klagomål.docx", "A 30771-2022")</f>
        <v/>
      </c>
      <c r="W455">
        <f>HYPERLINK("https://klasma.github.io/Logging_1465/klagomålsmail/A 30771-2022 klagomålsmail.docx", "A 30771-2022")</f>
        <v/>
      </c>
      <c r="X455">
        <f>HYPERLINK("https://klasma.github.io/Logging_1465/tillsyn/A 30771-2022 tillsyn.docx", "A 30771-2022")</f>
        <v/>
      </c>
      <c r="Y455">
        <f>HYPERLINK("https://klasma.github.io/Logging_1465/tillsynsmail/A 30771-2022 tillsynsmail.docx", "A 30771-2022")</f>
        <v/>
      </c>
    </row>
    <row r="456" ht="15" customHeight="1">
      <c r="A456" t="inlineStr">
        <is>
          <t>A 34381-2022</t>
        </is>
      </c>
      <c r="B456" s="1" t="n">
        <v>44792</v>
      </c>
      <c r="C456" s="1" t="n">
        <v>45212</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HYPERLINK("https://klasma.github.io/Logging_1487/artfynd/A 34381-2022 artfynd.xlsx", "A 34381-2022")</f>
        <v/>
      </c>
      <c r="T456">
        <f>HYPERLINK("https://klasma.github.io/Logging_1487/karta/A 34381-2022 karta.png", "A 34381-2022")</f>
        <v/>
      </c>
      <c r="V456">
        <f>HYPERLINK("https://klasma.github.io/Logging_1487/klagomål/A 34381-2022 klagomål.docx", "A 34381-2022")</f>
        <v/>
      </c>
      <c r="W456">
        <f>HYPERLINK("https://klasma.github.io/Logging_1487/klagomålsmail/A 34381-2022 klagomålsmail.docx", "A 34381-2022")</f>
        <v/>
      </c>
      <c r="X456">
        <f>HYPERLINK("https://klasma.github.io/Logging_1487/tillsyn/A 34381-2022 tillsyn.docx", "A 34381-2022")</f>
        <v/>
      </c>
      <c r="Y456">
        <f>HYPERLINK("https://klasma.github.io/Logging_1487/tillsynsmail/A 34381-2022 tillsynsmail.docx", "A 34381-2022")</f>
        <v/>
      </c>
    </row>
    <row r="457" ht="15" customHeight="1">
      <c r="A457" t="inlineStr">
        <is>
          <t>A 34918-2022</t>
        </is>
      </c>
      <c r="B457" s="1" t="n">
        <v>44796</v>
      </c>
      <c r="C457" s="1" t="n">
        <v>45212</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HYPERLINK("https://klasma.github.io/Logging_1470/artfynd/A 34918-2022 artfynd.xlsx", "A 34918-2022")</f>
        <v/>
      </c>
      <c r="T457">
        <f>HYPERLINK("https://klasma.github.io/Logging_1470/karta/A 34918-2022 karta.png", "A 34918-2022")</f>
        <v/>
      </c>
      <c r="V457">
        <f>HYPERLINK("https://klasma.github.io/Logging_1470/klagomål/A 34918-2022 klagomål.docx", "A 34918-2022")</f>
        <v/>
      </c>
      <c r="W457">
        <f>HYPERLINK("https://klasma.github.io/Logging_1470/klagomålsmail/A 34918-2022 klagomålsmail.docx", "A 34918-2022")</f>
        <v/>
      </c>
      <c r="X457">
        <f>HYPERLINK("https://klasma.github.io/Logging_1470/tillsyn/A 34918-2022 tillsyn.docx", "A 34918-2022")</f>
        <v/>
      </c>
      <c r="Y457">
        <f>HYPERLINK("https://klasma.github.io/Logging_1470/tillsynsmail/A 34918-2022 tillsynsmail.docx", "A 34918-2022")</f>
        <v/>
      </c>
    </row>
    <row r="458" ht="15" customHeight="1">
      <c r="A458" t="inlineStr">
        <is>
          <t>A 35454-2022</t>
        </is>
      </c>
      <c r="B458" s="1" t="n">
        <v>44798</v>
      </c>
      <c r="C458" s="1" t="n">
        <v>45212</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HYPERLINK("https://klasma.github.io/Logging_1461/artfynd/A 35454-2022 artfynd.xlsx", "A 35454-2022")</f>
        <v/>
      </c>
      <c r="T458">
        <f>HYPERLINK("https://klasma.github.io/Logging_1461/karta/A 35454-2022 karta.png", "A 35454-2022")</f>
        <v/>
      </c>
      <c r="V458">
        <f>HYPERLINK("https://klasma.github.io/Logging_1461/klagomål/A 35454-2022 klagomål.docx", "A 35454-2022")</f>
        <v/>
      </c>
      <c r="W458">
        <f>HYPERLINK("https://klasma.github.io/Logging_1461/klagomålsmail/A 35454-2022 klagomålsmail.docx", "A 35454-2022")</f>
        <v/>
      </c>
      <c r="X458">
        <f>HYPERLINK("https://klasma.github.io/Logging_1461/tillsyn/A 35454-2022 tillsyn.docx", "A 35454-2022")</f>
        <v/>
      </c>
      <c r="Y458">
        <f>HYPERLINK("https://klasma.github.io/Logging_1461/tillsynsmail/A 35454-2022 tillsynsmail.docx", "A 35454-2022")</f>
        <v/>
      </c>
    </row>
    <row r="459" ht="15" customHeight="1">
      <c r="A459" t="inlineStr">
        <is>
          <t>A 36973-2022</t>
        </is>
      </c>
      <c r="B459" s="1" t="n">
        <v>44805</v>
      </c>
      <c r="C459" s="1" t="n">
        <v>45212</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HYPERLINK("https://klasma.github.io/Logging_1499/artfynd/A 36973-2022 artfynd.xlsx", "A 36973-2022")</f>
        <v/>
      </c>
      <c r="T459">
        <f>HYPERLINK("https://klasma.github.io/Logging_1499/karta/A 36973-2022 karta.png", "A 36973-2022")</f>
        <v/>
      </c>
      <c r="V459">
        <f>HYPERLINK("https://klasma.github.io/Logging_1499/klagomål/A 36973-2022 klagomål.docx", "A 36973-2022")</f>
        <v/>
      </c>
      <c r="W459">
        <f>HYPERLINK("https://klasma.github.io/Logging_1499/klagomålsmail/A 36973-2022 klagomålsmail.docx", "A 36973-2022")</f>
        <v/>
      </c>
      <c r="X459">
        <f>HYPERLINK("https://klasma.github.io/Logging_1499/tillsyn/A 36973-2022 tillsyn.docx", "A 36973-2022")</f>
        <v/>
      </c>
      <c r="Y459">
        <f>HYPERLINK("https://klasma.github.io/Logging_1499/tillsynsmail/A 36973-2022 tillsynsmail.docx", "A 36973-2022")</f>
        <v/>
      </c>
    </row>
    <row r="460" ht="15" customHeight="1">
      <c r="A460" t="inlineStr">
        <is>
          <t>A 37428-2022</t>
        </is>
      </c>
      <c r="B460" s="1" t="n">
        <v>44809</v>
      </c>
      <c r="C460" s="1" t="n">
        <v>45212</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HYPERLINK("https://klasma.github.io/Logging_1421/artfynd/A 37428-2022 artfynd.xlsx", "A 37428-2022")</f>
        <v/>
      </c>
      <c r="T460">
        <f>HYPERLINK("https://klasma.github.io/Logging_1421/karta/A 37428-2022 karta.png", "A 37428-2022")</f>
        <v/>
      </c>
      <c r="U460">
        <f>HYPERLINK("https://klasma.github.io/Logging_1421/knärot/A 37428-2022 knärot.png", "A 37428-2022")</f>
        <v/>
      </c>
      <c r="V460">
        <f>HYPERLINK("https://klasma.github.io/Logging_1421/klagomål/A 37428-2022 klagomål.docx", "A 37428-2022")</f>
        <v/>
      </c>
      <c r="W460">
        <f>HYPERLINK("https://klasma.github.io/Logging_1421/klagomålsmail/A 37428-2022 klagomålsmail.docx", "A 37428-2022")</f>
        <v/>
      </c>
      <c r="X460">
        <f>HYPERLINK("https://klasma.github.io/Logging_1421/tillsyn/A 37428-2022 tillsyn.docx", "A 37428-2022")</f>
        <v/>
      </c>
      <c r="Y460">
        <f>HYPERLINK("https://klasma.github.io/Logging_1421/tillsynsmail/A 37428-2022 tillsynsmail.docx", "A 37428-2022")</f>
        <v/>
      </c>
    </row>
    <row r="461" ht="15" customHeight="1">
      <c r="A461" t="inlineStr">
        <is>
          <t>A 39092-2022</t>
        </is>
      </c>
      <c r="B461" s="1" t="n">
        <v>44817</v>
      </c>
      <c r="C461" s="1" t="n">
        <v>45212</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HYPERLINK("https://klasma.github.io/Logging_1496/artfynd/A 39092-2022 artfynd.xlsx", "A 39092-2022")</f>
        <v/>
      </c>
      <c r="T461">
        <f>HYPERLINK("https://klasma.github.io/Logging_1496/karta/A 39092-2022 karta.png", "A 39092-2022")</f>
        <v/>
      </c>
      <c r="V461">
        <f>HYPERLINK("https://klasma.github.io/Logging_1496/klagomål/A 39092-2022 klagomål.docx", "A 39092-2022")</f>
        <v/>
      </c>
      <c r="W461">
        <f>HYPERLINK("https://klasma.github.io/Logging_1496/klagomålsmail/A 39092-2022 klagomålsmail.docx", "A 39092-2022")</f>
        <v/>
      </c>
      <c r="X461">
        <f>HYPERLINK("https://klasma.github.io/Logging_1496/tillsyn/A 39092-2022 tillsyn.docx", "A 39092-2022")</f>
        <v/>
      </c>
      <c r="Y461">
        <f>HYPERLINK("https://klasma.github.io/Logging_1496/tillsynsmail/A 39092-2022 tillsynsmail.docx", "A 39092-2022")</f>
        <v/>
      </c>
    </row>
    <row r="462" ht="15" customHeight="1">
      <c r="A462" t="inlineStr">
        <is>
          <t>A 40355-2022</t>
        </is>
      </c>
      <c r="B462" s="1" t="n">
        <v>44818</v>
      </c>
      <c r="C462" s="1" t="n">
        <v>45212</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HYPERLINK("https://klasma.github.io/Logging_1438/artfynd/A 40355-2022 artfynd.xlsx", "A 40355-2022")</f>
        <v/>
      </c>
      <c r="T462">
        <f>HYPERLINK("https://klasma.github.io/Logging_1438/karta/A 40355-2022 karta.png", "A 40355-2022")</f>
        <v/>
      </c>
      <c r="V462">
        <f>HYPERLINK("https://klasma.github.io/Logging_1438/klagomål/A 40355-2022 klagomål.docx", "A 40355-2022")</f>
        <v/>
      </c>
      <c r="W462">
        <f>HYPERLINK("https://klasma.github.io/Logging_1438/klagomålsmail/A 40355-2022 klagomålsmail.docx", "A 40355-2022")</f>
        <v/>
      </c>
      <c r="X462">
        <f>HYPERLINK("https://klasma.github.io/Logging_1438/tillsyn/A 40355-2022 tillsyn.docx", "A 40355-2022")</f>
        <v/>
      </c>
      <c r="Y462">
        <f>HYPERLINK("https://klasma.github.io/Logging_1438/tillsynsmail/A 40355-2022 tillsynsmail.docx", "A 40355-2022")</f>
        <v/>
      </c>
    </row>
    <row r="463" ht="15" customHeight="1">
      <c r="A463" t="inlineStr">
        <is>
          <t>A 41724-2022</t>
        </is>
      </c>
      <c r="B463" s="1" t="n">
        <v>44827</v>
      </c>
      <c r="C463" s="1" t="n">
        <v>45212</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HYPERLINK("https://klasma.github.io/Logging_1471/artfynd/A 41724-2022 artfynd.xlsx", "A 41724-2022")</f>
        <v/>
      </c>
      <c r="T463">
        <f>HYPERLINK("https://klasma.github.io/Logging_1471/karta/A 41724-2022 karta.png", "A 41724-2022")</f>
        <v/>
      </c>
      <c r="V463">
        <f>HYPERLINK("https://klasma.github.io/Logging_1471/klagomål/A 41724-2022 klagomål.docx", "A 41724-2022")</f>
        <v/>
      </c>
      <c r="W463">
        <f>HYPERLINK("https://klasma.github.io/Logging_1471/klagomålsmail/A 41724-2022 klagomålsmail.docx", "A 41724-2022")</f>
        <v/>
      </c>
      <c r="X463">
        <f>HYPERLINK("https://klasma.github.io/Logging_1471/tillsyn/A 41724-2022 tillsyn.docx", "A 41724-2022")</f>
        <v/>
      </c>
      <c r="Y463">
        <f>HYPERLINK("https://klasma.github.io/Logging_1471/tillsynsmail/A 41724-2022 tillsynsmail.docx", "A 41724-2022")</f>
        <v/>
      </c>
    </row>
    <row r="464" ht="15" customHeight="1">
      <c r="A464" t="inlineStr">
        <is>
          <t>A 42776-2022</t>
        </is>
      </c>
      <c r="B464" s="1" t="n">
        <v>44832</v>
      </c>
      <c r="C464" s="1" t="n">
        <v>45212</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HYPERLINK("https://klasma.github.io/Logging_1447/artfynd/A 42776-2022 artfynd.xlsx", "A 42776-2022")</f>
        <v/>
      </c>
      <c r="T464">
        <f>HYPERLINK("https://klasma.github.io/Logging_1447/karta/A 42776-2022 karta.png", "A 42776-2022")</f>
        <v/>
      </c>
      <c r="V464">
        <f>HYPERLINK("https://klasma.github.io/Logging_1447/klagomål/A 42776-2022 klagomål.docx", "A 42776-2022")</f>
        <v/>
      </c>
      <c r="W464">
        <f>HYPERLINK("https://klasma.github.io/Logging_1447/klagomålsmail/A 42776-2022 klagomålsmail.docx", "A 42776-2022")</f>
        <v/>
      </c>
      <c r="X464">
        <f>HYPERLINK("https://klasma.github.io/Logging_1447/tillsyn/A 42776-2022 tillsyn.docx", "A 42776-2022")</f>
        <v/>
      </c>
      <c r="Y464">
        <f>HYPERLINK("https://klasma.github.io/Logging_1447/tillsynsmail/A 42776-2022 tillsynsmail.docx", "A 42776-2022")</f>
        <v/>
      </c>
    </row>
    <row r="465" ht="15" customHeight="1">
      <c r="A465" t="inlineStr">
        <is>
          <t>A 43859-2022</t>
        </is>
      </c>
      <c r="B465" s="1" t="n">
        <v>44837</v>
      </c>
      <c r="C465" s="1" t="n">
        <v>45212</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HYPERLINK("https://klasma.github.io/Logging_1496/artfynd/A 43859-2022 artfynd.xlsx", "A 43859-2022")</f>
        <v/>
      </c>
      <c r="T465">
        <f>HYPERLINK("https://klasma.github.io/Logging_1496/karta/A 43859-2022 karta.png", "A 43859-2022")</f>
        <v/>
      </c>
      <c r="V465">
        <f>HYPERLINK("https://klasma.github.io/Logging_1496/klagomål/A 43859-2022 klagomål.docx", "A 43859-2022")</f>
        <v/>
      </c>
      <c r="W465">
        <f>HYPERLINK("https://klasma.github.io/Logging_1496/klagomålsmail/A 43859-2022 klagomålsmail.docx", "A 43859-2022")</f>
        <v/>
      </c>
      <c r="X465">
        <f>HYPERLINK("https://klasma.github.io/Logging_1496/tillsyn/A 43859-2022 tillsyn.docx", "A 43859-2022")</f>
        <v/>
      </c>
      <c r="Y465">
        <f>HYPERLINK("https://klasma.github.io/Logging_1496/tillsynsmail/A 43859-2022 tillsynsmail.docx", "A 43859-2022")</f>
        <v/>
      </c>
    </row>
    <row r="466" ht="15" customHeight="1">
      <c r="A466" t="inlineStr">
        <is>
          <t>A 46768-2022</t>
        </is>
      </c>
      <c r="B466" s="1" t="n">
        <v>44848</v>
      </c>
      <c r="C466" s="1" t="n">
        <v>45212</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HYPERLINK("https://klasma.github.io/Logging_1489/artfynd/A 46768-2022 artfynd.xlsx", "A 46768-2022")</f>
        <v/>
      </c>
      <c r="T466">
        <f>HYPERLINK("https://klasma.github.io/Logging_1489/karta/A 46768-2022 karta.png", "A 46768-2022")</f>
        <v/>
      </c>
      <c r="V466">
        <f>HYPERLINK("https://klasma.github.io/Logging_1489/klagomål/A 46768-2022 klagomål.docx", "A 46768-2022")</f>
        <v/>
      </c>
      <c r="W466">
        <f>HYPERLINK("https://klasma.github.io/Logging_1489/klagomålsmail/A 46768-2022 klagomålsmail.docx", "A 46768-2022")</f>
        <v/>
      </c>
      <c r="X466">
        <f>HYPERLINK("https://klasma.github.io/Logging_1489/tillsyn/A 46768-2022 tillsyn.docx", "A 46768-2022")</f>
        <v/>
      </c>
      <c r="Y466">
        <f>HYPERLINK("https://klasma.github.io/Logging_1489/tillsynsmail/A 46768-2022 tillsynsmail.docx", "A 46768-2022")</f>
        <v/>
      </c>
    </row>
    <row r="467" ht="15" customHeight="1">
      <c r="A467" t="inlineStr">
        <is>
          <t>A 47881-2022</t>
        </is>
      </c>
      <c r="B467" s="1" t="n">
        <v>44855</v>
      </c>
      <c r="C467" s="1" t="n">
        <v>45212</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HYPERLINK("https://klasma.github.io/Logging_1430/artfynd/A 47881-2022 artfynd.xlsx", "A 47881-2022")</f>
        <v/>
      </c>
      <c r="T467">
        <f>HYPERLINK("https://klasma.github.io/Logging_1430/karta/A 47881-2022 karta.png", "A 47881-2022")</f>
        <v/>
      </c>
      <c r="V467">
        <f>HYPERLINK("https://klasma.github.io/Logging_1430/klagomål/A 47881-2022 klagomål.docx", "A 47881-2022")</f>
        <v/>
      </c>
      <c r="W467">
        <f>HYPERLINK("https://klasma.github.io/Logging_1430/klagomålsmail/A 47881-2022 klagomålsmail.docx", "A 47881-2022")</f>
        <v/>
      </c>
      <c r="X467">
        <f>HYPERLINK("https://klasma.github.io/Logging_1430/tillsyn/A 47881-2022 tillsyn.docx", "A 47881-2022")</f>
        <v/>
      </c>
      <c r="Y467">
        <f>HYPERLINK("https://klasma.github.io/Logging_1430/tillsynsmail/A 47881-2022 tillsynsmail.docx", "A 47881-2022")</f>
        <v/>
      </c>
    </row>
    <row r="468" ht="15" customHeight="1">
      <c r="A468" t="inlineStr">
        <is>
          <t>A 49969-2022</t>
        </is>
      </c>
      <c r="B468" s="1" t="n">
        <v>44859</v>
      </c>
      <c r="C468" s="1" t="n">
        <v>45212</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HYPERLINK("https://klasma.github.io/Logging_1494/artfynd/A 49969-2022 artfynd.xlsx", "A 49969-2022")</f>
        <v/>
      </c>
      <c r="T468">
        <f>HYPERLINK("https://klasma.github.io/Logging_1494/karta/A 49969-2022 karta.png", "A 49969-2022")</f>
        <v/>
      </c>
      <c r="V468">
        <f>HYPERLINK("https://klasma.github.io/Logging_1494/klagomål/A 49969-2022 klagomål.docx", "A 49969-2022")</f>
        <v/>
      </c>
      <c r="W468">
        <f>HYPERLINK("https://klasma.github.io/Logging_1494/klagomålsmail/A 49969-2022 klagomålsmail.docx", "A 49969-2022")</f>
        <v/>
      </c>
      <c r="X468">
        <f>HYPERLINK("https://klasma.github.io/Logging_1494/tillsyn/A 49969-2022 tillsyn.docx", "A 49969-2022")</f>
        <v/>
      </c>
      <c r="Y468">
        <f>HYPERLINK("https://klasma.github.io/Logging_1494/tillsynsmail/A 49969-2022 tillsynsmail.docx", "A 49969-2022")</f>
        <v/>
      </c>
    </row>
    <row r="469" ht="15" customHeight="1">
      <c r="A469" t="inlineStr">
        <is>
          <t>A 50293-2022</t>
        </is>
      </c>
      <c r="B469" s="1" t="n">
        <v>44865</v>
      </c>
      <c r="C469" s="1" t="n">
        <v>45212</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HYPERLINK("https://klasma.github.io/Logging_1498/artfynd/A 50293-2022 artfynd.xlsx", "A 50293-2022")</f>
        <v/>
      </c>
      <c r="T469">
        <f>HYPERLINK("https://klasma.github.io/Logging_1498/karta/A 50293-2022 karta.png", "A 50293-2022")</f>
        <v/>
      </c>
      <c r="V469">
        <f>HYPERLINK("https://klasma.github.io/Logging_1498/klagomål/A 50293-2022 klagomål.docx", "A 50293-2022")</f>
        <v/>
      </c>
      <c r="W469">
        <f>HYPERLINK("https://klasma.github.io/Logging_1498/klagomålsmail/A 50293-2022 klagomålsmail.docx", "A 50293-2022")</f>
        <v/>
      </c>
      <c r="X469">
        <f>HYPERLINK("https://klasma.github.io/Logging_1498/tillsyn/A 50293-2022 tillsyn.docx", "A 50293-2022")</f>
        <v/>
      </c>
      <c r="Y469">
        <f>HYPERLINK("https://klasma.github.io/Logging_1498/tillsynsmail/A 50293-2022 tillsynsmail.docx", "A 50293-2022")</f>
        <v/>
      </c>
    </row>
    <row r="470" ht="15" customHeight="1">
      <c r="A470" t="inlineStr">
        <is>
          <t>A 50515-2022</t>
        </is>
      </c>
      <c r="B470" s="1" t="n">
        <v>44866</v>
      </c>
      <c r="C470" s="1" t="n">
        <v>45212</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HYPERLINK("https://klasma.github.io/Logging_1452/artfynd/A 50515-2022 artfynd.xlsx", "A 50515-2022")</f>
        <v/>
      </c>
      <c r="T470">
        <f>HYPERLINK("https://klasma.github.io/Logging_1452/karta/A 50515-2022 karta.png", "A 50515-2022")</f>
        <v/>
      </c>
      <c r="V470">
        <f>HYPERLINK("https://klasma.github.io/Logging_1452/klagomål/A 50515-2022 klagomål.docx", "A 50515-2022")</f>
        <v/>
      </c>
      <c r="W470">
        <f>HYPERLINK("https://klasma.github.io/Logging_1452/klagomålsmail/A 50515-2022 klagomålsmail.docx", "A 50515-2022")</f>
        <v/>
      </c>
      <c r="X470">
        <f>HYPERLINK("https://klasma.github.io/Logging_1452/tillsyn/A 50515-2022 tillsyn.docx", "A 50515-2022")</f>
        <v/>
      </c>
      <c r="Y470">
        <f>HYPERLINK("https://klasma.github.io/Logging_1452/tillsynsmail/A 50515-2022 tillsynsmail.docx", "A 50515-2022")</f>
        <v/>
      </c>
    </row>
    <row r="471" ht="15" customHeight="1">
      <c r="A471" t="inlineStr">
        <is>
          <t>A 51770-2022</t>
        </is>
      </c>
      <c r="B471" s="1" t="n">
        <v>44872</v>
      </c>
      <c r="C471" s="1" t="n">
        <v>45212</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HYPERLINK("https://klasma.github.io/Logging_1491/artfynd/A 51770-2022 artfynd.xlsx", "A 51770-2022")</f>
        <v/>
      </c>
      <c r="T471">
        <f>HYPERLINK("https://klasma.github.io/Logging_1491/karta/A 51770-2022 karta.png", "A 51770-2022")</f>
        <v/>
      </c>
      <c r="V471">
        <f>HYPERLINK("https://klasma.github.io/Logging_1491/klagomål/A 51770-2022 klagomål.docx", "A 51770-2022")</f>
        <v/>
      </c>
      <c r="W471">
        <f>HYPERLINK("https://klasma.github.io/Logging_1491/klagomålsmail/A 51770-2022 klagomålsmail.docx", "A 51770-2022")</f>
        <v/>
      </c>
      <c r="X471">
        <f>HYPERLINK("https://klasma.github.io/Logging_1491/tillsyn/A 51770-2022 tillsyn.docx", "A 51770-2022")</f>
        <v/>
      </c>
      <c r="Y471">
        <f>HYPERLINK("https://klasma.github.io/Logging_1491/tillsynsmail/A 51770-2022 tillsynsmail.docx", "A 51770-2022")</f>
        <v/>
      </c>
    </row>
    <row r="472" ht="15" customHeight="1">
      <c r="A472" t="inlineStr">
        <is>
          <t>A 53397-2022</t>
        </is>
      </c>
      <c r="B472" s="1" t="n">
        <v>44879</v>
      </c>
      <c r="C472" s="1" t="n">
        <v>45212</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HYPERLINK("https://klasma.github.io/Logging_1435/artfynd/A 53397-2022 artfynd.xlsx", "A 53397-2022")</f>
        <v/>
      </c>
      <c r="T472">
        <f>HYPERLINK("https://klasma.github.io/Logging_1435/karta/A 53397-2022 karta.png", "A 53397-2022")</f>
        <v/>
      </c>
      <c r="V472">
        <f>HYPERLINK("https://klasma.github.io/Logging_1435/klagomål/A 53397-2022 klagomål.docx", "A 53397-2022")</f>
        <v/>
      </c>
      <c r="W472">
        <f>HYPERLINK("https://klasma.github.io/Logging_1435/klagomålsmail/A 53397-2022 klagomålsmail.docx", "A 53397-2022")</f>
        <v/>
      </c>
      <c r="X472">
        <f>HYPERLINK("https://klasma.github.io/Logging_1435/tillsyn/A 53397-2022 tillsyn.docx", "A 53397-2022")</f>
        <v/>
      </c>
      <c r="Y472">
        <f>HYPERLINK("https://klasma.github.io/Logging_1435/tillsynsmail/A 53397-2022 tillsynsmail.docx", "A 53397-2022")</f>
        <v/>
      </c>
    </row>
    <row r="473" ht="15" customHeight="1">
      <c r="A473" t="inlineStr">
        <is>
          <t>A 53555-2022</t>
        </is>
      </c>
      <c r="B473" s="1" t="n">
        <v>44879</v>
      </c>
      <c r="C473" s="1" t="n">
        <v>45212</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HYPERLINK("https://klasma.github.io/Logging_1491/artfynd/A 53555-2022 artfynd.xlsx", "A 53555-2022")</f>
        <v/>
      </c>
      <c r="T473">
        <f>HYPERLINK("https://klasma.github.io/Logging_1491/karta/A 53555-2022 karta.png", "A 53555-2022")</f>
        <v/>
      </c>
      <c r="V473">
        <f>HYPERLINK("https://klasma.github.io/Logging_1491/klagomål/A 53555-2022 klagomål.docx", "A 53555-2022")</f>
        <v/>
      </c>
      <c r="W473">
        <f>HYPERLINK("https://klasma.github.io/Logging_1491/klagomålsmail/A 53555-2022 klagomålsmail.docx", "A 53555-2022")</f>
        <v/>
      </c>
      <c r="X473">
        <f>HYPERLINK("https://klasma.github.io/Logging_1491/tillsyn/A 53555-2022 tillsyn.docx", "A 53555-2022")</f>
        <v/>
      </c>
      <c r="Y473">
        <f>HYPERLINK("https://klasma.github.io/Logging_1491/tillsynsmail/A 53555-2022 tillsynsmail.docx", "A 53555-2022")</f>
        <v/>
      </c>
    </row>
    <row r="474" ht="15" customHeight="1">
      <c r="A474" t="inlineStr">
        <is>
          <t>A 54032-2022</t>
        </is>
      </c>
      <c r="B474" s="1" t="n">
        <v>44881</v>
      </c>
      <c r="C474" s="1" t="n">
        <v>45212</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HYPERLINK("https://klasma.github.io/Logging_1460/artfynd/A 54032-2022 artfynd.xlsx", "A 54032-2022")</f>
        <v/>
      </c>
      <c r="T474">
        <f>HYPERLINK("https://klasma.github.io/Logging_1460/karta/A 54032-2022 karta.png", "A 54032-2022")</f>
        <v/>
      </c>
      <c r="V474">
        <f>HYPERLINK("https://klasma.github.io/Logging_1460/klagomål/A 54032-2022 klagomål.docx", "A 54032-2022")</f>
        <v/>
      </c>
      <c r="W474">
        <f>HYPERLINK("https://klasma.github.io/Logging_1460/klagomålsmail/A 54032-2022 klagomålsmail.docx", "A 54032-2022")</f>
        <v/>
      </c>
      <c r="X474">
        <f>HYPERLINK("https://klasma.github.io/Logging_1460/tillsyn/A 54032-2022 tillsyn.docx", "A 54032-2022")</f>
        <v/>
      </c>
      <c r="Y474">
        <f>HYPERLINK("https://klasma.github.io/Logging_1460/tillsynsmail/A 54032-2022 tillsynsmail.docx", "A 54032-2022")</f>
        <v/>
      </c>
    </row>
    <row r="475" ht="15" customHeight="1">
      <c r="A475" t="inlineStr">
        <is>
          <t>A 56006-2022</t>
        </is>
      </c>
      <c r="B475" s="1" t="n">
        <v>44889</v>
      </c>
      <c r="C475" s="1" t="n">
        <v>45212</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HYPERLINK("https://klasma.github.io/Logging_1460/artfynd/A 56006-2022 artfynd.xlsx", "A 56006-2022")</f>
        <v/>
      </c>
      <c r="T475">
        <f>HYPERLINK("https://klasma.github.io/Logging_1460/karta/A 56006-2022 karta.png", "A 56006-2022")</f>
        <v/>
      </c>
      <c r="V475">
        <f>HYPERLINK("https://klasma.github.io/Logging_1460/klagomål/A 56006-2022 klagomål.docx", "A 56006-2022")</f>
        <v/>
      </c>
      <c r="W475">
        <f>HYPERLINK("https://klasma.github.io/Logging_1460/klagomålsmail/A 56006-2022 klagomålsmail.docx", "A 56006-2022")</f>
        <v/>
      </c>
      <c r="X475">
        <f>HYPERLINK("https://klasma.github.io/Logging_1460/tillsyn/A 56006-2022 tillsyn.docx", "A 56006-2022")</f>
        <v/>
      </c>
      <c r="Y475">
        <f>HYPERLINK("https://klasma.github.io/Logging_1460/tillsynsmail/A 56006-2022 tillsynsmail.docx", "A 56006-2022")</f>
        <v/>
      </c>
    </row>
    <row r="476" ht="15" customHeight="1">
      <c r="A476" t="inlineStr">
        <is>
          <t>A 56911-2022</t>
        </is>
      </c>
      <c r="B476" s="1" t="n">
        <v>44894</v>
      </c>
      <c r="C476" s="1" t="n">
        <v>45212</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HYPERLINK("https://klasma.github.io/Logging_1441/artfynd/A 56911-2022 artfynd.xlsx", "A 56911-2022")</f>
        <v/>
      </c>
      <c r="T476">
        <f>HYPERLINK("https://klasma.github.io/Logging_1441/karta/A 56911-2022 karta.png", "A 56911-2022")</f>
        <v/>
      </c>
      <c r="V476">
        <f>HYPERLINK("https://klasma.github.io/Logging_1441/klagomål/A 56911-2022 klagomål.docx", "A 56911-2022")</f>
        <v/>
      </c>
      <c r="W476">
        <f>HYPERLINK("https://klasma.github.io/Logging_1441/klagomålsmail/A 56911-2022 klagomålsmail.docx", "A 56911-2022")</f>
        <v/>
      </c>
      <c r="X476">
        <f>HYPERLINK("https://klasma.github.io/Logging_1441/tillsyn/A 56911-2022 tillsyn.docx", "A 56911-2022")</f>
        <v/>
      </c>
      <c r="Y476">
        <f>HYPERLINK("https://klasma.github.io/Logging_1441/tillsynsmail/A 56911-2022 tillsynsmail.docx", "A 56911-2022")</f>
        <v/>
      </c>
    </row>
    <row r="477" ht="15" customHeight="1">
      <c r="A477" t="inlineStr">
        <is>
          <t>A 58906-2022</t>
        </is>
      </c>
      <c r="B477" s="1" t="n">
        <v>44896</v>
      </c>
      <c r="C477" s="1" t="n">
        <v>45212</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HYPERLINK("https://klasma.github.io/Logging_1461/artfynd/A 58906-2022 artfynd.xlsx", "A 58906-2022")</f>
        <v/>
      </c>
      <c r="T477">
        <f>HYPERLINK("https://klasma.github.io/Logging_1461/karta/A 58906-2022 karta.png", "A 58906-2022")</f>
        <v/>
      </c>
      <c r="V477">
        <f>HYPERLINK("https://klasma.github.io/Logging_1461/klagomål/A 58906-2022 klagomål.docx", "A 58906-2022")</f>
        <v/>
      </c>
      <c r="W477">
        <f>HYPERLINK("https://klasma.github.io/Logging_1461/klagomålsmail/A 58906-2022 klagomålsmail.docx", "A 58906-2022")</f>
        <v/>
      </c>
      <c r="X477">
        <f>HYPERLINK("https://klasma.github.io/Logging_1461/tillsyn/A 58906-2022 tillsyn.docx", "A 58906-2022")</f>
        <v/>
      </c>
      <c r="Y477">
        <f>HYPERLINK("https://klasma.github.io/Logging_1461/tillsynsmail/A 58906-2022 tillsynsmail.docx", "A 58906-2022")</f>
        <v/>
      </c>
    </row>
    <row r="478" ht="15" customHeight="1">
      <c r="A478" t="inlineStr">
        <is>
          <t>A 60616-2022</t>
        </is>
      </c>
      <c r="B478" s="1" t="n">
        <v>44906</v>
      </c>
      <c r="C478" s="1" t="n">
        <v>45212</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HYPERLINK("https://klasma.github.io/Logging_1499/artfynd/A 60616-2022 artfynd.xlsx", "A 60616-2022")</f>
        <v/>
      </c>
      <c r="T478">
        <f>HYPERLINK("https://klasma.github.io/Logging_1499/karta/A 60616-2022 karta.png", "A 60616-2022")</f>
        <v/>
      </c>
      <c r="V478">
        <f>HYPERLINK("https://klasma.github.io/Logging_1499/klagomål/A 60616-2022 klagomål.docx", "A 60616-2022")</f>
        <v/>
      </c>
      <c r="W478">
        <f>HYPERLINK("https://klasma.github.io/Logging_1499/klagomålsmail/A 60616-2022 klagomålsmail.docx", "A 60616-2022")</f>
        <v/>
      </c>
      <c r="X478">
        <f>HYPERLINK("https://klasma.github.io/Logging_1499/tillsyn/A 60616-2022 tillsyn.docx", "A 60616-2022")</f>
        <v/>
      </c>
      <c r="Y478">
        <f>HYPERLINK("https://klasma.github.io/Logging_1499/tillsynsmail/A 60616-2022 tillsynsmail.docx", "A 60616-2022")</f>
        <v/>
      </c>
    </row>
    <row r="479" ht="15" customHeight="1">
      <c r="A479" t="inlineStr">
        <is>
          <t>A 100-2023</t>
        </is>
      </c>
      <c r="B479" s="1" t="n">
        <v>44928</v>
      </c>
      <c r="C479" s="1" t="n">
        <v>45212</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HYPERLINK("https://klasma.github.io/Logging_1496/artfynd/A 100-2023 artfynd.xlsx", "A 100-2023")</f>
        <v/>
      </c>
      <c r="T479">
        <f>HYPERLINK("https://klasma.github.io/Logging_1496/karta/A 100-2023 karta.png", "A 100-2023")</f>
        <v/>
      </c>
      <c r="V479">
        <f>HYPERLINK("https://klasma.github.io/Logging_1496/klagomål/A 100-2023 klagomål.docx", "A 100-2023")</f>
        <v/>
      </c>
      <c r="W479">
        <f>HYPERLINK("https://klasma.github.io/Logging_1496/klagomålsmail/A 100-2023 klagomålsmail.docx", "A 100-2023")</f>
        <v/>
      </c>
      <c r="X479">
        <f>HYPERLINK("https://klasma.github.io/Logging_1496/tillsyn/A 100-2023 tillsyn.docx", "A 100-2023")</f>
        <v/>
      </c>
      <c r="Y479">
        <f>HYPERLINK("https://klasma.github.io/Logging_1496/tillsynsmail/A 100-2023 tillsynsmail.docx", "A 100-2023")</f>
        <v/>
      </c>
    </row>
    <row r="480" ht="15" customHeight="1">
      <c r="A480" t="inlineStr">
        <is>
          <t>A 236-2023</t>
        </is>
      </c>
      <c r="B480" s="1" t="n">
        <v>44928</v>
      </c>
      <c r="C480" s="1" t="n">
        <v>45212</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HYPERLINK("https://klasma.github.io/Logging_1485/artfynd/A 236-2023 artfynd.xlsx", "A 236-2023")</f>
        <v/>
      </c>
      <c r="T480">
        <f>HYPERLINK("https://klasma.github.io/Logging_1485/karta/A 236-2023 karta.png", "A 236-2023")</f>
        <v/>
      </c>
      <c r="V480">
        <f>HYPERLINK("https://klasma.github.io/Logging_1485/klagomål/A 236-2023 klagomål.docx", "A 236-2023")</f>
        <v/>
      </c>
      <c r="W480">
        <f>HYPERLINK("https://klasma.github.io/Logging_1485/klagomålsmail/A 236-2023 klagomålsmail.docx", "A 236-2023")</f>
        <v/>
      </c>
      <c r="X480">
        <f>HYPERLINK("https://klasma.github.io/Logging_1485/tillsyn/A 236-2023 tillsyn.docx", "A 236-2023")</f>
        <v/>
      </c>
      <c r="Y480">
        <f>HYPERLINK("https://klasma.github.io/Logging_1485/tillsynsmail/A 236-2023 tillsynsmail.docx", "A 236-2023")</f>
        <v/>
      </c>
    </row>
    <row r="481" ht="15" customHeight="1">
      <c r="A481" t="inlineStr">
        <is>
          <t>A 426-2023</t>
        </is>
      </c>
      <c r="B481" s="1" t="n">
        <v>44929</v>
      </c>
      <c r="C481" s="1" t="n">
        <v>45212</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HYPERLINK("https://klasma.github.io/Logging_1472/artfynd/A 426-2023 artfynd.xlsx", "A 426-2023")</f>
        <v/>
      </c>
      <c r="T481">
        <f>HYPERLINK("https://klasma.github.io/Logging_1472/karta/A 426-2023 karta.png", "A 426-2023")</f>
        <v/>
      </c>
      <c r="V481">
        <f>HYPERLINK("https://klasma.github.io/Logging_1472/klagomål/A 426-2023 klagomål.docx", "A 426-2023")</f>
        <v/>
      </c>
      <c r="W481">
        <f>HYPERLINK("https://klasma.github.io/Logging_1472/klagomålsmail/A 426-2023 klagomålsmail.docx", "A 426-2023")</f>
        <v/>
      </c>
      <c r="X481">
        <f>HYPERLINK("https://klasma.github.io/Logging_1472/tillsyn/A 426-2023 tillsyn.docx", "A 426-2023")</f>
        <v/>
      </c>
      <c r="Y481">
        <f>HYPERLINK("https://klasma.github.io/Logging_1472/tillsynsmail/A 426-2023 tillsynsmail.docx", "A 426-2023")</f>
        <v/>
      </c>
    </row>
    <row r="482" ht="15" customHeight="1">
      <c r="A482" t="inlineStr">
        <is>
          <t>A 1591-2023</t>
        </is>
      </c>
      <c r="B482" s="1" t="n">
        <v>44937</v>
      </c>
      <c r="C482" s="1" t="n">
        <v>45212</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HYPERLINK("https://klasma.github.io/Logging_1473/artfynd/A 1591-2023 artfynd.xlsx", "A 1591-2023")</f>
        <v/>
      </c>
      <c r="T482">
        <f>HYPERLINK("https://klasma.github.io/Logging_1473/karta/A 1591-2023 karta.png", "A 1591-2023")</f>
        <v/>
      </c>
      <c r="V482">
        <f>HYPERLINK("https://klasma.github.io/Logging_1473/klagomål/A 1591-2023 klagomål.docx", "A 1591-2023")</f>
        <v/>
      </c>
      <c r="W482">
        <f>HYPERLINK("https://klasma.github.io/Logging_1473/klagomålsmail/A 1591-2023 klagomålsmail.docx", "A 1591-2023")</f>
        <v/>
      </c>
      <c r="X482">
        <f>HYPERLINK("https://klasma.github.io/Logging_1473/tillsyn/A 1591-2023 tillsyn.docx", "A 1591-2023")</f>
        <v/>
      </c>
      <c r="Y482">
        <f>HYPERLINK("https://klasma.github.io/Logging_1473/tillsynsmail/A 1591-2023 tillsynsmail.docx", "A 1591-2023")</f>
        <v/>
      </c>
    </row>
    <row r="483" ht="15" customHeight="1">
      <c r="A483" t="inlineStr">
        <is>
          <t>A 2555-2023</t>
        </is>
      </c>
      <c r="B483" s="1" t="n">
        <v>44943</v>
      </c>
      <c r="C483" s="1" t="n">
        <v>45212</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HYPERLINK("https://klasma.github.io/Logging_1430/artfynd/A 2555-2023 artfynd.xlsx", "A 2555-2023")</f>
        <v/>
      </c>
      <c r="T483">
        <f>HYPERLINK("https://klasma.github.io/Logging_1430/karta/A 2555-2023 karta.png", "A 2555-2023")</f>
        <v/>
      </c>
      <c r="V483">
        <f>HYPERLINK("https://klasma.github.io/Logging_1430/klagomål/A 2555-2023 klagomål.docx", "A 2555-2023")</f>
        <v/>
      </c>
      <c r="W483">
        <f>HYPERLINK("https://klasma.github.io/Logging_1430/klagomålsmail/A 2555-2023 klagomålsmail.docx", "A 2555-2023")</f>
        <v/>
      </c>
      <c r="X483">
        <f>HYPERLINK("https://klasma.github.io/Logging_1430/tillsyn/A 2555-2023 tillsyn.docx", "A 2555-2023")</f>
        <v/>
      </c>
      <c r="Y483">
        <f>HYPERLINK("https://klasma.github.io/Logging_1430/tillsynsmail/A 2555-2023 tillsynsmail.docx", "A 2555-2023")</f>
        <v/>
      </c>
    </row>
    <row r="484" ht="15" customHeight="1">
      <c r="A484" t="inlineStr">
        <is>
          <t>A 3247-2023</t>
        </is>
      </c>
      <c r="B484" s="1" t="n">
        <v>44947</v>
      </c>
      <c r="C484" s="1" t="n">
        <v>45212</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HYPERLINK("https://klasma.github.io/Logging_1452/artfynd/A 3247-2023 artfynd.xlsx", "A 3247-2023")</f>
        <v/>
      </c>
      <c r="T484">
        <f>HYPERLINK("https://klasma.github.io/Logging_1452/karta/A 3247-2023 karta.png", "A 3247-2023")</f>
        <v/>
      </c>
      <c r="V484">
        <f>HYPERLINK("https://klasma.github.io/Logging_1452/klagomål/A 3247-2023 klagomål.docx", "A 3247-2023")</f>
        <v/>
      </c>
      <c r="W484">
        <f>HYPERLINK("https://klasma.github.io/Logging_1452/klagomålsmail/A 3247-2023 klagomålsmail.docx", "A 3247-2023")</f>
        <v/>
      </c>
      <c r="X484">
        <f>HYPERLINK("https://klasma.github.io/Logging_1452/tillsyn/A 3247-2023 tillsyn.docx", "A 3247-2023")</f>
        <v/>
      </c>
      <c r="Y484">
        <f>HYPERLINK("https://klasma.github.io/Logging_1452/tillsynsmail/A 3247-2023 tillsynsmail.docx", "A 3247-2023")</f>
        <v/>
      </c>
    </row>
    <row r="485" ht="15" customHeight="1">
      <c r="A485" t="inlineStr">
        <is>
          <t>A 3272-2023</t>
        </is>
      </c>
      <c r="B485" s="1" t="n">
        <v>44949</v>
      </c>
      <c r="C485" s="1" t="n">
        <v>45212</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HYPERLINK("https://klasma.github.io/Logging_1419/artfynd/A 3272-2023 artfynd.xlsx", "A 3272-2023")</f>
        <v/>
      </c>
      <c r="T485">
        <f>HYPERLINK("https://klasma.github.io/Logging_1419/karta/A 3272-2023 karta.png", "A 3272-2023")</f>
        <v/>
      </c>
      <c r="V485">
        <f>HYPERLINK("https://klasma.github.io/Logging_1419/klagomål/A 3272-2023 klagomål.docx", "A 3272-2023")</f>
        <v/>
      </c>
      <c r="W485">
        <f>HYPERLINK("https://klasma.github.io/Logging_1419/klagomålsmail/A 3272-2023 klagomålsmail.docx", "A 3272-2023")</f>
        <v/>
      </c>
      <c r="X485">
        <f>HYPERLINK("https://klasma.github.io/Logging_1419/tillsyn/A 3272-2023 tillsyn.docx", "A 3272-2023")</f>
        <v/>
      </c>
      <c r="Y485">
        <f>HYPERLINK("https://klasma.github.io/Logging_1419/tillsynsmail/A 3272-2023 tillsynsmail.docx", "A 3272-2023")</f>
        <v/>
      </c>
    </row>
    <row r="486" ht="15" customHeight="1">
      <c r="A486" t="inlineStr">
        <is>
          <t>A 4113-2023</t>
        </is>
      </c>
      <c r="B486" s="1" t="n">
        <v>44952</v>
      </c>
      <c r="C486" s="1" t="n">
        <v>45212</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HYPERLINK("https://klasma.github.io/Logging_1438/artfynd/A 4113-2023 artfynd.xlsx", "A 4113-2023")</f>
        <v/>
      </c>
      <c r="T486">
        <f>HYPERLINK("https://klasma.github.io/Logging_1438/karta/A 4113-2023 karta.png", "A 4113-2023")</f>
        <v/>
      </c>
      <c r="V486">
        <f>HYPERLINK("https://klasma.github.io/Logging_1438/klagomål/A 4113-2023 klagomål.docx", "A 4113-2023")</f>
        <v/>
      </c>
      <c r="W486">
        <f>HYPERLINK("https://klasma.github.io/Logging_1438/klagomålsmail/A 4113-2023 klagomålsmail.docx", "A 4113-2023")</f>
        <v/>
      </c>
      <c r="X486">
        <f>HYPERLINK("https://klasma.github.io/Logging_1438/tillsyn/A 4113-2023 tillsyn.docx", "A 4113-2023")</f>
        <v/>
      </c>
      <c r="Y486">
        <f>HYPERLINK("https://klasma.github.io/Logging_1438/tillsynsmail/A 4113-2023 tillsynsmail.docx", "A 4113-2023")</f>
        <v/>
      </c>
    </row>
    <row r="487" ht="15" customHeight="1">
      <c r="A487" t="inlineStr">
        <is>
          <t>A 6160-2023</t>
        </is>
      </c>
      <c r="B487" s="1" t="n">
        <v>44964</v>
      </c>
      <c r="C487" s="1" t="n">
        <v>45212</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HYPERLINK("https://klasma.github.io/Logging_1473/artfynd/A 6160-2023 artfynd.xlsx", "A 6160-2023")</f>
        <v/>
      </c>
      <c r="T487">
        <f>HYPERLINK("https://klasma.github.io/Logging_1473/karta/A 6160-2023 karta.png", "A 6160-2023")</f>
        <v/>
      </c>
      <c r="V487">
        <f>HYPERLINK("https://klasma.github.io/Logging_1473/klagomål/A 6160-2023 klagomål.docx", "A 6160-2023")</f>
        <v/>
      </c>
      <c r="W487">
        <f>HYPERLINK("https://klasma.github.io/Logging_1473/klagomålsmail/A 6160-2023 klagomålsmail.docx", "A 6160-2023")</f>
        <v/>
      </c>
      <c r="X487">
        <f>HYPERLINK("https://klasma.github.io/Logging_1473/tillsyn/A 6160-2023 tillsyn.docx", "A 6160-2023")</f>
        <v/>
      </c>
      <c r="Y487">
        <f>HYPERLINK("https://klasma.github.io/Logging_1473/tillsynsmail/A 6160-2023 tillsynsmail.docx", "A 6160-2023")</f>
        <v/>
      </c>
    </row>
    <row r="488" ht="15" customHeight="1">
      <c r="A488" t="inlineStr">
        <is>
          <t>A 6166-2023</t>
        </is>
      </c>
      <c r="B488" s="1" t="n">
        <v>44964</v>
      </c>
      <c r="C488" s="1" t="n">
        <v>45212</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HYPERLINK("https://klasma.github.io/Logging_1463/artfynd/A 6166-2023 artfynd.xlsx", "A 6166-2023")</f>
        <v/>
      </c>
      <c r="T488">
        <f>HYPERLINK("https://klasma.github.io/Logging_1463/karta/A 6166-2023 karta.png", "A 6166-2023")</f>
        <v/>
      </c>
      <c r="V488">
        <f>HYPERLINK("https://klasma.github.io/Logging_1463/klagomål/A 6166-2023 klagomål.docx", "A 6166-2023")</f>
        <v/>
      </c>
      <c r="W488">
        <f>HYPERLINK("https://klasma.github.io/Logging_1463/klagomålsmail/A 6166-2023 klagomålsmail.docx", "A 6166-2023")</f>
        <v/>
      </c>
      <c r="X488">
        <f>HYPERLINK("https://klasma.github.io/Logging_1463/tillsyn/A 6166-2023 tillsyn.docx", "A 6166-2023")</f>
        <v/>
      </c>
      <c r="Y488">
        <f>HYPERLINK("https://klasma.github.io/Logging_1463/tillsynsmail/A 6166-2023 tillsynsmail.docx", "A 6166-2023")</f>
        <v/>
      </c>
    </row>
    <row r="489" ht="15" customHeight="1">
      <c r="A489" t="inlineStr">
        <is>
          <t>A 7707-2023</t>
        </is>
      </c>
      <c r="B489" s="1" t="n">
        <v>44969</v>
      </c>
      <c r="C489" s="1" t="n">
        <v>45212</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HYPERLINK("https://klasma.github.io/Logging_1435/artfynd/A 7707-2023 artfynd.xlsx", "A 7707-2023")</f>
        <v/>
      </c>
      <c r="T489">
        <f>HYPERLINK("https://klasma.github.io/Logging_1435/karta/A 7707-2023 karta.png", "A 7707-2023")</f>
        <v/>
      </c>
      <c r="V489">
        <f>HYPERLINK("https://klasma.github.io/Logging_1435/klagomål/A 7707-2023 klagomål.docx", "A 7707-2023")</f>
        <v/>
      </c>
      <c r="W489">
        <f>HYPERLINK("https://klasma.github.io/Logging_1435/klagomålsmail/A 7707-2023 klagomålsmail.docx", "A 7707-2023")</f>
        <v/>
      </c>
      <c r="X489">
        <f>HYPERLINK("https://klasma.github.io/Logging_1435/tillsyn/A 7707-2023 tillsyn.docx", "A 7707-2023")</f>
        <v/>
      </c>
      <c r="Y489">
        <f>HYPERLINK("https://klasma.github.io/Logging_1435/tillsynsmail/A 7707-2023 tillsynsmail.docx", "A 7707-2023")</f>
        <v/>
      </c>
    </row>
    <row r="490" ht="15" customHeight="1">
      <c r="A490" t="inlineStr">
        <is>
          <t>A 8144-2023</t>
        </is>
      </c>
      <c r="B490" s="1" t="n">
        <v>44974</v>
      </c>
      <c r="C490" s="1" t="n">
        <v>45212</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HYPERLINK("https://klasma.github.io/Logging_1493/artfynd/A 8144-2023 artfynd.xlsx", "A 8144-2023")</f>
        <v/>
      </c>
      <c r="T490">
        <f>HYPERLINK("https://klasma.github.io/Logging_1493/karta/A 8144-2023 karta.png", "A 8144-2023")</f>
        <v/>
      </c>
      <c r="V490">
        <f>HYPERLINK("https://klasma.github.io/Logging_1493/klagomål/A 8144-2023 klagomål.docx", "A 8144-2023")</f>
        <v/>
      </c>
      <c r="W490">
        <f>HYPERLINK("https://klasma.github.io/Logging_1493/klagomålsmail/A 8144-2023 klagomålsmail.docx", "A 8144-2023")</f>
        <v/>
      </c>
      <c r="X490">
        <f>HYPERLINK("https://klasma.github.io/Logging_1493/tillsyn/A 8144-2023 tillsyn.docx", "A 8144-2023")</f>
        <v/>
      </c>
      <c r="Y490">
        <f>HYPERLINK("https://klasma.github.io/Logging_1493/tillsynsmail/A 8144-2023 tillsynsmail.docx", "A 8144-2023")</f>
        <v/>
      </c>
    </row>
    <row r="491" ht="15" customHeight="1">
      <c r="A491" t="inlineStr">
        <is>
          <t>A 9934-2023</t>
        </is>
      </c>
      <c r="B491" s="1" t="n">
        <v>44978</v>
      </c>
      <c r="C491" s="1" t="n">
        <v>45212</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HYPERLINK("https://klasma.github.io/Logging_1430/artfynd/A 9934-2023 artfynd.xlsx", "A 9934-2023")</f>
        <v/>
      </c>
      <c r="T491">
        <f>HYPERLINK("https://klasma.github.io/Logging_1430/karta/A 9934-2023 karta.png", "A 9934-2023")</f>
        <v/>
      </c>
      <c r="V491">
        <f>HYPERLINK("https://klasma.github.io/Logging_1430/klagomål/A 9934-2023 klagomål.docx", "A 9934-2023")</f>
        <v/>
      </c>
      <c r="W491">
        <f>HYPERLINK("https://klasma.github.io/Logging_1430/klagomålsmail/A 9934-2023 klagomålsmail.docx", "A 9934-2023")</f>
        <v/>
      </c>
      <c r="X491">
        <f>HYPERLINK("https://klasma.github.io/Logging_1430/tillsyn/A 9934-2023 tillsyn.docx", "A 9934-2023")</f>
        <v/>
      </c>
      <c r="Y491">
        <f>HYPERLINK("https://klasma.github.io/Logging_1430/tillsynsmail/A 9934-2023 tillsynsmail.docx", "A 9934-2023")</f>
        <v/>
      </c>
    </row>
    <row r="492" ht="15" customHeight="1">
      <c r="A492" t="inlineStr">
        <is>
          <t>A 9277-2023</t>
        </is>
      </c>
      <c r="B492" s="1" t="n">
        <v>44980</v>
      </c>
      <c r="C492" s="1" t="n">
        <v>45212</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HYPERLINK("https://klasma.github.io/Logging_1495/artfynd/A 9277-2023 artfynd.xlsx", "A 9277-2023")</f>
        <v/>
      </c>
      <c r="T492">
        <f>HYPERLINK("https://klasma.github.io/Logging_1495/karta/A 9277-2023 karta.png", "A 9277-2023")</f>
        <v/>
      </c>
      <c r="V492">
        <f>HYPERLINK("https://klasma.github.io/Logging_1495/klagomål/A 9277-2023 klagomål.docx", "A 9277-2023")</f>
        <v/>
      </c>
      <c r="W492">
        <f>HYPERLINK("https://klasma.github.io/Logging_1495/klagomålsmail/A 9277-2023 klagomålsmail.docx", "A 9277-2023")</f>
        <v/>
      </c>
      <c r="X492">
        <f>HYPERLINK("https://klasma.github.io/Logging_1495/tillsyn/A 9277-2023 tillsyn.docx", "A 9277-2023")</f>
        <v/>
      </c>
      <c r="Y492">
        <f>HYPERLINK("https://klasma.github.io/Logging_1495/tillsynsmail/A 9277-2023 tillsynsmail.docx", "A 9277-2023")</f>
        <v/>
      </c>
    </row>
    <row r="493" ht="15" customHeight="1">
      <c r="A493" t="inlineStr">
        <is>
          <t>A 9136-2023</t>
        </is>
      </c>
      <c r="B493" s="1" t="n">
        <v>44980</v>
      </c>
      <c r="C493" s="1" t="n">
        <v>45212</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HYPERLINK("https://klasma.github.io/Logging_1495/artfynd/A 9136-2023 artfynd.xlsx", "A 9136-2023")</f>
        <v/>
      </c>
      <c r="T493">
        <f>HYPERLINK("https://klasma.github.io/Logging_1495/karta/A 9136-2023 karta.png", "A 9136-2023")</f>
        <v/>
      </c>
      <c r="V493">
        <f>HYPERLINK("https://klasma.github.io/Logging_1495/klagomål/A 9136-2023 klagomål.docx", "A 9136-2023")</f>
        <v/>
      </c>
      <c r="W493">
        <f>HYPERLINK("https://klasma.github.io/Logging_1495/klagomålsmail/A 9136-2023 klagomålsmail.docx", "A 9136-2023")</f>
        <v/>
      </c>
      <c r="X493">
        <f>HYPERLINK("https://klasma.github.io/Logging_1495/tillsyn/A 9136-2023 tillsyn.docx", "A 9136-2023")</f>
        <v/>
      </c>
      <c r="Y493">
        <f>HYPERLINK("https://klasma.github.io/Logging_1495/tillsynsmail/A 9136-2023 tillsynsmail.docx", "A 9136-2023")</f>
        <v/>
      </c>
    </row>
    <row r="494" ht="15" customHeight="1">
      <c r="A494" t="inlineStr">
        <is>
          <t>A 9601-2023</t>
        </is>
      </c>
      <c r="B494" s="1" t="n">
        <v>44983</v>
      </c>
      <c r="C494" s="1" t="n">
        <v>45212</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HYPERLINK("https://klasma.github.io/Logging_1452/artfynd/A 9601-2023 artfynd.xlsx", "A 9601-2023")</f>
        <v/>
      </c>
      <c r="T494">
        <f>HYPERLINK("https://klasma.github.io/Logging_1452/karta/A 9601-2023 karta.png", "A 9601-2023")</f>
        <v/>
      </c>
      <c r="U494">
        <f>HYPERLINK("https://klasma.github.io/Logging_1452/knärot/A 9601-2023 knärot.png", "A 9601-2023")</f>
        <v/>
      </c>
      <c r="V494">
        <f>HYPERLINK("https://klasma.github.io/Logging_1452/klagomål/A 9601-2023 klagomål.docx", "A 9601-2023")</f>
        <v/>
      </c>
      <c r="W494">
        <f>HYPERLINK("https://klasma.github.io/Logging_1452/klagomålsmail/A 9601-2023 klagomålsmail.docx", "A 9601-2023")</f>
        <v/>
      </c>
      <c r="X494">
        <f>HYPERLINK("https://klasma.github.io/Logging_1452/tillsyn/A 9601-2023 tillsyn.docx", "A 9601-2023")</f>
        <v/>
      </c>
      <c r="Y494">
        <f>HYPERLINK("https://klasma.github.io/Logging_1452/tillsynsmail/A 9601-2023 tillsynsmail.docx", "A 9601-2023")</f>
        <v/>
      </c>
    </row>
    <row r="495" ht="15" customHeight="1">
      <c r="A495" t="inlineStr">
        <is>
          <t>A 9985-2023</t>
        </is>
      </c>
      <c r="B495" s="1" t="n">
        <v>44985</v>
      </c>
      <c r="C495" s="1" t="n">
        <v>45212</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HYPERLINK("https://klasma.github.io/Logging_1473/artfynd/A 9985-2023 artfynd.xlsx", "A 9985-2023")</f>
        <v/>
      </c>
      <c r="T495">
        <f>HYPERLINK("https://klasma.github.io/Logging_1473/karta/A 9985-2023 karta.png", "A 9985-2023")</f>
        <v/>
      </c>
      <c r="V495">
        <f>HYPERLINK("https://klasma.github.io/Logging_1473/klagomål/A 9985-2023 klagomål.docx", "A 9985-2023")</f>
        <v/>
      </c>
      <c r="W495">
        <f>HYPERLINK("https://klasma.github.io/Logging_1473/klagomålsmail/A 9985-2023 klagomålsmail.docx", "A 9985-2023")</f>
        <v/>
      </c>
      <c r="X495">
        <f>HYPERLINK("https://klasma.github.io/Logging_1473/tillsyn/A 9985-2023 tillsyn.docx", "A 9985-2023")</f>
        <v/>
      </c>
      <c r="Y495">
        <f>HYPERLINK("https://klasma.github.io/Logging_1473/tillsynsmail/A 9985-2023 tillsynsmail.docx", "A 9985-2023")</f>
        <v/>
      </c>
    </row>
    <row r="496" ht="15" customHeight="1">
      <c r="A496" t="inlineStr">
        <is>
          <t>A 10610-2023</t>
        </is>
      </c>
      <c r="B496" s="1" t="n">
        <v>44988</v>
      </c>
      <c r="C496" s="1" t="n">
        <v>45212</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HYPERLINK("https://klasma.github.io/Logging_1496/artfynd/A 10610-2023 artfynd.xlsx", "A 10610-2023")</f>
        <v/>
      </c>
      <c r="T496">
        <f>HYPERLINK("https://klasma.github.io/Logging_1496/karta/A 10610-2023 karta.png", "A 10610-2023")</f>
        <v/>
      </c>
      <c r="V496">
        <f>HYPERLINK("https://klasma.github.io/Logging_1496/klagomål/A 10610-2023 klagomål.docx", "A 10610-2023")</f>
        <v/>
      </c>
      <c r="W496">
        <f>HYPERLINK("https://klasma.github.io/Logging_1496/klagomålsmail/A 10610-2023 klagomålsmail.docx", "A 10610-2023")</f>
        <v/>
      </c>
      <c r="X496">
        <f>HYPERLINK("https://klasma.github.io/Logging_1496/tillsyn/A 10610-2023 tillsyn.docx", "A 10610-2023")</f>
        <v/>
      </c>
      <c r="Y496">
        <f>HYPERLINK("https://klasma.github.io/Logging_1496/tillsynsmail/A 10610-2023 tillsynsmail.docx", "A 10610-2023")</f>
        <v/>
      </c>
    </row>
    <row r="497" ht="15" customHeight="1">
      <c r="A497" t="inlineStr">
        <is>
          <t>A 11214-2023</t>
        </is>
      </c>
      <c r="B497" s="1" t="n">
        <v>44992</v>
      </c>
      <c r="C497" s="1" t="n">
        <v>45212</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HYPERLINK("https://klasma.github.io/Logging_1442/artfynd/A 11214-2023 artfynd.xlsx", "A 11214-2023")</f>
        <v/>
      </c>
      <c r="T497">
        <f>HYPERLINK("https://klasma.github.io/Logging_1442/karta/A 11214-2023 karta.png", "A 11214-2023")</f>
        <v/>
      </c>
      <c r="V497">
        <f>HYPERLINK("https://klasma.github.io/Logging_1442/klagomål/A 11214-2023 klagomål.docx", "A 11214-2023")</f>
        <v/>
      </c>
      <c r="W497">
        <f>HYPERLINK("https://klasma.github.io/Logging_1442/klagomålsmail/A 11214-2023 klagomålsmail.docx", "A 11214-2023")</f>
        <v/>
      </c>
      <c r="X497">
        <f>HYPERLINK("https://klasma.github.io/Logging_1442/tillsyn/A 11214-2023 tillsyn.docx", "A 11214-2023")</f>
        <v/>
      </c>
      <c r="Y497">
        <f>HYPERLINK("https://klasma.github.io/Logging_1442/tillsynsmail/A 11214-2023 tillsynsmail.docx", "A 11214-2023")</f>
        <v/>
      </c>
    </row>
    <row r="498" ht="15" customHeight="1">
      <c r="A498" t="inlineStr">
        <is>
          <t>A 12892-2023</t>
        </is>
      </c>
      <c r="B498" s="1" t="n">
        <v>45001</v>
      </c>
      <c r="C498" s="1" t="n">
        <v>45212</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HYPERLINK("https://klasma.github.io/Logging_1415/artfynd/A 12892-2023 artfynd.xlsx", "A 12892-2023")</f>
        <v/>
      </c>
      <c r="T498">
        <f>HYPERLINK("https://klasma.github.io/Logging_1415/karta/A 12892-2023 karta.png", "A 12892-2023")</f>
        <v/>
      </c>
      <c r="V498">
        <f>HYPERLINK("https://klasma.github.io/Logging_1415/klagomål/A 12892-2023 klagomål.docx", "A 12892-2023")</f>
        <v/>
      </c>
      <c r="W498">
        <f>HYPERLINK("https://klasma.github.io/Logging_1415/klagomålsmail/A 12892-2023 klagomålsmail.docx", "A 12892-2023")</f>
        <v/>
      </c>
      <c r="X498">
        <f>HYPERLINK("https://klasma.github.io/Logging_1415/tillsyn/A 12892-2023 tillsyn.docx", "A 12892-2023")</f>
        <v/>
      </c>
      <c r="Y498">
        <f>HYPERLINK("https://klasma.github.io/Logging_1415/tillsynsmail/A 12892-2023 tillsynsmail.docx", "A 12892-2023")</f>
        <v/>
      </c>
    </row>
    <row r="499" ht="15" customHeight="1">
      <c r="A499" t="inlineStr">
        <is>
          <t>A 12807-2023</t>
        </is>
      </c>
      <c r="B499" s="1" t="n">
        <v>45001</v>
      </c>
      <c r="C499" s="1" t="n">
        <v>45212</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HYPERLINK("https://klasma.github.io/Logging_1463/artfynd/A 12807-2023 artfynd.xlsx", "A 12807-2023")</f>
        <v/>
      </c>
      <c r="T499">
        <f>HYPERLINK("https://klasma.github.io/Logging_1463/karta/A 12807-2023 karta.png", "A 12807-2023")</f>
        <v/>
      </c>
      <c r="U499">
        <f>HYPERLINK("https://klasma.github.io/Logging_1463/knärot/A 12807-2023 knärot.png", "A 12807-2023")</f>
        <v/>
      </c>
      <c r="V499">
        <f>HYPERLINK("https://klasma.github.io/Logging_1463/klagomål/A 12807-2023 klagomål.docx", "A 12807-2023")</f>
        <v/>
      </c>
      <c r="W499">
        <f>HYPERLINK("https://klasma.github.io/Logging_1463/klagomålsmail/A 12807-2023 klagomålsmail.docx", "A 12807-2023")</f>
        <v/>
      </c>
      <c r="X499">
        <f>HYPERLINK("https://klasma.github.io/Logging_1463/tillsyn/A 12807-2023 tillsyn.docx", "A 12807-2023")</f>
        <v/>
      </c>
      <c r="Y499">
        <f>HYPERLINK("https://klasma.github.io/Logging_1463/tillsynsmail/A 12807-2023 tillsynsmail.docx", "A 12807-2023")</f>
        <v/>
      </c>
    </row>
    <row r="500" ht="15" customHeight="1">
      <c r="A500" t="inlineStr">
        <is>
          <t>A 13991-2023</t>
        </is>
      </c>
      <c r="B500" s="1" t="n">
        <v>45008</v>
      </c>
      <c r="C500" s="1" t="n">
        <v>45212</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HYPERLINK("https://klasma.github.io/Logging_1442/artfynd/A 13991-2023 artfynd.xlsx", "A 13991-2023")</f>
        <v/>
      </c>
      <c r="T500">
        <f>HYPERLINK("https://klasma.github.io/Logging_1442/karta/A 13991-2023 karta.png", "A 13991-2023")</f>
        <v/>
      </c>
      <c r="V500">
        <f>HYPERLINK("https://klasma.github.io/Logging_1442/klagomål/A 13991-2023 klagomål.docx", "A 13991-2023")</f>
        <v/>
      </c>
      <c r="W500">
        <f>HYPERLINK("https://klasma.github.io/Logging_1442/klagomålsmail/A 13991-2023 klagomålsmail.docx", "A 13991-2023")</f>
        <v/>
      </c>
      <c r="X500">
        <f>HYPERLINK("https://klasma.github.io/Logging_1442/tillsyn/A 13991-2023 tillsyn.docx", "A 13991-2023")</f>
        <v/>
      </c>
      <c r="Y500">
        <f>HYPERLINK("https://klasma.github.io/Logging_1442/tillsynsmail/A 13991-2023 tillsynsmail.docx", "A 13991-2023")</f>
        <v/>
      </c>
    </row>
    <row r="501" ht="15" customHeight="1">
      <c r="A501" t="inlineStr">
        <is>
          <t>A 14788-2023</t>
        </is>
      </c>
      <c r="B501" s="1" t="n">
        <v>45014</v>
      </c>
      <c r="C501" s="1" t="n">
        <v>45212</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HYPERLINK("https://klasma.github.io/Logging_1421/artfynd/A 14788-2023 artfynd.xlsx", "A 14788-2023")</f>
        <v/>
      </c>
      <c r="T501">
        <f>HYPERLINK("https://klasma.github.io/Logging_1421/karta/A 14788-2023 karta.png", "A 14788-2023")</f>
        <v/>
      </c>
      <c r="U501">
        <f>HYPERLINK("https://klasma.github.io/Logging_1421/knärot/A 14788-2023 knärot.png", "A 14788-2023")</f>
        <v/>
      </c>
      <c r="V501">
        <f>HYPERLINK("https://klasma.github.io/Logging_1421/klagomål/A 14788-2023 klagomål.docx", "A 14788-2023")</f>
        <v/>
      </c>
      <c r="W501">
        <f>HYPERLINK("https://klasma.github.io/Logging_1421/klagomålsmail/A 14788-2023 klagomålsmail.docx", "A 14788-2023")</f>
        <v/>
      </c>
      <c r="X501">
        <f>HYPERLINK("https://klasma.github.io/Logging_1421/tillsyn/A 14788-2023 tillsyn.docx", "A 14788-2023")</f>
        <v/>
      </c>
      <c r="Y501">
        <f>HYPERLINK("https://klasma.github.io/Logging_1421/tillsynsmail/A 14788-2023 tillsynsmail.docx", "A 14788-2023")</f>
        <v/>
      </c>
    </row>
    <row r="502" ht="15" customHeight="1">
      <c r="A502" t="inlineStr">
        <is>
          <t>A 15108-2023</t>
        </is>
      </c>
      <c r="B502" s="1" t="n">
        <v>45016</v>
      </c>
      <c r="C502" s="1" t="n">
        <v>45212</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HYPERLINK("https://klasma.github.io/Logging_1484/artfynd/A 15108-2023 artfynd.xlsx", "A 15108-2023")</f>
        <v/>
      </c>
      <c r="T502">
        <f>HYPERLINK("https://klasma.github.io/Logging_1484/karta/A 15108-2023 karta.png", "A 15108-2023")</f>
        <v/>
      </c>
      <c r="V502">
        <f>HYPERLINK("https://klasma.github.io/Logging_1484/klagomål/A 15108-2023 klagomål.docx", "A 15108-2023")</f>
        <v/>
      </c>
      <c r="W502">
        <f>HYPERLINK("https://klasma.github.io/Logging_1484/klagomålsmail/A 15108-2023 klagomålsmail.docx", "A 15108-2023")</f>
        <v/>
      </c>
      <c r="X502">
        <f>HYPERLINK("https://klasma.github.io/Logging_1484/tillsyn/A 15108-2023 tillsyn.docx", "A 15108-2023")</f>
        <v/>
      </c>
      <c r="Y502">
        <f>HYPERLINK("https://klasma.github.io/Logging_1484/tillsynsmail/A 15108-2023 tillsynsmail.docx", "A 15108-2023")</f>
        <v/>
      </c>
    </row>
    <row r="503" ht="15" customHeight="1">
      <c r="A503" t="inlineStr">
        <is>
          <t>A 17023-2023</t>
        </is>
      </c>
      <c r="B503" s="1" t="n">
        <v>45030</v>
      </c>
      <c r="C503" s="1" t="n">
        <v>45212</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HYPERLINK("https://klasma.github.io/Logging_1463/artfynd/A 17023-2023 artfynd.xlsx", "A 17023-2023")</f>
        <v/>
      </c>
      <c r="T503">
        <f>HYPERLINK("https://klasma.github.io/Logging_1463/karta/A 17023-2023 karta.png", "A 17023-2023")</f>
        <v/>
      </c>
      <c r="V503">
        <f>HYPERLINK("https://klasma.github.io/Logging_1463/klagomål/A 17023-2023 klagomål.docx", "A 17023-2023")</f>
        <v/>
      </c>
      <c r="W503">
        <f>HYPERLINK("https://klasma.github.io/Logging_1463/klagomålsmail/A 17023-2023 klagomålsmail.docx", "A 17023-2023")</f>
        <v/>
      </c>
      <c r="X503">
        <f>HYPERLINK("https://klasma.github.io/Logging_1463/tillsyn/A 17023-2023 tillsyn.docx", "A 17023-2023")</f>
        <v/>
      </c>
      <c r="Y503">
        <f>HYPERLINK("https://klasma.github.io/Logging_1463/tillsynsmail/A 17023-2023 tillsynsmail.docx", "A 17023-2023")</f>
        <v/>
      </c>
    </row>
    <row r="504" ht="15" customHeight="1">
      <c r="A504" t="inlineStr">
        <is>
          <t>A 16904-2023</t>
        </is>
      </c>
      <c r="B504" s="1" t="n">
        <v>45033</v>
      </c>
      <c r="C504" s="1" t="n">
        <v>45212</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HYPERLINK("https://klasma.github.io/Logging_1485/artfynd/A 16904-2023 artfynd.xlsx", "A 16904-2023")</f>
        <v/>
      </c>
      <c r="T504">
        <f>HYPERLINK("https://klasma.github.io/Logging_1485/karta/A 16904-2023 karta.png", "A 16904-2023")</f>
        <v/>
      </c>
      <c r="V504">
        <f>HYPERLINK("https://klasma.github.io/Logging_1485/klagomål/A 16904-2023 klagomål.docx", "A 16904-2023")</f>
        <v/>
      </c>
      <c r="W504">
        <f>HYPERLINK("https://klasma.github.io/Logging_1485/klagomålsmail/A 16904-2023 klagomålsmail.docx", "A 16904-2023")</f>
        <v/>
      </c>
      <c r="X504">
        <f>HYPERLINK("https://klasma.github.io/Logging_1485/tillsyn/A 16904-2023 tillsyn.docx", "A 16904-2023")</f>
        <v/>
      </c>
      <c r="Y504">
        <f>HYPERLINK("https://klasma.github.io/Logging_1485/tillsynsmail/A 16904-2023 tillsynsmail.docx", "A 16904-2023")</f>
        <v/>
      </c>
    </row>
    <row r="505" ht="15" customHeight="1">
      <c r="A505" t="inlineStr">
        <is>
          <t>A 16802-2023</t>
        </is>
      </c>
      <c r="B505" s="1" t="n">
        <v>45033</v>
      </c>
      <c r="C505" s="1" t="n">
        <v>45212</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HYPERLINK("https://klasma.github.io/Logging_1401/artfynd/A 16802-2023 artfynd.xlsx", "A 16802-2023")</f>
        <v/>
      </c>
      <c r="T505">
        <f>HYPERLINK("https://klasma.github.io/Logging_1401/karta/A 16802-2023 karta.png", "A 16802-2023")</f>
        <v/>
      </c>
      <c r="V505">
        <f>HYPERLINK("https://klasma.github.io/Logging_1401/klagomål/A 16802-2023 klagomål.docx", "A 16802-2023")</f>
        <v/>
      </c>
      <c r="W505">
        <f>HYPERLINK("https://klasma.github.io/Logging_1401/klagomålsmail/A 16802-2023 klagomålsmail.docx", "A 16802-2023")</f>
        <v/>
      </c>
      <c r="X505">
        <f>HYPERLINK("https://klasma.github.io/Logging_1401/tillsyn/A 16802-2023 tillsyn.docx", "A 16802-2023")</f>
        <v/>
      </c>
      <c r="Y505">
        <f>HYPERLINK("https://klasma.github.io/Logging_1401/tillsynsmail/A 16802-2023 tillsynsmail.docx", "A 16802-2023")</f>
        <v/>
      </c>
    </row>
    <row r="506" ht="15" customHeight="1">
      <c r="A506" t="inlineStr">
        <is>
          <t>A 17920-2023</t>
        </is>
      </c>
      <c r="B506" s="1" t="n">
        <v>45040</v>
      </c>
      <c r="C506" s="1" t="n">
        <v>45212</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HYPERLINK("https://klasma.github.io/Logging_1487/artfynd/A 17920-2023 artfynd.xlsx", "A 17920-2023")</f>
        <v/>
      </c>
      <c r="T506">
        <f>HYPERLINK("https://klasma.github.io/Logging_1487/karta/A 17920-2023 karta.png", "A 17920-2023")</f>
        <v/>
      </c>
      <c r="V506">
        <f>HYPERLINK("https://klasma.github.io/Logging_1487/klagomål/A 17920-2023 klagomål.docx", "A 17920-2023")</f>
        <v/>
      </c>
      <c r="W506">
        <f>HYPERLINK("https://klasma.github.io/Logging_1487/klagomålsmail/A 17920-2023 klagomålsmail.docx", "A 17920-2023")</f>
        <v/>
      </c>
      <c r="X506">
        <f>HYPERLINK("https://klasma.github.io/Logging_1487/tillsyn/A 17920-2023 tillsyn.docx", "A 17920-2023")</f>
        <v/>
      </c>
      <c r="Y506">
        <f>HYPERLINK("https://klasma.github.io/Logging_1487/tillsynsmail/A 17920-2023 tillsynsmail.docx", "A 17920-2023")</f>
        <v/>
      </c>
    </row>
    <row r="507" ht="15" customHeight="1">
      <c r="A507" t="inlineStr">
        <is>
          <t>A 20209-2023</t>
        </is>
      </c>
      <c r="B507" s="1" t="n">
        <v>45055</v>
      </c>
      <c r="C507" s="1" t="n">
        <v>45212</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HYPERLINK("https://klasma.github.io/Logging_1461/artfynd/A 20209-2023 artfynd.xlsx", "A 20209-2023")</f>
        <v/>
      </c>
      <c r="T507">
        <f>HYPERLINK("https://klasma.github.io/Logging_1461/karta/A 20209-2023 karta.png", "A 20209-2023")</f>
        <v/>
      </c>
      <c r="V507">
        <f>HYPERLINK("https://klasma.github.io/Logging_1461/klagomål/A 20209-2023 klagomål.docx", "A 20209-2023")</f>
        <v/>
      </c>
      <c r="W507">
        <f>HYPERLINK("https://klasma.github.io/Logging_1461/klagomålsmail/A 20209-2023 klagomålsmail.docx", "A 20209-2023")</f>
        <v/>
      </c>
      <c r="X507">
        <f>HYPERLINK("https://klasma.github.io/Logging_1461/tillsyn/A 20209-2023 tillsyn.docx", "A 20209-2023")</f>
        <v/>
      </c>
      <c r="Y507">
        <f>HYPERLINK("https://klasma.github.io/Logging_1461/tillsynsmail/A 20209-2023 tillsynsmail.docx", "A 20209-2023")</f>
        <v/>
      </c>
    </row>
    <row r="508" ht="15" customHeight="1">
      <c r="A508" t="inlineStr">
        <is>
          <t>A 20709-2023</t>
        </is>
      </c>
      <c r="B508" s="1" t="n">
        <v>45058</v>
      </c>
      <c r="C508" s="1" t="n">
        <v>45212</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HYPERLINK("https://klasma.github.io/Logging_1421/artfynd/A 20709-2023 artfynd.xlsx", "A 20709-2023")</f>
        <v/>
      </c>
      <c r="T508">
        <f>HYPERLINK("https://klasma.github.io/Logging_1421/karta/A 20709-2023 karta.png", "A 20709-2023")</f>
        <v/>
      </c>
      <c r="U508">
        <f>HYPERLINK("https://klasma.github.io/Logging_1421/knärot/A 20709-2023 knärot.png", "A 20709-2023")</f>
        <v/>
      </c>
      <c r="V508">
        <f>HYPERLINK("https://klasma.github.io/Logging_1421/klagomål/A 20709-2023 klagomål.docx", "A 20709-2023")</f>
        <v/>
      </c>
      <c r="W508">
        <f>HYPERLINK("https://klasma.github.io/Logging_1421/klagomålsmail/A 20709-2023 klagomålsmail.docx", "A 20709-2023")</f>
        <v/>
      </c>
      <c r="X508">
        <f>HYPERLINK("https://klasma.github.io/Logging_1421/tillsyn/A 20709-2023 tillsyn.docx", "A 20709-2023")</f>
        <v/>
      </c>
      <c r="Y508">
        <f>HYPERLINK("https://klasma.github.io/Logging_1421/tillsynsmail/A 20709-2023 tillsynsmail.docx", "A 20709-2023")</f>
        <v/>
      </c>
    </row>
    <row r="509" ht="15" customHeight="1">
      <c r="A509" t="inlineStr">
        <is>
          <t>A 20753-2023</t>
        </is>
      </c>
      <c r="B509" s="1" t="n">
        <v>45058</v>
      </c>
      <c r="C509" s="1" t="n">
        <v>45212</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HYPERLINK("https://klasma.github.io/Logging_1496/artfynd/A 20753-2023 artfynd.xlsx", "A 20753-2023")</f>
        <v/>
      </c>
      <c r="T509">
        <f>HYPERLINK("https://klasma.github.io/Logging_1496/karta/A 20753-2023 karta.png", "A 20753-2023")</f>
        <v/>
      </c>
      <c r="V509">
        <f>HYPERLINK("https://klasma.github.io/Logging_1496/klagomål/A 20753-2023 klagomål.docx", "A 20753-2023")</f>
        <v/>
      </c>
      <c r="W509">
        <f>HYPERLINK("https://klasma.github.io/Logging_1496/klagomålsmail/A 20753-2023 klagomålsmail.docx", "A 20753-2023")</f>
        <v/>
      </c>
      <c r="X509">
        <f>HYPERLINK("https://klasma.github.io/Logging_1496/tillsyn/A 20753-2023 tillsyn.docx", "A 20753-2023")</f>
        <v/>
      </c>
      <c r="Y509">
        <f>HYPERLINK("https://klasma.github.io/Logging_1496/tillsynsmail/A 20753-2023 tillsynsmail.docx", "A 20753-2023")</f>
        <v/>
      </c>
    </row>
    <row r="510" ht="15" customHeight="1">
      <c r="A510" t="inlineStr">
        <is>
          <t>A 21225-2023</t>
        </is>
      </c>
      <c r="B510" s="1" t="n">
        <v>45058</v>
      </c>
      <c r="C510" s="1" t="n">
        <v>45212</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HYPERLINK("https://klasma.github.io/Logging_1482/artfynd/A 21225-2023 artfynd.xlsx", "A 21225-2023")</f>
        <v/>
      </c>
      <c r="T510">
        <f>HYPERLINK("https://klasma.github.io/Logging_1482/karta/A 21225-2023 karta.png", "A 21225-2023")</f>
        <v/>
      </c>
      <c r="V510">
        <f>HYPERLINK("https://klasma.github.io/Logging_1482/klagomål/A 21225-2023 klagomål.docx", "A 21225-2023")</f>
        <v/>
      </c>
      <c r="W510">
        <f>HYPERLINK("https://klasma.github.io/Logging_1482/klagomålsmail/A 21225-2023 klagomålsmail.docx", "A 21225-2023")</f>
        <v/>
      </c>
      <c r="X510">
        <f>HYPERLINK("https://klasma.github.io/Logging_1482/tillsyn/A 21225-2023 tillsyn.docx", "A 21225-2023")</f>
        <v/>
      </c>
      <c r="Y510">
        <f>HYPERLINK("https://klasma.github.io/Logging_1482/tillsynsmail/A 21225-2023 tillsynsmail.docx", "A 21225-2023")</f>
        <v/>
      </c>
    </row>
    <row r="511" ht="15" customHeight="1">
      <c r="A511" t="inlineStr">
        <is>
          <t>A 21101-2023</t>
        </is>
      </c>
      <c r="B511" s="1" t="n">
        <v>45061</v>
      </c>
      <c r="C511" s="1" t="n">
        <v>45212</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HYPERLINK("https://klasma.github.io/Logging_1401/artfynd/A 21101-2023 artfynd.xlsx", "A 21101-2023")</f>
        <v/>
      </c>
      <c r="T511">
        <f>HYPERLINK("https://klasma.github.io/Logging_1401/karta/A 21101-2023 karta.png", "A 21101-2023")</f>
        <v/>
      </c>
      <c r="V511">
        <f>HYPERLINK("https://klasma.github.io/Logging_1401/klagomål/A 21101-2023 klagomål.docx", "A 21101-2023")</f>
        <v/>
      </c>
      <c r="W511">
        <f>HYPERLINK("https://klasma.github.io/Logging_1401/klagomålsmail/A 21101-2023 klagomålsmail.docx", "A 21101-2023")</f>
        <v/>
      </c>
      <c r="X511">
        <f>HYPERLINK("https://klasma.github.io/Logging_1401/tillsyn/A 21101-2023 tillsyn.docx", "A 21101-2023")</f>
        <v/>
      </c>
      <c r="Y511">
        <f>HYPERLINK("https://klasma.github.io/Logging_1401/tillsynsmail/A 21101-2023 tillsynsmail.docx", "A 21101-2023")</f>
        <v/>
      </c>
    </row>
    <row r="512" ht="15" customHeight="1">
      <c r="A512" t="inlineStr">
        <is>
          <t>A 21300-2023</t>
        </is>
      </c>
      <c r="B512" s="1" t="n">
        <v>45062</v>
      </c>
      <c r="C512" s="1" t="n">
        <v>45212</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HYPERLINK("https://klasma.github.io/Logging_1460/artfynd/A 21300-2023 artfynd.xlsx", "A 21300-2023")</f>
        <v/>
      </c>
      <c r="T512">
        <f>HYPERLINK("https://klasma.github.io/Logging_1460/karta/A 21300-2023 karta.png", "A 21300-2023")</f>
        <v/>
      </c>
      <c r="V512">
        <f>HYPERLINK("https://klasma.github.io/Logging_1460/klagomål/A 21300-2023 klagomål.docx", "A 21300-2023")</f>
        <v/>
      </c>
      <c r="W512">
        <f>HYPERLINK("https://klasma.github.io/Logging_1460/klagomålsmail/A 21300-2023 klagomålsmail.docx", "A 21300-2023")</f>
        <v/>
      </c>
      <c r="X512">
        <f>HYPERLINK("https://klasma.github.io/Logging_1460/tillsyn/A 21300-2023 tillsyn.docx", "A 21300-2023")</f>
        <v/>
      </c>
      <c r="Y512">
        <f>HYPERLINK("https://klasma.github.io/Logging_1460/tillsynsmail/A 21300-2023 tillsynsmail.docx", "A 21300-2023")</f>
        <v/>
      </c>
    </row>
    <row r="513" ht="15" customHeight="1">
      <c r="A513" t="inlineStr">
        <is>
          <t>A 23401-2023</t>
        </is>
      </c>
      <c r="B513" s="1" t="n">
        <v>45076</v>
      </c>
      <c r="C513" s="1" t="n">
        <v>45212</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HYPERLINK("https://klasma.github.io/Logging_1485/artfynd/A 23401-2023 artfynd.xlsx", "A 23401-2023")</f>
        <v/>
      </c>
      <c r="T513">
        <f>HYPERLINK("https://klasma.github.io/Logging_1485/karta/A 23401-2023 karta.png", "A 23401-2023")</f>
        <v/>
      </c>
      <c r="V513">
        <f>HYPERLINK("https://klasma.github.io/Logging_1485/klagomål/A 23401-2023 klagomål.docx", "A 23401-2023")</f>
        <v/>
      </c>
      <c r="W513">
        <f>HYPERLINK("https://klasma.github.io/Logging_1485/klagomålsmail/A 23401-2023 klagomålsmail.docx", "A 23401-2023")</f>
        <v/>
      </c>
      <c r="X513">
        <f>HYPERLINK("https://klasma.github.io/Logging_1485/tillsyn/A 23401-2023 tillsyn.docx", "A 23401-2023")</f>
        <v/>
      </c>
      <c r="Y513">
        <f>HYPERLINK("https://klasma.github.io/Logging_1485/tillsynsmail/A 23401-2023 tillsynsmail.docx", "A 23401-2023")</f>
        <v/>
      </c>
    </row>
    <row r="514" ht="15" customHeight="1">
      <c r="A514" t="inlineStr">
        <is>
          <t>A 23339-2023</t>
        </is>
      </c>
      <c r="B514" s="1" t="n">
        <v>45076</v>
      </c>
      <c r="C514" s="1" t="n">
        <v>45212</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HYPERLINK("https://klasma.github.io/Logging_1440/artfynd/A 23339-2023 artfynd.xlsx", "A 23339-2023")</f>
        <v/>
      </c>
      <c r="T514">
        <f>HYPERLINK("https://klasma.github.io/Logging_1440/karta/A 23339-2023 karta.png", "A 23339-2023")</f>
        <v/>
      </c>
      <c r="V514">
        <f>HYPERLINK("https://klasma.github.io/Logging_1440/klagomål/A 23339-2023 klagomål.docx", "A 23339-2023")</f>
        <v/>
      </c>
      <c r="W514">
        <f>HYPERLINK("https://klasma.github.io/Logging_1440/klagomålsmail/A 23339-2023 klagomålsmail.docx", "A 23339-2023")</f>
        <v/>
      </c>
      <c r="X514">
        <f>HYPERLINK("https://klasma.github.io/Logging_1440/tillsyn/A 23339-2023 tillsyn.docx", "A 23339-2023")</f>
        <v/>
      </c>
      <c r="Y514">
        <f>HYPERLINK("https://klasma.github.io/Logging_1440/tillsynsmail/A 23339-2023 tillsynsmail.docx", "A 23339-2023")</f>
        <v/>
      </c>
    </row>
    <row r="515" ht="15" customHeight="1">
      <c r="A515" t="inlineStr">
        <is>
          <t>A 23414-2023</t>
        </is>
      </c>
      <c r="B515" s="1" t="n">
        <v>45076</v>
      </c>
      <c r="C515" s="1" t="n">
        <v>45212</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HYPERLINK("https://klasma.github.io/Logging_1471/artfynd/A 23414-2023 artfynd.xlsx", "A 23414-2023")</f>
        <v/>
      </c>
      <c r="T515">
        <f>HYPERLINK("https://klasma.github.io/Logging_1471/karta/A 23414-2023 karta.png", "A 23414-2023")</f>
        <v/>
      </c>
      <c r="V515">
        <f>HYPERLINK("https://klasma.github.io/Logging_1471/klagomål/A 23414-2023 klagomål.docx", "A 23414-2023")</f>
        <v/>
      </c>
      <c r="W515">
        <f>HYPERLINK("https://klasma.github.io/Logging_1471/klagomålsmail/A 23414-2023 klagomålsmail.docx", "A 23414-2023")</f>
        <v/>
      </c>
      <c r="X515">
        <f>HYPERLINK("https://klasma.github.io/Logging_1471/tillsyn/A 23414-2023 tillsyn.docx", "A 23414-2023")</f>
        <v/>
      </c>
      <c r="Y515">
        <f>HYPERLINK("https://klasma.github.io/Logging_1471/tillsynsmail/A 23414-2023 tillsynsmail.docx", "A 23414-2023")</f>
        <v/>
      </c>
    </row>
    <row r="516" ht="15" customHeight="1">
      <c r="A516" t="inlineStr">
        <is>
          <t>A 24211-2023</t>
        </is>
      </c>
      <c r="B516" s="1" t="n">
        <v>45079</v>
      </c>
      <c r="C516" s="1" t="n">
        <v>45212</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HYPERLINK("https://klasma.github.io/Logging_1435/artfynd/A 24211-2023 artfynd.xlsx", "A 24211-2023")</f>
        <v/>
      </c>
      <c r="T516">
        <f>HYPERLINK("https://klasma.github.io/Logging_1435/karta/A 24211-2023 karta.png", "A 24211-2023")</f>
        <v/>
      </c>
      <c r="V516">
        <f>HYPERLINK("https://klasma.github.io/Logging_1435/klagomål/A 24211-2023 klagomål.docx", "A 24211-2023")</f>
        <v/>
      </c>
      <c r="W516">
        <f>HYPERLINK("https://klasma.github.io/Logging_1435/klagomålsmail/A 24211-2023 klagomålsmail.docx", "A 24211-2023")</f>
        <v/>
      </c>
      <c r="X516">
        <f>HYPERLINK("https://klasma.github.io/Logging_1435/tillsyn/A 24211-2023 tillsyn.docx", "A 24211-2023")</f>
        <v/>
      </c>
      <c r="Y516">
        <f>HYPERLINK("https://klasma.github.io/Logging_1435/tillsynsmail/A 24211-2023 tillsynsmail.docx", "A 24211-2023")</f>
        <v/>
      </c>
    </row>
    <row r="517" ht="15" customHeight="1">
      <c r="A517" t="inlineStr">
        <is>
          <t>A 25655-2023</t>
        </is>
      </c>
      <c r="B517" s="1" t="n">
        <v>45089</v>
      </c>
      <c r="C517" s="1" t="n">
        <v>45212</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HYPERLINK("https://klasma.github.io/Logging_1462/artfynd/A 25655-2023 artfynd.xlsx", "A 25655-2023")</f>
        <v/>
      </c>
      <c r="T517">
        <f>HYPERLINK("https://klasma.github.io/Logging_1462/karta/A 25655-2023 karta.png", "A 25655-2023")</f>
        <v/>
      </c>
      <c r="V517">
        <f>HYPERLINK("https://klasma.github.io/Logging_1462/klagomål/A 25655-2023 klagomål.docx", "A 25655-2023")</f>
        <v/>
      </c>
      <c r="W517">
        <f>HYPERLINK("https://klasma.github.io/Logging_1462/klagomålsmail/A 25655-2023 klagomålsmail.docx", "A 25655-2023")</f>
        <v/>
      </c>
      <c r="X517">
        <f>HYPERLINK("https://klasma.github.io/Logging_1462/tillsyn/A 25655-2023 tillsyn.docx", "A 25655-2023")</f>
        <v/>
      </c>
      <c r="Y517">
        <f>HYPERLINK("https://klasma.github.io/Logging_1462/tillsynsmail/A 25655-2023 tillsynsmail.docx", "A 25655-2023")</f>
        <v/>
      </c>
    </row>
    <row r="518" ht="15" customHeight="1">
      <c r="A518" t="inlineStr">
        <is>
          <t>A 26330-2023</t>
        </is>
      </c>
      <c r="B518" s="1" t="n">
        <v>45091</v>
      </c>
      <c r="C518" s="1" t="n">
        <v>45212</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HYPERLINK("https://klasma.github.io/Logging_1401/artfynd/A 26330-2023 artfynd.xlsx", "A 26330-2023")</f>
        <v/>
      </c>
      <c r="T518">
        <f>HYPERLINK("https://klasma.github.io/Logging_1401/karta/A 26330-2023 karta.png", "A 26330-2023")</f>
        <v/>
      </c>
      <c r="V518">
        <f>HYPERLINK("https://klasma.github.io/Logging_1401/klagomål/A 26330-2023 klagomål.docx", "A 26330-2023")</f>
        <v/>
      </c>
      <c r="W518">
        <f>HYPERLINK("https://klasma.github.io/Logging_1401/klagomålsmail/A 26330-2023 klagomålsmail.docx", "A 26330-2023")</f>
        <v/>
      </c>
      <c r="X518">
        <f>HYPERLINK("https://klasma.github.io/Logging_1401/tillsyn/A 26330-2023 tillsyn.docx", "A 26330-2023")</f>
        <v/>
      </c>
      <c r="Y518">
        <f>HYPERLINK("https://klasma.github.io/Logging_1401/tillsynsmail/A 26330-2023 tillsynsmail.docx", "A 26330-2023")</f>
        <v/>
      </c>
    </row>
    <row r="519" ht="15" customHeight="1">
      <c r="A519" t="inlineStr">
        <is>
          <t>A 26384-2023</t>
        </is>
      </c>
      <c r="B519" s="1" t="n">
        <v>45092</v>
      </c>
      <c r="C519" s="1" t="n">
        <v>45212</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HYPERLINK("https://klasma.github.io/Logging_1489/artfynd/A 26384-2023 artfynd.xlsx", "A 26384-2023")</f>
        <v/>
      </c>
      <c r="T519">
        <f>HYPERLINK("https://klasma.github.io/Logging_1489/karta/A 26384-2023 karta.png", "A 26384-2023")</f>
        <v/>
      </c>
      <c r="V519">
        <f>HYPERLINK("https://klasma.github.io/Logging_1489/klagomål/A 26384-2023 klagomål.docx", "A 26384-2023")</f>
        <v/>
      </c>
      <c r="W519">
        <f>HYPERLINK("https://klasma.github.io/Logging_1489/klagomålsmail/A 26384-2023 klagomålsmail.docx", "A 26384-2023")</f>
        <v/>
      </c>
      <c r="X519">
        <f>HYPERLINK("https://klasma.github.io/Logging_1489/tillsyn/A 26384-2023 tillsyn.docx", "A 26384-2023")</f>
        <v/>
      </c>
      <c r="Y519">
        <f>HYPERLINK("https://klasma.github.io/Logging_1489/tillsynsmail/A 26384-2023 tillsynsmail.docx", "A 26384-2023")</f>
        <v/>
      </c>
    </row>
    <row r="520" ht="15" customHeight="1">
      <c r="A520" t="inlineStr">
        <is>
          <t>A 27182-2023</t>
        </is>
      </c>
      <c r="B520" s="1" t="n">
        <v>45096</v>
      </c>
      <c r="C520" s="1" t="n">
        <v>45212</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HYPERLINK("https://klasma.github.io/Logging_1452/artfynd/A 27182-2023 artfynd.xlsx", "A 27182-2023")</f>
        <v/>
      </c>
      <c r="T520">
        <f>HYPERLINK("https://klasma.github.io/Logging_1452/karta/A 27182-2023 karta.png", "A 27182-2023")</f>
        <v/>
      </c>
      <c r="V520">
        <f>HYPERLINK("https://klasma.github.io/Logging_1452/klagomål/A 27182-2023 klagomål.docx", "A 27182-2023")</f>
        <v/>
      </c>
      <c r="W520">
        <f>HYPERLINK("https://klasma.github.io/Logging_1452/klagomålsmail/A 27182-2023 klagomålsmail.docx", "A 27182-2023")</f>
        <v/>
      </c>
      <c r="X520">
        <f>HYPERLINK("https://klasma.github.io/Logging_1452/tillsyn/A 27182-2023 tillsyn.docx", "A 27182-2023")</f>
        <v/>
      </c>
      <c r="Y520">
        <f>HYPERLINK("https://klasma.github.io/Logging_1452/tillsynsmail/A 27182-2023 tillsynsmail.docx", "A 27182-2023")</f>
        <v/>
      </c>
    </row>
    <row r="521" ht="15" customHeight="1">
      <c r="A521" t="inlineStr">
        <is>
          <t>A 27922-2023</t>
        </is>
      </c>
      <c r="B521" s="1" t="n">
        <v>45098</v>
      </c>
      <c r="C521" s="1" t="n">
        <v>45212</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HYPERLINK("https://klasma.github.io/Logging_1480/artfynd/A 27922-2023 artfynd.xlsx", "A 27922-2023")</f>
        <v/>
      </c>
      <c r="T521">
        <f>HYPERLINK("https://klasma.github.io/Logging_1480/karta/A 27922-2023 karta.png", "A 27922-2023")</f>
        <v/>
      </c>
      <c r="V521">
        <f>HYPERLINK("https://klasma.github.io/Logging_1480/klagomål/A 27922-2023 klagomål.docx", "A 27922-2023")</f>
        <v/>
      </c>
      <c r="W521">
        <f>HYPERLINK("https://klasma.github.io/Logging_1480/klagomålsmail/A 27922-2023 klagomålsmail.docx", "A 27922-2023")</f>
        <v/>
      </c>
      <c r="X521">
        <f>HYPERLINK("https://klasma.github.io/Logging_1480/tillsyn/A 27922-2023 tillsyn.docx", "A 27922-2023")</f>
        <v/>
      </c>
      <c r="Y521">
        <f>HYPERLINK("https://klasma.github.io/Logging_1480/tillsynsmail/A 27922-2023 tillsynsmail.docx", "A 27922-2023")</f>
        <v/>
      </c>
    </row>
    <row r="522" ht="15" customHeight="1">
      <c r="A522" t="inlineStr">
        <is>
          <t>A 29265-2023</t>
        </is>
      </c>
      <c r="B522" s="1" t="n">
        <v>45105</v>
      </c>
      <c r="C522" s="1" t="n">
        <v>45212</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HYPERLINK("https://klasma.github.io/Logging_1487/artfynd/A 29265-2023 artfynd.xlsx", "A 29265-2023")</f>
        <v/>
      </c>
      <c r="T522">
        <f>HYPERLINK("https://klasma.github.io/Logging_1487/karta/A 29265-2023 karta.png", "A 29265-2023")</f>
        <v/>
      </c>
      <c r="V522">
        <f>HYPERLINK("https://klasma.github.io/Logging_1487/klagomål/A 29265-2023 klagomål.docx", "A 29265-2023")</f>
        <v/>
      </c>
      <c r="W522">
        <f>HYPERLINK("https://klasma.github.io/Logging_1487/klagomålsmail/A 29265-2023 klagomålsmail.docx", "A 29265-2023")</f>
        <v/>
      </c>
      <c r="X522">
        <f>HYPERLINK("https://klasma.github.io/Logging_1487/tillsyn/A 29265-2023 tillsyn.docx", "A 29265-2023")</f>
        <v/>
      </c>
      <c r="Y522">
        <f>HYPERLINK("https://klasma.github.io/Logging_1487/tillsynsmail/A 29265-2023 tillsynsmail.docx", "A 29265-2023")</f>
        <v/>
      </c>
    </row>
    <row r="523" ht="15" customHeight="1">
      <c r="A523" t="inlineStr">
        <is>
          <t>A 30777-2023</t>
        </is>
      </c>
      <c r="B523" s="1" t="n">
        <v>45112</v>
      </c>
      <c r="C523" s="1" t="n">
        <v>45212</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HYPERLINK("https://klasma.github.io/Logging_1443/artfynd/A 30777-2023 artfynd.xlsx", "A 30777-2023")</f>
        <v/>
      </c>
      <c r="T523">
        <f>HYPERLINK("https://klasma.github.io/Logging_1443/karta/A 30777-2023 karta.png", "A 30777-2023")</f>
        <v/>
      </c>
      <c r="V523">
        <f>HYPERLINK("https://klasma.github.io/Logging_1443/klagomål/A 30777-2023 klagomål.docx", "A 30777-2023")</f>
        <v/>
      </c>
      <c r="W523">
        <f>HYPERLINK("https://klasma.github.io/Logging_1443/klagomålsmail/A 30777-2023 klagomålsmail.docx", "A 30777-2023")</f>
        <v/>
      </c>
      <c r="X523">
        <f>HYPERLINK("https://klasma.github.io/Logging_1443/tillsyn/A 30777-2023 tillsyn.docx", "A 30777-2023")</f>
        <v/>
      </c>
      <c r="Y523">
        <f>HYPERLINK("https://klasma.github.io/Logging_1443/tillsynsmail/A 30777-2023 tillsynsmail.docx", "A 30777-2023")</f>
        <v/>
      </c>
    </row>
    <row r="524" ht="15" customHeight="1">
      <c r="A524" t="inlineStr">
        <is>
          <t>A 30785-2023</t>
        </is>
      </c>
      <c r="B524" s="1" t="n">
        <v>45112</v>
      </c>
      <c r="C524" s="1" t="n">
        <v>45212</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HYPERLINK("https://klasma.github.io/Logging_1443/artfynd/A 30785-2023 artfynd.xlsx", "A 30785-2023")</f>
        <v/>
      </c>
      <c r="T524">
        <f>HYPERLINK("https://klasma.github.io/Logging_1443/karta/A 30785-2023 karta.png", "A 30785-2023")</f>
        <v/>
      </c>
      <c r="V524">
        <f>HYPERLINK("https://klasma.github.io/Logging_1443/klagomål/A 30785-2023 klagomål.docx", "A 30785-2023")</f>
        <v/>
      </c>
      <c r="W524">
        <f>HYPERLINK("https://klasma.github.io/Logging_1443/klagomålsmail/A 30785-2023 klagomålsmail.docx", "A 30785-2023")</f>
        <v/>
      </c>
      <c r="X524">
        <f>HYPERLINK("https://klasma.github.io/Logging_1443/tillsyn/A 30785-2023 tillsyn.docx", "A 30785-2023")</f>
        <v/>
      </c>
      <c r="Y524">
        <f>HYPERLINK("https://klasma.github.io/Logging_1443/tillsynsmail/A 30785-2023 tillsynsmail.docx", "A 30785-2023")</f>
        <v/>
      </c>
    </row>
    <row r="525" ht="15" customHeight="1">
      <c r="A525" t="inlineStr">
        <is>
          <t>A 30666-2023</t>
        </is>
      </c>
      <c r="B525" s="1" t="n">
        <v>45112</v>
      </c>
      <c r="C525" s="1" t="n">
        <v>45212</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HYPERLINK("https://klasma.github.io/Logging_1443/artfynd/A 30666-2023 artfynd.xlsx", "A 30666-2023")</f>
        <v/>
      </c>
      <c r="T525">
        <f>HYPERLINK("https://klasma.github.io/Logging_1443/karta/A 30666-2023 karta.png", "A 30666-2023")</f>
        <v/>
      </c>
      <c r="V525">
        <f>HYPERLINK("https://klasma.github.io/Logging_1443/klagomål/A 30666-2023 klagomål.docx", "A 30666-2023")</f>
        <v/>
      </c>
      <c r="W525">
        <f>HYPERLINK("https://klasma.github.io/Logging_1443/klagomålsmail/A 30666-2023 klagomålsmail.docx", "A 30666-2023")</f>
        <v/>
      </c>
      <c r="X525">
        <f>HYPERLINK("https://klasma.github.io/Logging_1443/tillsyn/A 30666-2023 tillsyn.docx", "A 30666-2023")</f>
        <v/>
      </c>
      <c r="Y525">
        <f>HYPERLINK("https://klasma.github.io/Logging_1443/tillsynsmail/A 30666-2023 tillsynsmail.docx", "A 30666-2023")</f>
        <v/>
      </c>
    </row>
    <row r="526" ht="15" customHeight="1">
      <c r="A526" t="inlineStr">
        <is>
          <t>A 30671-2023</t>
        </is>
      </c>
      <c r="B526" s="1" t="n">
        <v>45112</v>
      </c>
      <c r="C526" s="1" t="n">
        <v>45212</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HYPERLINK("https://klasma.github.io/Logging_1443/artfynd/A 30671-2023 artfynd.xlsx", "A 30671-2023")</f>
        <v/>
      </c>
      <c r="T526">
        <f>HYPERLINK("https://klasma.github.io/Logging_1443/karta/A 30671-2023 karta.png", "A 30671-2023")</f>
        <v/>
      </c>
      <c r="U526">
        <f>HYPERLINK("https://klasma.github.io/Logging_1443/knärot/A 30671-2023 knärot.png", "A 30671-2023")</f>
        <v/>
      </c>
      <c r="V526">
        <f>HYPERLINK("https://klasma.github.io/Logging_1443/klagomål/A 30671-2023 klagomål.docx", "A 30671-2023")</f>
        <v/>
      </c>
      <c r="W526">
        <f>HYPERLINK("https://klasma.github.io/Logging_1443/klagomålsmail/A 30671-2023 klagomålsmail.docx", "A 30671-2023")</f>
        <v/>
      </c>
      <c r="X526">
        <f>HYPERLINK("https://klasma.github.io/Logging_1443/tillsyn/A 30671-2023 tillsyn.docx", "A 30671-2023")</f>
        <v/>
      </c>
      <c r="Y526">
        <f>HYPERLINK("https://klasma.github.io/Logging_1443/tillsynsmail/A 30671-2023 tillsynsmail.docx", "A 30671-2023")</f>
        <v/>
      </c>
    </row>
    <row r="527" ht="15" customHeight="1">
      <c r="A527" t="inlineStr">
        <is>
          <t>A 31742-2023</t>
        </is>
      </c>
      <c r="B527" s="1" t="n">
        <v>45117</v>
      </c>
      <c r="C527" s="1" t="n">
        <v>45212</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HYPERLINK("https://klasma.github.io/Logging_1443/artfynd/A 31742-2023 artfynd.xlsx", "A 31742-2023")</f>
        <v/>
      </c>
      <c r="T527">
        <f>HYPERLINK("https://klasma.github.io/Logging_1443/karta/A 31742-2023 karta.png", "A 31742-2023")</f>
        <v/>
      </c>
      <c r="V527">
        <f>HYPERLINK("https://klasma.github.io/Logging_1443/klagomål/A 31742-2023 klagomål.docx", "A 31742-2023")</f>
        <v/>
      </c>
      <c r="W527">
        <f>HYPERLINK("https://klasma.github.io/Logging_1443/klagomålsmail/A 31742-2023 klagomålsmail.docx", "A 31742-2023")</f>
        <v/>
      </c>
      <c r="X527">
        <f>HYPERLINK("https://klasma.github.io/Logging_1443/tillsyn/A 31742-2023 tillsyn.docx", "A 31742-2023")</f>
        <v/>
      </c>
      <c r="Y527">
        <f>HYPERLINK("https://klasma.github.io/Logging_1443/tillsynsmail/A 31742-2023 tillsynsmail.docx", "A 31742-2023")</f>
        <v/>
      </c>
    </row>
    <row r="528" ht="15" customHeight="1">
      <c r="A528" t="inlineStr">
        <is>
          <t>A 32284-2023</t>
        </is>
      </c>
      <c r="B528" s="1" t="n">
        <v>45120</v>
      </c>
      <c r="C528" s="1" t="n">
        <v>45212</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HYPERLINK("https://klasma.github.io/Logging_1438/artfynd/A 32284-2023 artfynd.xlsx", "A 32284-2023")</f>
        <v/>
      </c>
      <c r="T528">
        <f>HYPERLINK("https://klasma.github.io/Logging_1438/karta/A 32284-2023 karta.png", "A 32284-2023")</f>
        <v/>
      </c>
      <c r="V528">
        <f>HYPERLINK("https://klasma.github.io/Logging_1438/klagomål/A 32284-2023 klagomål.docx", "A 32284-2023")</f>
        <v/>
      </c>
      <c r="W528">
        <f>HYPERLINK("https://klasma.github.io/Logging_1438/klagomålsmail/A 32284-2023 klagomålsmail.docx", "A 32284-2023")</f>
        <v/>
      </c>
      <c r="X528">
        <f>HYPERLINK("https://klasma.github.io/Logging_1438/tillsyn/A 32284-2023 tillsyn.docx", "A 32284-2023")</f>
        <v/>
      </c>
      <c r="Y528">
        <f>HYPERLINK("https://klasma.github.io/Logging_1438/tillsynsmail/A 32284-2023 tillsynsmail.docx", "A 32284-2023")</f>
        <v/>
      </c>
    </row>
    <row r="529" ht="15" customHeight="1">
      <c r="A529" t="inlineStr">
        <is>
          <t>A 34166-2023</t>
        </is>
      </c>
      <c r="B529" s="1" t="n">
        <v>45137</v>
      </c>
      <c r="C529" s="1" t="n">
        <v>45212</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HYPERLINK("https://klasma.github.io/Logging_1463/artfynd/A 34166-2023 artfynd.xlsx", "A 34166-2023")</f>
        <v/>
      </c>
      <c r="T529">
        <f>HYPERLINK("https://klasma.github.io/Logging_1463/karta/A 34166-2023 karta.png", "A 34166-2023")</f>
        <v/>
      </c>
      <c r="V529">
        <f>HYPERLINK("https://klasma.github.io/Logging_1463/klagomål/A 34166-2023 klagomål.docx", "A 34166-2023")</f>
        <v/>
      </c>
      <c r="W529">
        <f>HYPERLINK("https://klasma.github.io/Logging_1463/klagomålsmail/A 34166-2023 klagomålsmail.docx", "A 34166-2023")</f>
        <v/>
      </c>
      <c r="X529">
        <f>HYPERLINK("https://klasma.github.io/Logging_1463/tillsyn/A 34166-2023 tillsyn.docx", "A 34166-2023")</f>
        <v/>
      </c>
      <c r="Y529">
        <f>HYPERLINK("https://klasma.github.io/Logging_1463/tillsynsmail/A 34166-2023 tillsynsmail.docx", "A 34166-2023")</f>
        <v/>
      </c>
    </row>
    <row r="530" ht="15" customHeight="1">
      <c r="A530" t="inlineStr">
        <is>
          <t>A 34450-2023</t>
        </is>
      </c>
      <c r="B530" s="1" t="n">
        <v>45139</v>
      </c>
      <c r="C530" s="1" t="n">
        <v>45212</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HYPERLINK("https://klasma.github.io/Logging_1471/artfynd/A 34450-2023 artfynd.xlsx", "A 34450-2023")</f>
        <v/>
      </c>
      <c r="T530">
        <f>HYPERLINK("https://klasma.github.io/Logging_1471/karta/A 34450-2023 karta.png", "A 34450-2023")</f>
        <v/>
      </c>
      <c r="V530">
        <f>HYPERLINK("https://klasma.github.io/Logging_1471/klagomål/A 34450-2023 klagomål.docx", "A 34450-2023")</f>
        <v/>
      </c>
      <c r="W530">
        <f>HYPERLINK("https://klasma.github.io/Logging_1471/klagomålsmail/A 34450-2023 klagomålsmail.docx", "A 34450-2023")</f>
        <v/>
      </c>
      <c r="X530">
        <f>HYPERLINK("https://klasma.github.io/Logging_1471/tillsyn/A 34450-2023 tillsyn.docx", "A 34450-2023")</f>
        <v/>
      </c>
      <c r="Y530">
        <f>HYPERLINK("https://klasma.github.io/Logging_1471/tillsynsmail/A 34450-2023 tillsynsmail.docx", "A 34450-2023")</f>
        <v/>
      </c>
    </row>
    <row r="531" ht="15" customHeight="1">
      <c r="A531" t="inlineStr">
        <is>
          <t>A 34766-2023</t>
        </is>
      </c>
      <c r="B531" s="1" t="n">
        <v>45140</v>
      </c>
      <c r="C531" s="1" t="n">
        <v>45212</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HYPERLINK("https://klasma.github.io/Logging_1491/artfynd/A 34766-2023 artfynd.xlsx", "A 34766-2023")</f>
        <v/>
      </c>
      <c r="T531">
        <f>HYPERLINK("https://klasma.github.io/Logging_1491/karta/A 34766-2023 karta.png", "A 34766-2023")</f>
        <v/>
      </c>
      <c r="V531">
        <f>HYPERLINK("https://klasma.github.io/Logging_1491/klagomål/A 34766-2023 klagomål.docx", "A 34766-2023")</f>
        <v/>
      </c>
      <c r="W531">
        <f>HYPERLINK("https://klasma.github.io/Logging_1491/klagomålsmail/A 34766-2023 klagomålsmail.docx", "A 34766-2023")</f>
        <v/>
      </c>
      <c r="X531">
        <f>HYPERLINK("https://klasma.github.io/Logging_1491/tillsyn/A 34766-2023 tillsyn.docx", "A 34766-2023")</f>
        <v/>
      </c>
      <c r="Y531">
        <f>HYPERLINK("https://klasma.github.io/Logging_1491/tillsynsmail/A 34766-2023 tillsynsmail.docx", "A 34766-2023")</f>
        <v/>
      </c>
    </row>
    <row r="532" ht="15" customHeight="1">
      <c r="A532" t="inlineStr">
        <is>
          <t>A 37767-2023</t>
        </is>
      </c>
      <c r="B532" s="1" t="n">
        <v>45159</v>
      </c>
      <c r="C532" s="1" t="n">
        <v>45212</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HYPERLINK("https://klasma.github.io/Logging_1447/artfynd/A 37767-2023 artfynd.xlsx", "A 37767-2023")</f>
        <v/>
      </c>
      <c r="T532">
        <f>HYPERLINK("https://klasma.github.io/Logging_1447/karta/A 37767-2023 karta.png", "A 37767-2023")</f>
        <v/>
      </c>
      <c r="V532">
        <f>HYPERLINK("https://klasma.github.io/Logging_1447/klagomål/A 37767-2023 klagomål.docx", "A 37767-2023")</f>
        <v/>
      </c>
      <c r="W532">
        <f>HYPERLINK("https://klasma.github.io/Logging_1447/klagomålsmail/A 37767-2023 klagomålsmail.docx", "A 37767-2023")</f>
        <v/>
      </c>
      <c r="X532">
        <f>HYPERLINK("https://klasma.github.io/Logging_1447/tillsyn/A 37767-2023 tillsyn.docx", "A 37767-2023")</f>
        <v/>
      </c>
      <c r="Y532">
        <f>HYPERLINK("https://klasma.github.io/Logging_1447/tillsynsmail/A 37767-2023 tillsynsmail.docx", "A 37767-2023")</f>
        <v/>
      </c>
    </row>
    <row r="533" ht="15" customHeight="1">
      <c r="A533" t="inlineStr">
        <is>
          <t>A 49233-2023</t>
        </is>
      </c>
      <c r="B533" s="1" t="n">
        <v>45210</v>
      </c>
      <c r="C533" s="1" t="n">
        <v>45212</v>
      </c>
      <c r="D533" t="inlineStr">
        <is>
          <t>VÄSTRA GÖTALANDS LÄN</t>
        </is>
      </c>
      <c r="E533" t="inlineStr">
        <is>
          <t>MARIESTAD</t>
        </is>
      </c>
      <c r="G533" t="n">
        <v>6.1</v>
      </c>
      <c r="H533" t="n">
        <v>0</v>
      </c>
      <c r="I533" t="n">
        <v>1</v>
      </c>
      <c r="J533" t="n">
        <v>0</v>
      </c>
      <c r="K533" t="n">
        <v>0</v>
      </c>
      <c r="L533" t="n">
        <v>0</v>
      </c>
      <c r="M533" t="n">
        <v>0</v>
      </c>
      <c r="N533" t="n">
        <v>0</v>
      </c>
      <c r="O533" t="n">
        <v>0</v>
      </c>
      <c r="P533" t="n">
        <v>0</v>
      </c>
      <c r="Q533" t="n">
        <v>1</v>
      </c>
      <c r="R533" s="2" t="inlineStr">
        <is>
          <t>Lönnlav</t>
        </is>
      </c>
      <c r="S533">
        <f>HYPERLINK("https://klasma.github.io/Logging_1493/artfynd/A 49233-2023 artfynd.xlsx", "A 49233-2023")</f>
        <v/>
      </c>
      <c r="T533">
        <f>HYPERLINK("https://klasma.github.io/Logging_1493/karta/A 49233-2023 karta.png", "A 49233-2023")</f>
        <v/>
      </c>
      <c r="V533">
        <f>HYPERLINK("https://klasma.github.io/Logging_1493/klagomål/A 49233-2023 klagomål.docx", "A 49233-2023")</f>
        <v/>
      </c>
      <c r="W533">
        <f>HYPERLINK("https://klasma.github.io/Logging_1493/klagomålsmail/A 49233-2023 klagomålsmail.docx", "A 49233-2023")</f>
        <v/>
      </c>
      <c r="X533">
        <f>HYPERLINK("https://klasma.github.io/Logging_1493/tillsyn/A 49233-2023 tillsyn.docx", "A 49233-2023")</f>
        <v/>
      </c>
      <c r="Y533">
        <f>HYPERLINK("https://klasma.github.io/Logging_1493/tillsynsmail/A 49233-2023 tillsynsmail.docx", "A 49233-2023")</f>
        <v/>
      </c>
    </row>
    <row r="534" ht="15" customHeight="1">
      <c r="A534" t="inlineStr">
        <is>
          <t>A 33939-2018</t>
        </is>
      </c>
      <c r="B534" s="1" t="n">
        <v>43314</v>
      </c>
      <c r="C534" s="1" t="n">
        <v>45212</v>
      </c>
      <c r="D534" t="inlineStr">
        <is>
          <t>VÄSTRA GÖTALANDS LÄN</t>
        </is>
      </c>
      <c r="E534" t="inlineStr">
        <is>
          <t>BENGTSFORS</t>
        </is>
      </c>
      <c r="G534" t="n">
        <v>3.6</v>
      </c>
      <c r="H534" t="n">
        <v>0</v>
      </c>
      <c r="I534" t="n">
        <v>0</v>
      </c>
      <c r="J534" t="n">
        <v>0</v>
      </c>
      <c r="K534" t="n">
        <v>0</v>
      </c>
      <c r="L534" t="n">
        <v>0</v>
      </c>
      <c r="M534" t="n">
        <v>0</v>
      </c>
      <c r="N534" t="n">
        <v>0</v>
      </c>
      <c r="O534" t="n">
        <v>0</v>
      </c>
      <c r="P534" t="n">
        <v>0</v>
      </c>
      <c r="Q534" t="n">
        <v>0</v>
      </c>
      <c r="R534" s="2" t="inlineStr"/>
    </row>
    <row r="535" ht="15" customHeight="1">
      <c r="A535" t="inlineStr">
        <is>
          <t>A 33888-2018</t>
        </is>
      </c>
      <c r="B535" s="1" t="n">
        <v>43314</v>
      </c>
      <c r="C535" s="1" t="n">
        <v>45212</v>
      </c>
      <c r="D535" t="inlineStr">
        <is>
          <t>VÄSTRA GÖTALANDS LÄN</t>
        </is>
      </c>
      <c r="E535" t="inlineStr">
        <is>
          <t>SVENLJUNGA</t>
        </is>
      </c>
      <c r="G535" t="n">
        <v>2.1</v>
      </c>
      <c r="H535" t="n">
        <v>0</v>
      </c>
      <c r="I535" t="n">
        <v>0</v>
      </c>
      <c r="J535" t="n">
        <v>0</v>
      </c>
      <c r="K535" t="n">
        <v>0</v>
      </c>
      <c r="L535" t="n">
        <v>0</v>
      </c>
      <c r="M535" t="n">
        <v>0</v>
      </c>
      <c r="N535" t="n">
        <v>0</v>
      </c>
      <c r="O535" t="n">
        <v>0</v>
      </c>
      <c r="P535" t="n">
        <v>0</v>
      </c>
      <c r="Q535" t="n">
        <v>0</v>
      </c>
      <c r="R535" s="2" t="inlineStr"/>
    </row>
    <row r="536" ht="15" customHeight="1">
      <c r="A536" t="inlineStr">
        <is>
          <t>A 33992-2018</t>
        </is>
      </c>
      <c r="B536" s="1" t="n">
        <v>43314</v>
      </c>
      <c r="C536" s="1" t="n">
        <v>45212</v>
      </c>
      <c r="D536" t="inlineStr">
        <is>
          <t>VÄSTRA GÖTALANDS LÄN</t>
        </is>
      </c>
      <c r="E536" t="inlineStr">
        <is>
          <t>HJO</t>
        </is>
      </c>
      <c r="G536" t="n">
        <v>5.1</v>
      </c>
      <c r="H536" t="n">
        <v>0</v>
      </c>
      <c r="I536" t="n">
        <v>0</v>
      </c>
      <c r="J536" t="n">
        <v>0</v>
      </c>
      <c r="K536" t="n">
        <v>0</v>
      </c>
      <c r="L536" t="n">
        <v>0</v>
      </c>
      <c r="M536" t="n">
        <v>0</v>
      </c>
      <c r="N536" t="n">
        <v>0</v>
      </c>
      <c r="O536" t="n">
        <v>0</v>
      </c>
      <c r="P536" t="n">
        <v>0</v>
      </c>
      <c r="Q536" t="n">
        <v>0</v>
      </c>
      <c r="R536" s="2" t="inlineStr"/>
    </row>
    <row r="537" ht="15" customHeight="1">
      <c r="A537" t="inlineStr">
        <is>
          <t>A 33897-2018</t>
        </is>
      </c>
      <c r="B537" s="1" t="n">
        <v>43314</v>
      </c>
      <c r="C537" s="1" t="n">
        <v>45212</v>
      </c>
      <c r="D537" t="inlineStr">
        <is>
          <t>VÄSTRA GÖTALANDS LÄN</t>
        </is>
      </c>
      <c r="E537" t="inlineStr">
        <is>
          <t>HERRLJUNGA</t>
        </is>
      </c>
      <c r="G537" t="n">
        <v>18.2</v>
      </c>
      <c r="H537" t="n">
        <v>0</v>
      </c>
      <c r="I537" t="n">
        <v>0</v>
      </c>
      <c r="J537" t="n">
        <v>0</v>
      </c>
      <c r="K537" t="n">
        <v>0</v>
      </c>
      <c r="L537" t="n">
        <v>0</v>
      </c>
      <c r="M537" t="n">
        <v>0</v>
      </c>
      <c r="N537" t="n">
        <v>0</v>
      </c>
      <c r="O537" t="n">
        <v>0</v>
      </c>
      <c r="P537" t="n">
        <v>0</v>
      </c>
      <c r="Q537" t="n">
        <v>0</v>
      </c>
      <c r="R537" s="2" t="inlineStr"/>
    </row>
    <row r="538" ht="15" customHeight="1">
      <c r="A538" t="inlineStr">
        <is>
          <t>A 34019-2018</t>
        </is>
      </c>
      <c r="B538" s="1" t="n">
        <v>43315</v>
      </c>
      <c r="C538" s="1" t="n">
        <v>45212</v>
      </c>
      <c r="D538" t="inlineStr">
        <is>
          <t>VÄSTRA GÖTALANDS LÄN</t>
        </is>
      </c>
      <c r="E538" t="inlineStr">
        <is>
          <t>HÄRRYDA</t>
        </is>
      </c>
      <c r="G538" t="n">
        <v>0.9</v>
      </c>
      <c r="H538" t="n">
        <v>0</v>
      </c>
      <c r="I538" t="n">
        <v>0</v>
      </c>
      <c r="J538" t="n">
        <v>0</v>
      </c>
      <c r="K538" t="n">
        <v>0</v>
      </c>
      <c r="L538" t="n">
        <v>0</v>
      </c>
      <c r="M538" t="n">
        <v>0</v>
      </c>
      <c r="N538" t="n">
        <v>0</v>
      </c>
      <c r="O538" t="n">
        <v>0</v>
      </c>
      <c r="P538" t="n">
        <v>0</v>
      </c>
      <c r="Q538" t="n">
        <v>0</v>
      </c>
      <c r="R538" s="2" t="inlineStr"/>
    </row>
    <row r="539" ht="15" customHeight="1">
      <c r="A539" t="inlineStr">
        <is>
          <t>A 34014-2018</t>
        </is>
      </c>
      <c r="B539" s="1" t="n">
        <v>43315</v>
      </c>
      <c r="C539" s="1" t="n">
        <v>45212</v>
      </c>
      <c r="D539" t="inlineStr">
        <is>
          <t>VÄSTRA GÖTALANDS LÄN</t>
        </is>
      </c>
      <c r="E539" t="inlineStr">
        <is>
          <t>ÅMÅL</t>
        </is>
      </c>
      <c r="G539" t="n">
        <v>0.7</v>
      </c>
      <c r="H539" t="n">
        <v>0</v>
      </c>
      <c r="I539" t="n">
        <v>0</v>
      </c>
      <c r="J539" t="n">
        <v>0</v>
      </c>
      <c r="K539" t="n">
        <v>0</v>
      </c>
      <c r="L539" t="n">
        <v>0</v>
      </c>
      <c r="M539" t="n">
        <v>0</v>
      </c>
      <c r="N539" t="n">
        <v>0</v>
      </c>
      <c r="O539" t="n">
        <v>0</v>
      </c>
      <c r="P539" t="n">
        <v>0</v>
      </c>
      <c r="Q539" t="n">
        <v>0</v>
      </c>
      <c r="R539" s="2" t="inlineStr"/>
    </row>
    <row r="540" ht="15" customHeight="1">
      <c r="A540" t="inlineStr">
        <is>
          <t>A 34456-2018</t>
        </is>
      </c>
      <c r="B540" s="1" t="n">
        <v>43319</v>
      </c>
      <c r="C540" s="1" t="n">
        <v>45212</v>
      </c>
      <c r="D540" t="inlineStr">
        <is>
          <t>VÄSTRA GÖTALANDS LÄN</t>
        </is>
      </c>
      <c r="E540" t="inlineStr">
        <is>
          <t>GULLSPÅNG</t>
        </is>
      </c>
      <c r="G540" t="n">
        <v>0.7</v>
      </c>
      <c r="H540" t="n">
        <v>0</v>
      </c>
      <c r="I540" t="n">
        <v>0</v>
      </c>
      <c r="J540" t="n">
        <v>0</v>
      </c>
      <c r="K540" t="n">
        <v>0</v>
      </c>
      <c r="L540" t="n">
        <v>0</v>
      </c>
      <c r="M540" t="n">
        <v>0</v>
      </c>
      <c r="N540" t="n">
        <v>0</v>
      </c>
      <c r="O540" t="n">
        <v>0</v>
      </c>
      <c r="P540" t="n">
        <v>0</v>
      </c>
      <c r="Q540" t="n">
        <v>0</v>
      </c>
      <c r="R540" s="2" t="inlineStr"/>
    </row>
    <row r="541" ht="15" customHeight="1">
      <c r="A541" t="inlineStr">
        <is>
          <t>A 34460-2018</t>
        </is>
      </c>
      <c r="B541" s="1" t="n">
        <v>43319</v>
      </c>
      <c r="C541" s="1" t="n">
        <v>45212</v>
      </c>
      <c r="D541" t="inlineStr">
        <is>
          <t>VÄSTRA GÖTALANDS LÄN</t>
        </is>
      </c>
      <c r="E541" t="inlineStr">
        <is>
          <t>ÅMÅL</t>
        </is>
      </c>
      <c r="G541" t="n">
        <v>4.3</v>
      </c>
      <c r="H541" t="n">
        <v>0</v>
      </c>
      <c r="I541" t="n">
        <v>0</v>
      </c>
      <c r="J541" t="n">
        <v>0</v>
      </c>
      <c r="K541" t="n">
        <v>0</v>
      </c>
      <c r="L541" t="n">
        <v>0</v>
      </c>
      <c r="M541" t="n">
        <v>0</v>
      </c>
      <c r="N541" t="n">
        <v>0</v>
      </c>
      <c r="O541" t="n">
        <v>0</v>
      </c>
      <c r="P541" t="n">
        <v>0</v>
      </c>
      <c r="Q541" t="n">
        <v>0</v>
      </c>
      <c r="R541" s="2" t="inlineStr"/>
    </row>
    <row r="542" ht="15" customHeight="1">
      <c r="A542" t="inlineStr">
        <is>
          <t>A 34500-2018</t>
        </is>
      </c>
      <c r="B542" s="1" t="n">
        <v>43319</v>
      </c>
      <c r="C542" s="1" t="n">
        <v>45212</v>
      </c>
      <c r="D542" t="inlineStr">
        <is>
          <t>VÄSTRA GÖTALANDS LÄN</t>
        </is>
      </c>
      <c r="E542" t="inlineStr">
        <is>
          <t>DALS-ED</t>
        </is>
      </c>
      <c r="G542" t="n">
        <v>11.5</v>
      </c>
      <c r="H542" t="n">
        <v>0</v>
      </c>
      <c r="I542" t="n">
        <v>0</v>
      </c>
      <c r="J542" t="n">
        <v>0</v>
      </c>
      <c r="K542" t="n">
        <v>0</v>
      </c>
      <c r="L542" t="n">
        <v>0</v>
      </c>
      <c r="M542" t="n">
        <v>0</v>
      </c>
      <c r="N542" t="n">
        <v>0</v>
      </c>
      <c r="O542" t="n">
        <v>0</v>
      </c>
      <c r="P542" t="n">
        <v>0</v>
      </c>
      <c r="Q542" t="n">
        <v>0</v>
      </c>
      <c r="R542" s="2" t="inlineStr"/>
    </row>
    <row r="543" ht="15" customHeight="1">
      <c r="A543" t="inlineStr">
        <is>
          <t>A 34459-2018</t>
        </is>
      </c>
      <c r="B543" s="1" t="n">
        <v>43319</v>
      </c>
      <c r="C543" s="1" t="n">
        <v>45212</v>
      </c>
      <c r="D543" t="inlineStr">
        <is>
          <t>VÄSTRA GÖTALANDS LÄN</t>
        </is>
      </c>
      <c r="E543" t="inlineStr">
        <is>
          <t>ÅMÅL</t>
        </is>
      </c>
      <c r="G543" t="n">
        <v>1.3</v>
      </c>
      <c r="H543" t="n">
        <v>0</v>
      </c>
      <c r="I543" t="n">
        <v>0</v>
      </c>
      <c r="J543" t="n">
        <v>0</v>
      </c>
      <c r="K543" t="n">
        <v>0</v>
      </c>
      <c r="L543" t="n">
        <v>0</v>
      </c>
      <c r="M543" t="n">
        <v>0</v>
      </c>
      <c r="N543" t="n">
        <v>0</v>
      </c>
      <c r="O543" t="n">
        <v>0</v>
      </c>
      <c r="P543" t="n">
        <v>0</v>
      </c>
      <c r="Q543" t="n">
        <v>0</v>
      </c>
      <c r="R543" s="2" t="inlineStr"/>
    </row>
    <row r="544" ht="15" customHeight="1">
      <c r="A544" t="inlineStr">
        <is>
          <t>A 34476-2018</t>
        </is>
      </c>
      <c r="B544" s="1" t="n">
        <v>43319</v>
      </c>
      <c r="C544" s="1" t="n">
        <v>45212</v>
      </c>
      <c r="D544" t="inlineStr">
        <is>
          <t>VÄSTRA GÖTALANDS LÄN</t>
        </is>
      </c>
      <c r="E544" t="inlineStr">
        <is>
          <t>MARK</t>
        </is>
      </c>
      <c r="G544" t="n">
        <v>3.7</v>
      </c>
      <c r="H544" t="n">
        <v>0</v>
      </c>
      <c r="I544" t="n">
        <v>0</v>
      </c>
      <c r="J544" t="n">
        <v>0</v>
      </c>
      <c r="K544" t="n">
        <v>0</v>
      </c>
      <c r="L544" t="n">
        <v>0</v>
      </c>
      <c r="M544" t="n">
        <v>0</v>
      </c>
      <c r="N544" t="n">
        <v>0</v>
      </c>
      <c r="O544" t="n">
        <v>0</v>
      </c>
      <c r="P544" t="n">
        <v>0</v>
      </c>
      <c r="Q544" t="n">
        <v>0</v>
      </c>
      <c r="R544" s="2" t="inlineStr"/>
    </row>
    <row r="545" ht="15" customHeight="1">
      <c r="A545" t="inlineStr">
        <is>
          <t>A 34779-2018</t>
        </is>
      </c>
      <c r="B545" s="1" t="n">
        <v>43321</v>
      </c>
      <c r="C545" s="1" t="n">
        <v>45212</v>
      </c>
      <c r="D545" t="inlineStr">
        <is>
          <t>VÄSTRA GÖTALANDS LÄN</t>
        </is>
      </c>
      <c r="E545" t="inlineStr">
        <is>
          <t>MARK</t>
        </is>
      </c>
      <c r="G545" t="n">
        <v>5</v>
      </c>
      <c r="H545" t="n">
        <v>0</v>
      </c>
      <c r="I545" t="n">
        <v>0</v>
      </c>
      <c r="J545" t="n">
        <v>0</v>
      </c>
      <c r="K545" t="n">
        <v>0</v>
      </c>
      <c r="L545" t="n">
        <v>0</v>
      </c>
      <c r="M545" t="n">
        <v>0</v>
      </c>
      <c r="N545" t="n">
        <v>0</v>
      </c>
      <c r="O545" t="n">
        <v>0</v>
      </c>
      <c r="P545" t="n">
        <v>0</v>
      </c>
      <c r="Q545" t="n">
        <v>0</v>
      </c>
      <c r="R545" s="2" t="inlineStr"/>
    </row>
    <row r="546" ht="15" customHeight="1">
      <c r="A546" t="inlineStr">
        <is>
          <t>A 34945-2018</t>
        </is>
      </c>
      <c r="B546" s="1" t="n">
        <v>43321</v>
      </c>
      <c r="C546" s="1" t="n">
        <v>45212</v>
      </c>
      <c r="D546" t="inlineStr">
        <is>
          <t>VÄSTRA GÖTALANDS LÄN</t>
        </is>
      </c>
      <c r="E546" t="inlineStr">
        <is>
          <t>SKARA</t>
        </is>
      </c>
      <c r="G546" t="n">
        <v>0.8</v>
      </c>
      <c r="H546" t="n">
        <v>0</v>
      </c>
      <c r="I546" t="n">
        <v>0</v>
      </c>
      <c r="J546" t="n">
        <v>0</v>
      </c>
      <c r="K546" t="n">
        <v>0</v>
      </c>
      <c r="L546" t="n">
        <v>0</v>
      </c>
      <c r="M546" t="n">
        <v>0</v>
      </c>
      <c r="N546" t="n">
        <v>0</v>
      </c>
      <c r="O546" t="n">
        <v>0</v>
      </c>
      <c r="P546" t="n">
        <v>0</v>
      </c>
      <c r="Q546" t="n">
        <v>0</v>
      </c>
      <c r="R546" s="2" t="inlineStr"/>
    </row>
    <row r="547" ht="15" customHeight="1">
      <c r="A547" t="inlineStr">
        <is>
          <t>A 34801-2018</t>
        </is>
      </c>
      <c r="B547" s="1" t="n">
        <v>43321</v>
      </c>
      <c r="C547" s="1" t="n">
        <v>45212</v>
      </c>
      <c r="D547" t="inlineStr">
        <is>
          <t>VÄSTRA GÖTALANDS LÄN</t>
        </is>
      </c>
      <c r="E547" t="inlineStr">
        <is>
          <t>TÖREBODA</t>
        </is>
      </c>
      <c r="G547" t="n">
        <v>3</v>
      </c>
      <c r="H547" t="n">
        <v>0</v>
      </c>
      <c r="I547" t="n">
        <v>0</v>
      </c>
      <c r="J547" t="n">
        <v>0</v>
      </c>
      <c r="K547" t="n">
        <v>0</v>
      </c>
      <c r="L547" t="n">
        <v>0</v>
      </c>
      <c r="M547" t="n">
        <v>0</v>
      </c>
      <c r="N547" t="n">
        <v>0</v>
      </c>
      <c r="O547" t="n">
        <v>0</v>
      </c>
      <c r="P547" t="n">
        <v>0</v>
      </c>
      <c r="Q547" t="n">
        <v>0</v>
      </c>
      <c r="R547" s="2" t="inlineStr"/>
    </row>
    <row r="548" ht="15" customHeight="1">
      <c r="A548" t="inlineStr">
        <is>
          <t>A 34883-2018</t>
        </is>
      </c>
      <c r="B548" s="1" t="n">
        <v>43321</v>
      </c>
      <c r="C548" s="1" t="n">
        <v>45212</v>
      </c>
      <c r="D548" t="inlineStr">
        <is>
          <t>VÄSTRA GÖTALANDS LÄN</t>
        </is>
      </c>
      <c r="E548" t="inlineStr">
        <is>
          <t>DALS-ED</t>
        </is>
      </c>
      <c r="G548" t="n">
        <v>2.6</v>
      </c>
      <c r="H548" t="n">
        <v>0</v>
      </c>
      <c r="I548" t="n">
        <v>0</v>
      </c>
      <c r="J548" t="n">
        <v>0</v>
      </c>
      <c r="K548" t="n">
        <v>0</v>
      </c>
      <c r="L548" t="n">
        <v>0</v>
      </c>
      <c r="M548" t="n">
        <v>0</v>
      </c>
      <c r="N548" t="n">
        <v>0</v>
      </c>
      <c r="O548" t="n">
        <v>0</v>
      </c>
      <c r="P548" t="n">
        <v>0</v>
      </c>
      <c r="Q548" t="n">
        <v>0</v>
      </c>
      <c r="R548" s="2" t="inlineStr"/>
    </row>
    <row r="549" ht="15" customHeight="1">
      <c r="A549" t="inlineStr">
        <is>
          <t>A 34887-2018</t>
        </is>
      </c>
      <c r="B549" s="1" t="n">
        <v>43321</v>
      </c>
      <c r="C549" s="1" t="n">
        <v>45212</v>
      </c>
      <c r="D549" t="inlineStr">
        <is>
          <t>VÄSTRA GÖTALANDS LÄN</t>
        </is>
      </c>
      <c r="E549" t="inlineStr">
        <is>
          <t>BENGTSFORS</t>
        </is>
      </c>
      <c r="G549" t="n">
        <v>3.3</v>
      </c>
      <c r="H549" t="n">
        <v>0</v>
      </c>
      <c r="I549" t="n">
        <v>0</v>
      </c>
      <c r="J549" t="n">
        <v>0</v>
      </c>
      <c r="K549" t="n">
        <v>0</v>
      </c>
      <c r="L549" t="n">
        <v>0</v>
      </c>
      <c r="M549" t="n">
        <v>0</v>
      </c>
      <c r="N549" t="n">
        <v>0</v>
      </c>
      <c r="O549" t="n">
        <v>0</v>
      </c>
      <c r="P549" t="n">
        <v>0</v>
      </c>
      <c r="Q549" t="n">
        <v>0</v>
      </c>
      <c r="R549" s="2" t="inlineStr"/>
    </row>
    <row r="550" ht="15" customHeight="1">
      <c r="A550" t="inlineStr">
        <is>
          <t>A 35319-2018</t>
        </is>
      </c>
      <c r="B550" s="1" t="n">
        <v>43325</v>
      </c>
      <c r="C550" s="1" t="n">
        <v>45212</v>
      </c>
      <c r="D550" t="inlineStr">
        <is>
          <t>VÄSTRA GÖTALANDS LÄN</t>
        </is>
      </c>
      <c r="E550" t="inlineStr">
        <is>
          <t>KUNGÄLV</t>
        </is>
      </c>
      <c r="G550" t="n">
        <v>3.2</v>
      </c>
      <c r="H550" t="n">
        <v>0</v>
      </c>
      <c r="I550" t="n">
        <v>0</v>
      </c>
      <c r="J550" t="n">
        <v>0</v>
      </c>
      <c r="K550" t="n">
        <v>0</v>
      </c>
      <c r="L550" t="n">
        <v>0</v>
      </c>
      <c r="M550" t="n">
        <v>0</v>
      </c>
      <c r="N550" t="n">
        <v>0</v>
      </c>
      <c r="O550" t="n">
        <v>0</v>
      </c>
      <c r="P550" t="n">
        <v>0</v>
      </c>
      <c r="Q550" t="n">
        <v>0</v>
      </c>
      <c r="R550" s="2" t="inlineStr"/>
    </row>
    <row r="551" ht="15" customHeight="1">
      <c r="A551" t="inlineStr">
        <is>
          <t>A 35357-2018</t>
        </is>
      </c>
      <c r="B551" s="1" t="n">
        <v>43325</v>
      </c>
      <c r="C551" s="1" t="n">
        <v>45212</v>
      </c>
      <c r="D551" t="inlineStr">
        <is>
          <t>VÄSTRA GÖTALANDS LÄN</t>
        </is>
      </c>
      <c r="E551" t="inlineStr">
        <is>
          <t>FÄRGELANDA</t>
        </is>
      </c>
      <c r="G551" t="n">
        <v>1.3</v>
      </c>
      <c r="H551" t="n">
        <v>0</v>
      </c>
      <c r="I551" t="n">
        <v>0</v>
      </c>
      <c r="J551" t="n">
        <v>0</v>
      </c>
      <c r="K551" t="n">
        <v>0</v>
      </c>
      <c r="L551" t="n">
        <v>0</v>
      </c>
      <c r="M551" t="n">
        <v>0</v>
      </c>
      <c r="N551" t="n">
        <v>0</v>
      </c>
      <c r="O551" t="n">
        <v>0</v>
      </c>
      <c r="P551" t="n">
        <v>0</v>
      </c>
      <c r="Q551" t="n">
        <v>0</v>
      </c>
      <c r="R551" s="2" t="inlineStr"/>
    </row>
    <row r="552" ht="15" customHeight="1">
      <c r="A552" t="inlineStr">
        <is>
          <t>A 35293-2018</t>
        </is>
      </c>
      <c r="B552" s="1" t="n">
        <v>43325</v>
      </c>
      <c r="C552" s="1" t="n">
        <v>45212</v>
      </c>
      <c r="D552" t="inlineStr">
        <is>
          <t>VÄSTRA GÖTALANDS LÄN</t>
        </is>
      </c>
      <c r="E552" t="inlineStr">
        <is>
          <t>VÅRGÅRDA</t>
        </is>
      </c>
      <c r="G552" t="n">
        <v>12.7</v>
      </c>
      <c r="H552" t="n">
        <v>0</v>
      </c>
      <c r="I552" t="n">
        <v>0</v>
      </c>
      <c r="J552" t="n">
        <v>0</v>
      </c>
      <c r="K552" t="n">
        <v>0</v>
      </c>
      <c r="L552" t="n">
        <v>0</v>
      </c>
      <c r="M552" t="n">
        <v>0</v>
      </c>
      <c r="N552" t="n">
        <v>0</v>
      </c>
      <c r="O552" t="n">
        <v>0</v>
      </c>
      <c r="P552" t="n">
        <v>0</v>
      </c>
      <c r="Q552" t="n">
        <v>0</v>
      </c>
      <c r="R552" s="2" t="inlineStr"/>
    </row>
    <row r="553" ht="15" customHeight="1">
      <c r="A553" t="inlineStr">
        <is>
          <t>A 35359-2018</t>
        </is>
      </c>
      <c r="B553" s="1" t="n">
        <v>43325</v>
      </c>
      <c r="C553" s="1" t="n">
        <v>45212</v>
      </c>
      <c r="D553" t="inlineStr">
        <is>
          <t>VÄSTRA GÖTALANDS LÄN</t>
        </is>
      </c>
      <c r="E553" t="inlineStr">
        <is>
          <t>SVENLJUNGA</t>
        </is>
      </c>
      <c r="G553" t="n">
        <v>1.8</v>
      </c>
      <c r="H553" t="n">
        <v>0</v>
      </c>
      <c r="I553" t="n">
        <v>0</v>
      </c>
      <c r="J553" t="n">
        <v>0</v>
      </c>
      <c r="K553" t="n">
        <v>0</v>
      </c>
      <c r="L553" t="n">
        <v>0</v>
      </c>
      <c r="M553" t="n">
        <v>0</v>
      </c>
      <c r="N553" t="n">
        <v>0</v>
      </c>
      <c r="O553" t="n">
        <v>0</v>
      </c>
      <c r="P553" t="n">
        <v>0</v>
      </c>
      <c r="Q553" t="n">
        <v>0</v>
      </c>
      <c r="R553" s="2" t="inlineStr"/>
    </row>
    <row r="554" ht="15" customHeight="1">
      <c r="A554" t="inlineStr">
        <is>
          <t>A 35699-2018</t>
        </is>
      </c>
      <c r="B554" s="1" t="n">
        <v>43325</v>
      </c>
      <c r="C554" s="1" t="n">
        <v>45212</v>
      </c>
      <c r="D554" t="inlineStr">
        <is>
          <t>VÄSTRA GÖTALANDS LÄN</t>
        </is>
      </c>
      <c r="E554" t="inlineStr">
        <is>
          <t>TIDAHOLM</t>
        </is>
      </c>
      <c r="G554" t="n">
        <v>4.1</v>
      </c>
      <c r="H554" t="n">
        <v>0</v>
      </c>
      <c r="I554" t="n">
        <v>0</v>
      </c>
      <c r="J554" t="n">
        <v>0</v>
      </c>
      <c r="K554" t="n">
        <v>0</v>
      </c>
      <c r="L554" t="n">
        <v>0</v>
      </c>
      <c r="M554" t="n">
        <v>0</v>
      </c>
      <c r="N554" t="n">
        <v>0</v>
      </c>
      <c r="O554" t="n">
        <v>0</v>
      </c>
      <c r="P554" t="n">
        <v>0</v>
      </c>
      <c r="Q554" t="n">
        <v>0</v>
      </c>
      <c r="R554" s="2" t="inlineStr"/>
    </row>
    <row r="555" ht="15" customHeight="1">
      <c r="A555" t="inlineStr">
        <is>
          <t>A 35413-2018</t>
        </is>
      </c>
      <c r="B555" s="1" t="n">
        <v>43325</v>
      </c>
      <c r="C555" s="1" t="n">
        <v>45212</v>
      </c>
      <c r="D555" t="inlineStr">
        <is>
          <t>VÄSTRA GÖTALANDS LÄN</t>
        </is>
      </c>
      <c r="E555" t="inlineStr">
        <is>
          <t>KARLSBORG</t>
        </is>
      </c>
      <c r="G555" t="n">
        <v>6.6</v>
      </c>
      <c r="H555" t="n">
        <v>0</v>
      </c>
      <c r="I555" t="n">
        <v>0</v>
      </c>
      <c r="J555" t="n">
        <v>0</v>
      </c>
      <c r="K555" t="n">
        <v>0</v>
      </c>
      <c r="L555" t="n">
        <v>0</v>
      </c>
      <c r="M555" t="n">
        <v>0</v>
      </c>
      <c r="N555" t="n">
        <v>0</v>
      </c>
      <c r="O555" t="n">
        <v>0</v>
      </c>
      <c r="P555" t="n">
        <v>0</v>
      </c>
      <c r="Q555" t="n">
        <v>0</v>
      </c>
      <c r="R555" s="2" t="inlineStr"/>
    </row>
    <row r="556" ht="15" customHeight="1">
      <c r="A556" t="inlineStr">
        <is>
          <t>A 35702-2018</t>
        </is>
      </c>
      <c r="B556" s="1" t="n">
        <v>43325</v>
      </c>
      <c r="C556" s="1" t="n">
        <v>45212</v>
      </c>
      <c r="D556" t="inlineStr">
        <is>
          <t>VÄSTRA GÖTALANDS LÄN</t>
        </is>
      </c>
      <c r="E556" t="inlineStr">
        <is>
          <t>FALKÖPING</t>
        </is>
      </c>
      <c r="G556" t="n">
        <v>2.7</v>
      </c>
      <c r="H556" t="n">
        <v>0</v>
      </c>
      <c r="I556" t="n">
        <v>0</v>
      </c>
      <c r="J556" t="n">
        <v>0</v>
      </c>
      <c r="K556" t="n">
        <v>0</v>
      </c>
      <c r="L556" t="n">
        <v>0</v>
      </c>
      <c r="M556" t="n">
        <v>0</v>
      </c>
      <c r="N556" t="n">
        <v>0</v>
      </c>
      <c r="O556" t="n">
        <v>0</v>
      </c>
      <c r="P556" t="n">
        <v>0</v>
      </c>
      <c r="Q556" t="n">
        <v>0</v>
      </c>
      <c r="R556" s="2" t="inlineStr"/>
    </row>
    <row r="557" ht="15" customHeight="1">
      <c r="A557" t="inlineStr">
        <is>
          <t>A 35566-2018</t>
        </is>
      </c>
      <c r="B557" s="1" t="n">
        <v>43326</v>
      </c>
      <c r="C557" s="1" t="n">
        <v>45212</v>
      </c>
      <c r="D557" t="inlineStr">
        <is>
          <t>VÄSTRA GÖTALANDS LÄN</t>
        </is>
      </c>
      <c r="E557" t="inlineStr">
        <is>
          <t>HÄRRYDA</t>
        </is>
      </c>
      <c r="G557" t="n">
        <v>1.6</v>
      </c>
      <c r="H557" t="n">
        <v>0</v>
      </c>
      <c r="I557" t="n">
        <v>0</v>
      </c>
      <c r="J557" t="n">
        <v>0</v>
      </c>
      <c r="K557" t="n">
        <v>0</v>
      </c>
      <c r="L557" t="n">
        <v>0</v>
      </c>
      <c r="M557" t="n">
        <v>0</v>
      </c>
      <c r="N557" t="n">
        <v>0</v>
      </c>
      <c r="O557" t="n">
        <v>0</v>
      </c>
      <c r="P557" t="n">
        <v>0</v>
      </c>
      <c r="Q557" t="n">
        <v>0</v>
      </c>
      <c r="R557" s="2" t="inlineStr"/>
    </row>
    <row r="558" ht="15" customHeight="1">
      <c r="A558" t="inlineStr">
        <is>
          <t>A 35724-2018</t>
        </is>
      </c>
      <c r="B558" s="1" t="n">
        <v>43326</v>
      </c>
      <c r="C558" s="1" t="n">
        <v>45212</v>
      </c>
      <c r="D558" t="inlineStr">
        <is>
          <t>VÄSTRA GÖTALANDS LÄN</t>
        </is>
      </c>
      <c r="E558" t="inlineStr">
        <is>
          <t>VÄNERSBORG</t>
        </is>
      </c>
      <c r="F558" t="inlineStr">
        <is>
          <t>Kommuner</t>
        </is>
      </c>
      <c r="G558" t="n">
        <v>2.6</v>
      </c>
      <c r="H558" t="n">
        <v>0</v>
      </c>
      <c r="I558" t="n">
        <v>0</v>
      </c>
      <c r="J558" t="n">
        <v>0</v>
      </c>
      <c r="K558" t="n">
        <v>0</v>
      </c>
      <c r="L558" t="n">
        <v>0</v>
      </c>
      <c r="M558" t="n">
        <v>0</v>
      </c>
      <c r="N558" t="n">
        <v>0</v>
      </c>
      <c r="O558" t="n">
        <v>0</v>
      </c>
      <c r="P558" t="n">
        <v>0</v>
      </c>
      <c r="Q558" t="n">
        <v>0</v>
      </c>
      <c r="R558" s="2" t="inlineStr"/>
    </row>
    <row r="559" ht="15" customHeight="1">
      <c r="A559" t="inlineStr">
        <is>
          <t>A 36262-2018</t>
        </is>
      </c>
      <c r="B559" s="1" t="n">
        <v>43327</v>
      </c>
      <c r="C559" s="1" t="n">
        <v>45212</v>
      </c>
      <c r="D559" t="inlineStr">
        <is>
          <t>VÄSTRA GÖTALANDS LÄN</t>
        </is>
      </c>
      <c r="E559" t="inlineStr">
        <is>
          <t>TANUM</t>
        </is>
      </c>
      <c r="G559" t="n">
        <v>1.2</v>
      </c>
      <c r="H559" t="n">
        <v>0</v>
      </c>
      <c r="I559" t="n">
        <v>0</v>
      </c>
      <c r="J559" t="n">
        <v>0</v>
      </c>
      <c r="K559" t="n">
        <v>0</v>
      </c>
      <c r="L559" t="n">
        <v>0</v>
      </c>
      <c r="M559" t="n">
        <v>0</v>
      </c>
      <c r="N559" t="n">
        <v>0</v>
      </c>
      <c r="O559" t="n">
        <v>0</v>
      </c>
      <c r="P559" t="n">
        <v>0</v>
      </c>
      <c r="Q559" t="n">
        <v>0</v>
      </c>
      <c r="R559" s="2" t="inlineStr"/>
    </row>
    <row r="560" ht="15" customHeight="1">
      <c r="A560" t="inlineStr">
        <is>
          <t>A 36246-2018</t>
        </is>
      </c>
      <c r="B560" s="1" t="n">
        <v>43327</v>
      </c>
      <c r="C560" s="1" t="n">
        <v>45212</v>
      </c>
      <c r="D560" t="inlineStr">
        <is>
          <t>VÄSTRA GÖTALANDS LÄN</t>
        </is>
      </c>
      <c r="E560" t="inlineStr">
        <is>
          <t>TANUM</t>
        </is>
      </c>
      <c r="G560" t="n">
        <v>1.6</v>
      </c>
      <c r="H560" t="n">
        <v>0</v>
      </c>
      <c r="I560" t="n">
        <v>0</v>
      </c>
      <c r="J560" t="n">
        <v>0</v>
      </c>
      <c r="K560" t="n">
        <v>0</v>
      </c>
      <c r="L560" t="n">
        <v>0</v>
      </c>
      <c r="M560" t="n">
        <v>0</v>
      </c>
      <c r="N560" t="n">
        <v>0</v>
      </c>
      <c r="O560" t="n">
        <v>0</v>
      </c>
      <c r="P560" t="n">
        <v>0</v>
      </c>
      <c r="Q560" t="n">
        <v>0</v>
      </c>
      <c r="R560" s="2" t="inlineStr"/>
    </row>
    <row r="561" ht="15" customHeight="1">
      <c r="A561" t="inlineStr">
        <is>
          <t>A 36264-2018</t>
        </is>
      </c>
      <c r="B561" s="1" t="n">
        <v>43327</v>
      </c>
      <c r="C561" s="1" t="n">
        <v>45212</v>
      </c>
      <c r="D561" t="inlineStr">
        <is>
          <t>VÄSTRA GÖTALANDS LÄN</t>
        </is>
      </c>
      <c r="E561" t="inlineStr">
        <is>
          <t>TANUM</t>
        </is>
      </c>
      <c r="G561" t="n">
        <v>1.5</v>
      </c>
      <c r="H561" t="n">
        <v>0</v>
      </c>
      <c r="I561" t="n">
        <v>0</v>
      </c>
      <c r="J561" t="n">
        <v>0</v>
      </c>
      <c r="K561" t="n">
        <v>0</v>
      </c>
      <c r="L561" t="n">
        <v>0</v>
      </c>
      <c r="M561" t="n">
        <v>0</v>
      </c>
      <c r="N561" t="n">
        <v>0</v>
      </c>
      <c r="O561" t="n">
        <v>0</v>
      </c>
      <c r="P561" t="n">
        <v>0</v>
      </c>
      <c r="Q561" t="n">
        <v>0</v>
      </c>
      <c r="R561" s="2" t="inlineStr"/>
    </row>
    <row r="562" ht="15" customHeight="1">
      <c r="A562" t="inlineStr">
        <is>
          <t>A 36081-2018</t>
        </is>
      </c>
      <c r="B562" s="1" t="n">
        <v>43327</v>
      </c>
      <c r="C562" s="1" t="n">
        <v>45212</v>
      </c>
      <c r="D562" t="inlineStr">
        <is>
          <t>VÄSTRA GÖTALANDS LÄN</t>
        </is>
      </c>
      <c r="E562" t="inlineStr">
        <is>
          <t>MARK</t>
        </is>
      </c>
      <c r="G562" t="n">
        <v>4.2</v>
      </c>
      <c r="H562" t="n">
        <v>0</v>
      </c>
      <c r="I562" t="n">
        <v>0</v>
      </c>
      <c r="J562" t="n">
        <v>0</v>
      </c>
      <c r="K562" t="n">
        <v>0</v>
      </c>
      <c r="L562" t="n">
        <v>0</v>
      </c>
      <c r="M562" t="n">
        <v>0</v>
      </c>
      <c r="N562" t="n">
        <v>0</v>
      </c>
      <c r="O562" t="n">
        <v>0</v>
      </c>
      <c r="P562" t="n">
        <v>0</v>
      </c>
      <c r="Q562" t="n">
        <v>0</v>
      </c>
      <c r="R562" s="2" t="inlineStr"/>
    </row>
    <row r="563" ht="15" customHeight="1">
      <c r="A563" t="inlineStr">
        <is>
          <t>A 36270-2018</t>
        </is>
      </c>
      <c r="B563" s="1" t="n">
        <v>43327</v>
      </c>
      <c r="C563" s="1" t="n">
        <v>45212</v>
      </c>
      <c r="D563" t="inlineStr">
        <is>
          <t>VÄSTRA GÖTALANDS LÄN</t>
        </is>
      </c>
      <c r="E563" t="inlineStr">
        <is>
          <t>TANUM</t>
        </is>
      </c>
      <c r="G563" t="n">
        <v>1</v>
      </c>
      <c r="H563" t="n">
        <v>0</v>
      </c>
      <c r="I563" t="n">
        <v>0</v>
      </c>
      <c r="J563" t="n">
        <v>0</v>
      </c>
      <c r="K563" t="n">
        <v>0</v>
      </c>
      <c r="L563" t="n">
        <v>0</v>
      </c>
      <c r="M563" t="n">
        <v>0</v>
      </c>
      <c r="N563" t="n">
        <v>0</v>
      </c>
      <c r="O563" t="n">
        <v>0</v>
      </c>
      <c r="P563" t="n">
        <v>0</v>
      </c>
      <c r="Q563" t="n">
        <v>0</v>
      </c>
      <c r="R563" s="2" t="inlineStr"/>
    </row>
    <row r="564" ht="15" customHeight="1">
      <c r="A564" t="inlineStr">
        <is>
          <t>A 36272-2018</t>
        </is>
      </c>
      <c r="B564" s="1" t="n">
        <v>43327</v>
      </c>
      <c r="C564" s="1" t="n">
        <v>45212</v>
      </c>
      <c r="D564" t="inlineStr">
        <is>
          <t>VÄSTRA GÖTALANDS LÄN</t>
        </is>
      </c>
      <c r="E564" t="inlineStr">
        <is>
          <t>DALS-ED</t>
        </is>
      </c>
      <c r="F564" t="inlineStr">
        <is>
          <t>Kyrkan</t>
        </is>
      </c>
      <c r="G564" t="n">
        <v>4.9</v>
      </c>
      <c r="H564" t="n">
        <v>0</v>
      </c>
      <c r="I564" t="n">
        <v>0</v>
      </c>
      <c r="J564" t="n">
        <v>0</v>
      </c>
      <c r="K564" t="n">
        <v>0</v>
      </c>
      <c r="L564" t="n">
        <v>0</v>
      </c>
      <c r="M564" t="n">
        <v>0</v>
      </c>
      <c r="N564" t="n">
        <v>0</v>
      </c>
      <c r="O564" t="n">
        <v>0</v>
      </c>
      <c r="P564" t="n">
        <v>0</v>
      </c>
      <c r="Q564" t="n">
        <v>0</v>
      </c>
      <c r="R564" s="2" t="inlineStr"/>
    </row>
    <row r="565" ht="15" customHeight="1">
      <c r="A565" t="inlineStr">
        <is>
          <t>A 36131-2018</t>
        </is>
      </c>
      <c r="B565" s="1" t="n">
        <v>43328</v>
      </c>
      <c r="C565" s="1" t="n">
        <v>45212</v>
      </c>
      <c r="D565" t="inlineStr">
        <is>
          <t>VÄSTRA GÖTALANDS LÄN</t>
        </is>
      </c>
      <c r="E565" t="inlineStr">
        <is>
          <t>SVENLJUNGA</t>
        </is>
      </c>
      <c r="F565" t="inlineStr">
        <is>
          <t>Sveaskog</t>
        </is>
      </c>
      <c r="G565" t="n">
        <v>10.4</v>
      </c>
      <c r="H565" t="n">
        <v>0</v>
      </c>
      <c r="I565" t="n">
        <v>0</v>
      </c>
      <c r="J565" t="n">
        <v>0</v>
      </c>
      <c r="K565" t="n">
        <v>0</v>
      </c>
      <c r="L565" t="n">
        <v>0</v>
      </c>
      <c r="M565" t="n">
        <v>0</v>
      </c>
      <c r="N565" t="n">
        <v>0</v>
      </c>
      <c r="O565" t="n">
        <v>0</v>
      </c>
      <c r="P565" t="n">
        <v>0</v>
      </c>
      <c r="Q565" t="n">
        <v>0</v>
      </c>
      <c r="R565" s="2" t="inlineStr"/>
    </row>
    <row r="566" ht="15" customHeight="1">
      <c r="A566" t="inlineStr">
        <is>
          <t>A 36520-2018</t>
        </is>
      </c>
      <c r="B566" s="1" t="n">
        <v>43328</v>
      </c>
      <c r="C566" s="1" t="n">
        <v>45212</v>
      </c>
      <c r="D566" t="inlineStr">
        <is>
          <t>VÄSTRA GÖTALANDS LÄN</t>
        </is>
      </c>
      <c r="E566" t="inlineStr">
        <is>
          <t>LILLA EDET</t>
        </is>
      </c>
      <c r="F566" t="inlineStr">
        <is>
          <t>Kyrkan</t>
        </is>
      </c>
      <c r="G566" t="n">
        <v>1.8</v>
      </c>
      <c r="H566" t="n">
        <v>0</v>
      </c>
      <c r="I566" t="n">
        <v>0</v>
      </c>
      <c r="J566" t="n">
        <v>0</v>
      </c>
      <c r="K566" t="n">
        <v>0</v>
      </c>
      <c r="L566" t="n">
        <v>0</v>
      </c>
      <c r="M566" t="n">
        <v>0</v>
      </c>
      <c r="N566" t="n">
        <v>0</v>
      </c>
      <c r="O566" t="n">
        <v>0</v>
      </c>
      <c r="P566" t="n">
        <v>0</v>
      </c>
      <c r="Q566" t="n">
        <v>0</v>
      </c>
      <c r="R566" s="2" t="inlineStr"/>
    </row>
    <row r="567" ht="15" customHeight="1">
      <c r="A567" t="inlineStr">
        <is>
          <t>A 36408-2018</t>
        </is>
      </c>
      <c r="B567" s="1" t="n">
        <v>43329</v>
      </c>
      <c r="C567" s="1" t="n">
        <v>45212</v>
      </c>
      <c r="D567" t="inlineStr">
        <is>
          <t>VÄSTRA GÖTALANDS LÄN</t>
        </is>
      </c>
      <c r="E567" t="inlineStr">
        <is>
          <t>BORÅS</t>
        </is>
      </c>
      <c r="G567" t="n">
        <v>1.3</v>
      </c>
      <c r="H567" t="n">
        <v>0</v>
      </c>
      <c r="I567" t="n">
        <v>0</v>
      </c>
      <c r="J567" t="n">
        <v>0</v>
      </c>
      <c r="K567" t="n">
        <v>0</v>
      </c>
      <c r="L567" t="n">
        <v>0</v>
      </c>
      <c r="M567" t="n">
        <v>0</v>
      </c>
      <c r="N567" t="n">
        <v>0</v>
      </c>
      <c r="O567" t="n">
        <v>0</v>
      </c>
      <c r="P567" t="n">
        <v>0</v>
      </c>
      <c r="Q567" t="n">
        <v>0</v>
      </c>
      <c r="R567" s="2" t="inlineStr"/>
    </row>
    <row r="568" ht="15" customHeight="1">
      <c r="A568" t="inlineStr">
        <is>
          <t>A 36474-2018</t>
        </is>
      </c>
      <c r="B568" s="1" t="n">
        <v>43329</v>
      </c>
      <c r="C568" s="1" t="n">
        <v>45212</v>
      </c>
      <c r="D568" t="inlineStr">
        <is>
          <t>VÄSTRA GÖTALANDS LÄN</t>
        </is>
      </c>
      <c r="E568" t="inlineStr">
        <is>
          <t>SVENLJUNGA</t>
        </is>
      </c>
      <c r="G568" t="n">
        <v>1.4</v>
      </c>
      <c r="H568" t="n">
        <v>0</v>
      </c>
      <c r="I568" t="n">
        <v>0</v>
      </c>
      <c r="J568" t="n">
        <v>0</v>
      </c>
      <c r="K568" t="n">
        <v>0</v>
      </c>
      <c r="L568" t="n">
        <v>0</v>
      </c>
      <c r="M568" t="n">
        <v>0</v>
      </c>
      <c r="N568" t="n">
        <v>0</v>
      </c>
      <c r="O568" t="n">
        <v>0</v>
      </c>
      <c r="P568" t="n">
        <v>0</v>
      </c>
      <c r="Q568" t="n">
        <v>0</v>
      </c>
      <c r="R568" s="2" t="inlineStr"/>
    </row>
    <row r="569" ht="15" customHeight="1">
      <c r="A569" t="inlineStr">
        <is>
          <t>A 36691-2018</t>
        </is>
      </c>
      <c r="B569" s="1" t="n">
        <v>43329</v>
      </c>
      <c r="C569" s="1" t="n">
        <v>45212</v>
      </c>
      <c r="D569" t="inlineStr">
        <is>
          <t>VÄSTRA GÖTALANDS LÄN</t>
        </is>
      </c>
      <c r="E569" t="inlineStr">
        <is>
          <t>BORÅS</t>
        </is>
      </c>
      <c r="F569" t="inlineStr">
        <is>
          <t>Kommuner</t>
        </is>
      </c>
      <c r="G569" t="n">
        <v>5.5</v>
      </c>
      <c r="H569" t="n">
        <v>0</v>
      </c>
      <c r="I569" t="n">
        <v>0</v>
      </c>
      <c r="J569" t="n">
        <v>0</v>
      </c>
      <c r="K569" t="n">
        <v>0</v>
      </c>
      <c r="L569" t="n">
        <v>0</v>
      </c>
      <c r="M569" t="n">
        <v>0</v>
      </c>
      <c r="N569" t="n">
        <v>0</v>
      </c>
      <c r="O569" t="n">
        <v>0</v>
      </c>
      <c r="P569" t="n">
        <v>0</v>
      </c>
      <c r="Q569" t="n">
        <v>0</v>
      </c>
      <c r="R569" s="2" t="inlineStr"/>
    </row>
    <row r="570" ht="15" customHeight="1">
      <c r="A570" t="inlineStr">
        <is>
          <t>A 36399-2018</t>
        </is>
      </c>
      <c r="B570" s="1" t="n">
        <v>43329</v>
      </c>
      <c r="C570" s="1" t="n">
        <v>45212</v>
      </c>
      <c r="D570" t="inlineStr">
        <is>
          <t>VÄSTRA GÖTALANDS LÄN</t>
        </is>
      </c>
      <c r="E570" t="inlineStr">
        <is>
          <t>BORÅS</t>
        </is>
      </c>
      <c r="G570" t="n">
        <v>3.6</v>
      </c>
      <c r="H570" t="n">
        <v>0</v>
      </c>
      <c r="I570" t="n">
        <v>0</v>
      </c>
      <c r="J570" t="n">
        <v>0</v>
      </c>
      <c r="K570" t="n">
        <v>0</v>
      </c>
      <c r="L570" t="n">
        <v>0</v>
      </c>
      <c r="M570" t="n">
        <v>0</v>
      </c>
      <c r="N570" t="n">
        <v>0</v>
      </c>
      <c r="O570" t="n">
        <v>0</v>
      </c>
      <c r="P570" t="n">
        <v>0</v>
      </c>
      <c r="Q570" t="n">
        <v>0</v>
      </c>
      <c r="R570" s="2" t="inlineStr"/>
    </row>
    <row r="571" ht="15" customHeight="1">
      <c r="A571" t="inlineStr">
        <is>
          <t>A 36418-2018</t>
        </is>
      </c>
      <c r="B571" s="1" t="n">
        <v>43329</v>
      </c>
      <c r="C571" s="1" t="n">
        <v>45212</v>
      </c>
      <c r="D571" t="inlineStr">
        <is>
          <t>VÄSTRA GÖTALANDS LÄN</t>
        </is>
      </c>
      <c r="E571" t="inlineStr">
        <is>
          <t>BORÅS</t>
        </is>
      </c>
      <c r="G571" t="n">
        <v>7</v>
      </c>
      <c r="H571" t="n">
        <v>0</v>
      </c>
      <c r="I571" t="n">
        <v>0</v>
      </c>
      <c r="J571" t="n">
        <v>0</v>
      </c>
      <c r="K571" t="n">
        <v>0</v>
      </c>
      <c r="L571" t="n">
        <v>0</v>
      </c>
      <c r="M571" t="n">
        <v>0</v>
      </c>
      <c r="N571" t="n">
        <v>0</v>
      </c>
      <c r="O571" t="n">
        <v>0</v>
      </c>
      <c r="P571" t="n">
        <v>0</v>
      </c>
      <c r="Q571" t="n">
        <v>0</v>
      </c>
      <c r="R571" s="2" t="inlineStr"/>
    </row>
    <row r="572" ht="15" customHeight="1">
      <c r="A572" t="inlineStr">
        <is>
          <t>A 36460-2018</t>
        </is>
      </c>
      <c r="B572" s="1" t="n">
        <v>43329</v>
      </c>
      <c r="C572" s="1" t="n">
        <v>45212</v>
      </c>
      <c r="D572" t="inlineStr">
        <is>
          <t>VÄSTRA GÖTALANDS LÄN</t>
        </is>
      </c>
      <c r="E572" t="inlineStr">
        <is>
          <t>VÄNERSBORG</t>
        </is>
      </c>
      <c r="G572" t="n">
        <v>28.7</v>
      </c>
      <c r="H572" t="n">
        <v>0</v>
      </c>
      <c r="I572" t="n">
        <v>0</v>
      </c>
      <c r="J572" t="n">
        <v>0</v>
      </c>
      <c r="K572" t="n">
        <v>0</v>
      </c>
      <c r="L572" t="n">
        <v>0</v>
      </c>
      <c r="M572" t="n">
        <v>0</v>
      </c>
      <c r="N572" t="n">
        <v>0</v>
      </c>
      <c r="O572" t="n">
        <v>0</v>
      </c>
      <c r="P572" t="n">
        <v>0</v>
      </c>
      <c r="Q572" t="n">
        <v>0</v>
      </c>
      <c r="R572" s="2" t="inlineStr"/>
    </row>
    <row r="573" ht="15" customHeight="1">
      <c r="A573" t="inlineStr">
        <is>
          <t>A 36495-2018</t>
        </is>
      </c>
      <c r="B573" s="1" t="n">
        <v>43329</v>
      </c>
      <c r="C573" s="1" t="n">
        <v>45212</v>
      </c>
      <c r="D573" t="inlineStr">
        <is>
          <t>VÄSTRA GÖTALANDS LÄN</t>
        </is>
      </c>
      <c r="E573" t="inlineStr">
        <is>
          <t>TANUM</t>
        </is>
      </c>
      <c r="F573" t="inlineStr">
        <is>
          <t>Sveaskog</t>
        </is>
      </c>
      <c r="G573" t="n">
        <v>0.6</v>
      </c>
      <c r="H573" t="n">
        <v>0</v>
      </c>
      <c r="I573" t="n">
        <v>0</v>
      </c>
      <c r="J573" t="n">
        <v>0</v>
      </c>
      <c r="K573" t="n">
        <v>0</v>
      </c>
      <c r="L573" t="n">
        <v>0</v>
      </c>
      <c r="M573" t="n">
        <v>0</v>
      </c>
      <c r="N573" t="n">
        <v>0</v>
      </c>
      <c r="O573" t="n">
        <v>0</v>
      </c>
      <c r="P573" t="n">
        <v>0</v>
      </c>
      <c r="Q573" t="n">
        <v>0</v>
      </c>
      <c r="R573" s="2" t="inlineStr"/>
    </row>
    <row r="574" ht="15" customHeight="1">
      <c r="A574" t="inlineStr">
        <is>
          <t>A 37015-2018</t>
        </is>
      </c>
      <c r="B574" s="1" t="n">
        <v>43332</v>
      </c>
      <c r="C574" s="1" t="n">
        <v>45212</v>
      </c>
      <c r="D574" t="inlineStr">
        <is>
          <t>VÄSTRA GÖTALANDS LÄN</t>
        </is>
      </c>
      <c r="E574" t="inlineStr">
        <is>
          <t>VARA</t>
        </is>
      </c>
      <c r="G574" t="n">
        <v>7.9</v>
      </c>
      <c r="H574" t="n">
        <v>0</v>
      </c>
      <c r="I574" t="n">
        <v>0</v>
      </c>
      <c r="J574" t="n">
        <v>0</v>
      </c>
      <c r="K574" t="n">
        <v>0</v>
      </c>
      <c r="L574" t="n">
        <v>0</v>
      </c>
      <c r="M574" t="n">
        <v>0</v>
      </c>
      <c r="N574" t="n">
        <v>0</v>
      </c>
      <c r="O574" t="n">
        <v>0</v>
      </c>
      <c r="P574" t="n">
        <v>0</v>
      </c>
      <c r="Q574" t="n">
        <v>0</v>
      </c>
      <c r="R574" s="2" t="inlineStr"/>
    </row>
    <row r="575" ht="15" customHeight="1">
      <c r="A575" t="inlineStr">
        <is>
          <t>A 36729-2018</t>
        </is>
      </c>
      <c r="B575" s="1" t="n">
        <v>43332</v>
      </c>
      <c r="C575" s="1" t="n">
        <v>45212</v>
      </c>
      <c r="D575" t="inlineStr">
        <is>
          <t>VÄSTRA GÖTALANDS LÄN</t>
        </is>
      </c>
      <c r="E575" t="inlineStr">
        <is>
          <t>TIDAHOLM</t>
        </is>
      </c>
      <c r="G575" t="n">
        <v>1.8</v>
      </c>
      <c r="H575" t="n">
        <v>0</v>
      </c>
      <c r="I575" t="n">
        <v>0</v>
      </c>
      <c r="J575" t="n">
        <v>0</v>
      </c>
      <c r="K575" t="n">
        <v>0</v>
      </c>
      <c r="L575" t="n">
        <v>0</v>
      </c>
      <c r="M575" t="n">
        <v>0</v>
      </c>
      <c r="N575" t="n">
        <v>0</v>
      </c>
      <c r="O575" t="n">
        <v>0</v>
      </c>
      <c r="P575" t="n">
        <v>0</v>
      </c>
      <c r="Q575" t="n">
        <v>0</v>
      </c>
      <c r="R575" s="2" t="inlineStr"/>
    </row>
    <row r="576" ht="15" customHeight="1">
      <c r="A576" t="inlineStr">
        <is>
          <t>A 36805-2018</t>
        </is>
      </c>
      <c r="B576" s="1" t="n">
        <v>43332</v>
      </c>
      <c r="C576" s="1" t="n">
        <v>45212</v>
      </c>
      <c r="D576" t="inlineStr">
        <is>
          <t>VÄSTRA GÖTALANDS LÄN</t>
        </is>
      </c>
      <c r="E576" t="inlineStr">
        <is>
          <t>ORUST</t>
        </is>
      </c>
      <c r="G576" t="n">
        <v>4.1</v>
      </c>
      <c r="H576" t="n">
        <v>0</v>
      </c>
      <c r="I576" t="n">
        <v>0</v>
      </c>
      <c r="J576" t="n">
        <v>0</v>
      </c>
      <c r="K576" t="n">
        <v>0</v>
      </c>
      <c r="L576" t="n">
        <v>0</v>
      </c>
      <c r="M576" t="n">
        <v>0</v>
      </c>
      <c r="N576" t="n">
        <v>0</v>
      </c>
      <c r="O576" t="n">
        <v>0</v>
      </c>
      <c r="P576" t="n">
        <v>0</v>
      </c>
      <c r="Q576" t="n">
        <v>0</v>
      </c>
      <c r="R576" s="2" t="inlineStr"/>
    </row>
    <row r="577" ht="15" customHeight="1">
      <c r="A577" t="inlineStr">
        <is>
          <t>A 36922-2018</t>
        </is>
      </c>
      <c r="B577" s="1" t="n">
        <v>43332</v>
      </c>
      <c r="C577" s="1" t="n">
        <v>45212</v>
      </c>
      <c r="D577" t="inlineStr">
        <is>
          <t>VÄSTRA GÖTALANDS LÄN</t>
        </is>
      </c>
      <c r="E577" t="inlineStr">
        <is>
          <t>SKARA</t>
        </is>
      </c>
      <c r="G577" t="n">
        <v>2.4</v>
      </c>
      <c r="H577" t="n">
        <v>0</v>
      </c>
      <c r="I577" t="n">
        <v>0</v>
      </c>
      <c r="J577" t="n">
        <v>0</v>
      </c>
      <c r="K577" t="n">
        <v>0</v>
      </c>
      <c r="L577" t="n">
        <v>0</v>
      </c>
      <c r="M577" t="n">
        <v>0</v>
      </c>
      <c r="N577" t="n">
        <v>0</v>
      </c>
      <c r="O577" t="n">
        <v>0</v>
      </c>
      <c r="P577" t="n">
        <v>0</v>
      </c>
      <c r="Q577" t="n">
        <v>0</v>
      </c>
      <c r="R577" s="2" t="inlineStr"/>
    </row>
    <row r="578" ht="15" customHeight="1">
      <c r="A578" t="inlineStr">
        <is>
          <t>A 37342-2018</t>
        </is>
      </c>
      <c r="B578" s="1" t="n">
        <v>43333</v>
      </c>
      <c r="C578" s="1" t="n">
        <v>45212</v>
      </c>
      <c r="D578" t="inlineStr">
        <is>
          <t>VÄSTRA GÖTALANDS LÄN</t>
        </is>
      </c>
      <c r="E578" t="inlineStr">
        <is>
          <t>STRÖMSTAD</t>
        </is>
      </c>
      <c r="G578" t="n">
        <v>7.6</v>
      </c>
      <c r="H578" t="n">
        <v>0</v>
      </c>
      <c r="I578" t="n">
        <v>0</v>
      </c>
      <c r="J578" t="n">
        <v>0</v>
      </c>
      <c r="K578" t="n">
        <v>0</v>
      </c>
      <c r="L578" t="n">
        <v>0</v>
      </c>
      <c r="M578" t="n">
        <v>0</v>
      </c>
      <c r="N578" t="n">
        <v>0</v>
      </c>
      <c r="O578" t="n">
        <v>0</v>
      </c>
      <c r="P578" t="n">
        <v>0</v>
      </c>
      <c r="Q578" t="n">
        <v>0</v>
      </c>
      <c r="R578" s="2" t="inlineStr"/>
    </row>
    <row r="579" ht="15" customHeight="1">
      <c r="A579" t="inlineStr">
        <is>
          <t>A 37175-2018</t>
        </is>
      </c>
      <c r="B579" s="1" t="n">
        <v>43333</v>
      </c>
      <c r="C579" s="1" t="n">
        <v>45212</v>
      </c>
      <c r="D579" t="inlineStr">
        <is>
          <t>VÄSTRA GÖTALANDS LÄN</t>
        </is>
      </c>
      <c r="E579" t="inlineStr">
        <is>
          <t>MARIESTAD</t>
        </is>
      </c>
      <c r="G579" t="n">
        <v>5</v>
      </c>
      <c r="H579" t="n">
        <v>0</v>
      </c>
      <c r="I579" t="n">
        <v>0</v>
      </c>
      <c r="J579" t="n">
        <v>0</v>
      </c>
      <c r="K579" t="n">
        <v>0</v>
      </c>
      <c r="L579" t="n">
        <v>0</v>
      </c>
      <c r="M579" t="n">
        <v>0</v>
      </c>
      <c r="N579" t="n">
        <v>0</v>
      </c>
      <c r="O579" t="n">
        <v>0</v>
      </c>
      <c r="P579" t="n">
        <v>0</v>
      </c>
      <c r="Q579" t="n">
        <v>0</v>
      </c>
      <c r="R579" s="2" t="inlineStr"/>
    </row>
    <row r="580" ht="15" customHeight="1">
      <c r="A580" t="inlineStr">
        <is>
          <t>A 37637-2018</t>
        </is>
      </c>
      <c r="B580" s="1" t="n">
        <v>43334</v>
      </c>
      <c r="C580" s="1" t="n">
        <v>45212</v>
      </c>
      <c r="D580" t="inlineStr">
        <is>
          <t>VÄSTRA GÖTALANDS LÄN</t>
        </is>
      </c>
      <c r="E580" t="inlineStr">
        <is>
          <t>TANUM</t>
        </is>
      </c>
      <c r="G580" t="n">
        <v>2.2</v>
      </c>
      <c r="H580" t="n">
        <v>0</v>
      </c>
      <c r="I580" t="n">
        <v>0</v>
      </c>
      <c r="J580" t="n">
        <v>0</v>
      </c>
      <c r="K580" t="n">
        <v>0</v>
      </c>
      <c r="L580" t="n">
        <v>0</v>
      </c>
      <c r="M580" t="n">
        <v>0</v>
      </c>
      <c r="N580" t="n">
        <v>0</v>
      </c>
      <c r="O580" t="n">
        <v>0</v>
      </c>
      <c r="P580" t="n">
        <v>0</v>
      </c>
      <c r="Q580" t="n">
        <v>0</v>
      </c>
      <c r="R580" s="2" t="inlineStr"/>
    </row>
    <row r="581" ht="15" customHeight="1">
      <c r="A581" t="inlineStr">
        <is>
          <t>A 37727-2018</t>
        </is>
      </c>
      <c r="B581" s="1" t="n">
        <v>43334</v>
      </c>
      <c r="C581" s="1" t="n">
        <v>45212</v>
      </c>
      <c r="D581" t="inlineStr">
        <is>
          <t>VÄSTRA GÖTALANDS LÄN</t>
        </is>
      </c>
      <c r="E581" t="inlineStr">
        <is>
          <t>UDDEVALLA</t>
        </is>
      </c>
      <c r="G581" t="n">
        <v>0.9</v>
      </c>
      <c r="H581" t="n">
        <v>0</v>
      </c>
      <c r="I581" t="n">
        <v>0</v>
      </c>
      <c r="J581" t="n">
        <v>0</v>
      </c>
      <c r="K581" t="n">
        <v>0</v>
      </c>
      <c r="L581" t="n">
        <v>0</v>
      </c>
      <c r="M581" t="n">
        <v>0</v>
      </c>
      <c r="N581" t="n">
        <v>0</v>
      </c>
      <c r="O581" t="n">
        <v>0</v>
      </c>
      <c r="P581" t="n">
        <v>0</v>
      </c>
      <c r="Q581" t="n">
        <v>0</v>
      </c>
      <c r="R581" s="2" t="inlineStr"/>
    </row>
    <row r="582" ht="15" customHeight="1">
      <c r="A582" t="inlineStr">
        <is>
          <t>A 37480-2018</t>
        </is>
      </c>
      <c r="B582" s="1" t="n">
        <v>43334</v>
      </c>
      <c r="C582" s="1" t="n">
        <v>45212</v>
      </c>
      <c r="D582" t="inlineStr">
        <is>
          <t>VÄSTRA GÖTALANDS LÄN</t>
        </is>
      </c>
      <c r="E582" t="inlineStr">
        <is>
          <t>ULRICEHAMN</t>
        </is>
      </c>
      <c r="G582" t="n">
        <v>5.5</v>
      </c>
      <c r="H582" t="n">
        <v>0</v>
      </c>
      <c r="I582" t="n">
        <v>0</v>
      </c>
      <c r="J582" t="n">
        <v>0</v>
      </c>
      <c r="K582" t="n">
        <v>0</v>
      </c>
      <c r="L582" t="n">
        <v>0</v>
      </c>
      <c r="M582" t="n">
        <v>0</v>
      </c>
      <c r="N582" t="n">
        <v>0</v>
      </c>
      <c r="O582" t="n">
        <v>0</v>
      </c>
      <c r="P582" t="n">
        <v>0</v>
      </c>
      <c r="Q582" t="n">
        <v>0</v>
      </c>
      <c r="R582" s="2" t="inlineStr"/>
    </row>
    <row r="583" ht="15" customHeight="1">
      <c r="A583" t="inlineStr">
        <is>
          <t>A 37609-2018</t>
        </is>
      </c>
      <c r="B583" s="1" t="n">
        <v>43334</v>
      </c>
      <c r="C583" s="1" t="n">
        <v>45212</v>
      </c>
      <c r="D583" t="inlineStr">
        <is>
          <t>VÄSTRA GÖTALANDS LÄN</t>
        </is>
      </c>
      <c r="E583" t="inlineStr">
        <is>
          <t>ALINGSÅS</t>
        </is>
      </c>
      <c r="G583" t="n">
        <v>7.5</v>
      </c>
      <c r="H583" t="n">
        <v>0</v>
      </c>
      <c r="I583" t="n">
        <v>0</v>
      </c>
      <c r="J583" t="n">
        <v>0</v>
      </c>
      <c r="K583" t="n">
        <v>0</v>
      </c>
      <c r="L583" t="n">
        <v>0</v>
      </c>
      <c r="M583" t="n">
        <v>0</v>
      </c>
      <c r="N583" t="n">
        <v>0</v>
      </c>
      <c r="O583" t="n">
        <v>0</v>
      </c>
      <c r="P583" t="n">
        <v>0</v>
      </c>
      <c r="Q583" t="n">
        <v>0</v>
      </c>
      <c r="R583" s="2" t="inlineStr"/>
    </row>
    <row r="584" ht="15" customHeight="1">
      <c r="A584" t="inlineStr">
        <is>
          <t>A 37649-2018</t>
        </is>
      </c>
      <c r="B584" s="1" t="n">
        <v>43334</v>
      </c>
      <c r="C584" s="1" t="n">
        <v>45212</v>
      </c>
      <c r="D584" t="inlineStr">
        <is>
          <t>VÄSTRA GÖTALANDS LÄN</t>
        </is>
      </c>
      <c r="E584" t="inlineStr">
        <is>
          <t>ULRICEHAMN</t>
        </is>
      </c>
      <c r="G584" t="n">
        <v>1.6</v>
      </c>
      <c r="H584" t="n">
        <v>0</v>
      </c>
      <c r="I584" t="n">
        <v>0</v>
      </c>
      <c r="J584" t="n">
        <v>0</v>
      </c>
      <c r="K584" t="n">
        <v>0</v>
      </c>
      <c r="L584" t="n">
        <v>0</v>
      </c>
      <c r="M584" t="n">
        <v>0</v>
      </c>
      <c r="N584" t="n">
        <v>0</v>
      </c>
      <c r="O584" t="n">
        <v>0</v>
      </c>
      <c r="P584" t="n">
        <v>0</v>
      </c>
      <c r="Q584" t="n">
        <v>0</v>
      </c>
      <c r="R584" s="2" t="inlineStr"/>
    </row>
    <row r="585" ht="15" customHeight="1">
      <c r="A585" t="inlineStr">
        <is>
          <t>A 37730-2018</t>
        </is>
      </c>
      <c r="B585" s="1" t="n">
        <v>43335</v>
      </c>
      <c r="C585" s="1" t="n">
        <v>45212</v>
      </c>
      <c r="D585" t="inlineStr">
        <is>
          <t>VÄSTRA GÖTALANDS LÄN</t>
        </is>
      </c>
      <c r="E585" t="inlineStr">
        <is>
          <t>SKARA</t>
        </is>
      </c>
      <c r="G585" t="n">
        <v>7.2</v>
      </c>
      <c r="H585" t="n">
        <v>0</v>
      </c>
      <c r="I585" t="n">
        <v>0</v>
      </c>
      <c r="J585" t="n">
        <v>0</v>
      </c>
      <c r="K585" t="n">
        <v>0</v>
      </c>
      <c r="L585" t="n">
        <v>0</v>
      </c>
      <c r="M585" t="n">
        <v>0</v>
      </c>
      <c r="N585" t="n">
        <v>0</v>
      </c>
      <c r="O585" t="n">
        <v>0</v>
      </c>
      <c r="P585" t="n">
        <v>0</v>
      </c>
      <c r="Q585" t="n">
        <v>0</v>
      </c>
      <c r="R585" s="2" t="inlineStr"/>
    </row>
    <row r="586" ht="15" customHeight="1">
      <c r="A586" t="inlineStr">
        <is>
          <t>A 37998-2018</t>
        </is>
      </c>
      <c r="B586" s="1" t="n">
        <v>43335</v>
      </c>
      <c r="C586" s="1" t="n">
        <v>45212</v>
      </c>
      <c r="D586" t="inlineStr">
        <is>
          <t>VÄSTRA GÖTALANDS LÄN</t>
        </is>
      </c>
      <c r="E586" t="inlineStr">
        <is>
          <t>GULLSPÅNG</t>
        </is>
      </c>
      <c r="G586" t="n">
        <v>1.4</v>
      </c>
      <c r="H586" t="n">
        <v>0</v>
      </c>
      <c r="I586" t="n">
        <v>0</v>
      </c>
      <c r="J586" t="n">
        <v>0</v>
      </c>
      <c r="K586" t="n">
        <v>0</v>
      </c>
      <c r="L586" t="n">
        <v>0</v>
      </c>
      <c r="M586" t="n">
        <v>0</v>
      </c>
      <c r="N586" t="n">
        <v>0</v>
      </c>
      <c r="O586" t="n">
        <v>0</v>
      </c>
      <c r="P586" t="n">
        <v>0</v>
      </c>
      <c r="Q586" t="n">
        <v>0</v>
      </c>
      <c r="R586" s="2" t="inlineStr"/>
    </row>
    <row r="587" ht="15" customHeight="1">
      <c r="A587" t="inlineStr">
        <is>
          <t>A 37657-2018</t>
        </is>
      </c>
      <c r="B587" s="1" t="n">
        <v>43335</v>
      </c>
      <c r="C587" s="1" t="n">
        <v>45212</v>
      </c>
      <c r="D587" t="inlineStr">
        <is>
          <t>VÄSTRA GÖTALANDS LÄN</t>
        </is>
      </c>
      <c r="E587" t="inlineStr">
        <is>
          <t>MELLERUD</t>
        </is>
      </c>
      <c r="G587" t="n">
        <v>3.8</v>
      </c>
      <c r="H587" t="n">
        <v>0</v>
      </c>
      <c r="I587" t="n">
        <v>0</v>
      </c>
      <c r="J587" t="n">
        <v>0</v>
      </c>
      <c r="K587" t="n">
        <v>0</v>
      </c>
      <c r="L587" t="n">
        <v>0</v>
      </c>
      <c r="M587" t="n">
        <v>0</v>
      </c>
      <c r="N587" t="n">
        <v>0</v>
      </c>
      <c r="O587" t="n">
        <v>0</v>
      </c>
      <c r="P587" t="n">
        <v>0</v>
      </c>
      <c r="Q587" t="n">
        <v>0</v>
      </c>
      <c r="R587" s="2" t="inlineStr"/>
    </row>
    <row r="588" ht="15" customHeight="1">
      <c r="A588" t="inlineStr">
        <is>
          <t>A 38811-2018</t>
        </is>
      </c>
      <c r="B588" s="1" t="n">
        <v>43336</v>
      </c>
      <c r="C588" s="1" t="n">
        <v>45212</v>
      </c>
      <c r="D588" t="inlineStr">
        <is>
          <t>VÄSTRA GÖTALANDS LÄN</t>
        </is>
      </c>
      <c r="E588" t="inlineStr">
        <is>
          <t>BENGTSFORS</t>
        </is>
      </c>
      <c r="G588" t="n">
        <v>4.9</v>
      </c>
      <c r="H588" t="n">
        <v>0</v>
      </c>
      <c r="I588" t="n">
        <v>0</v>
      </c>
      <c r="J588" t="n">
        <v>0</v>
      </c>
      <c r="K588" t="n">
        <v>0</v>
      </c>
      <c r="L588" t="n">
        <v>0</v>
      </c>
      <c r="M588" t="n">
        <v>0</v>
      </c>
      <c r="N588" t="n">
        <v>0</v>
      </c>
      <c r="O588" t="n">
        <v>0</v>
      </c>
      <c r="P588" t="n">
        <v>0</v>
      </c>
      <c r="Q588" t="n">
        <v>0</v>
      </c>
      <c r="R588" s="2" t="inlineStr"/>
    </row>
    <row r="589" ht="15" customHeight="1">
      <c r="A589" t="inlineStr">
        <is>
          <t>A 38845-2018</t>
        </is>
      </c>
      <c r="B589" s="1" t="n">
        <v>43336</v>
      </c>
      <c r="C589" s="1" t="n">
        <v>45212</v>
      </c>
      <c r="D589" t="inlineStr">
        <is>
          <t>VÄSTRA GÖTALANDS LÄN</t>
        </is>
      </c>
      <c r="E589" t="inlineStr">
        <is>
          <t>STRÖMSTAD</t>
        </is>
      </c>
      <c r="G589" t="n">
        <v>2.6</v>
      </c>
      <c r="H589" t="n">
        <v>0</v>
      </c>
      <c r="I589" t="n">
        <v>0</v>
      </c>
      <c r="J589" t="n">
        <v>0</v>
      </c>
      <c r="K589" t="n">
        <v>0</v>
      </c>
      <c r="L589" t="n">
        <v>0</v>
      </c>
      <c r="M589" t="n">
        <v>0</v>
      </c>
      <c r="N589" t="n">
        <v>0</v>
      </c>
      <c r="O589" t="n">
        <v>0</v>
      </c>
      <c r="P589" t="n">
        <v>0</v>
      </c>
      <c r="Q589" t="n">
        <v>0</v>
      </c>
      <c r="R589" s="2" t="inlineStr"/>
    </row>
    <row r="590" ht="15" customHeight="1">
      <c r="A590" t="inlineStr">
        <is>
          <t>A 42231-2018</t>
        </is>
      </c>
      <c r="B590" s="1" t="n">
        <v>43336</v>
      </c>
      <c r="C590" s="1" t="n">
        <v>45212</v>
      </c>
      <c r="D590" t="inlineStr">
        <is>
          <t>VÄSTRA GÖTALANDS LÄN</t>
        </is>
      </c>
      <c r="E590" t="inlineStr">
        <is>
          <t>GULLSPÅNG</t>
        </is>
      </c>
      <c r="G590" t="n">
        <v>2</v>
      </c>
      <c r="H590" t="n">
        <v>0</v>
      </c>
      <c r="I590" t="n">
        <v>0</v>
      </c>
      <c r="J590" t="n">
        <v>0</v>
      </c>
      <c r="K590" t="n">
        <v>0</v>
      </c>
      <c r="L590" t="n">
        <v>0</v>
      </c>
      <c r="M590" t="n">
        <v>0</v>
      </c>
      <c r="N590" t="n">
        <v>0</v>
      </c>
      <c r="O590" t="n">
        <v>0</v>
      </c>
      <c r="P590" t="n">
        <v>0</v>
      </c>
      <c r="Q590" t="n">
        <v>0</v>
      </c>
      <c r="R590" s="2" t="inlineStr"/>
    </row>
    <row r="591" ht="15" customHeight="1">
      <c r="A591" t="inlineStr">
        <is>
          <t>A 37926-2018</t>
        </is>
      </c>
      <c r="B591" s="1" t="n">
        <v>43336</v>
      </c>
      <c r="C591" s="1" t="n">
        <v>45212</v>
      </c>
      <c r="D591" t="inlineStr">
        <is>
          <t>VÄSTRA GÖTALANDS LÄN</t>
        </is>
      </c>
      <c r="E591" t="inlineStr">
        <is>
          <t>VÄNERSBORG</t>
        </is>
      </c>
      <c r="G591" t="n">
        <v>6.1</v>
      </c>
      <c r="H591" t="n">
        <v>0</v>
      </c>
      <c r="I591" t="n">
        <v>0</v>
      </c>
      <c r="J591" t="n">
        <v>0</v>
      </c>
      <c r="K591" t="n">
        <v>0</v>
      </c>
      <c r="L591" t="n">
        <v>0</v>
      </c>
      <c r="M591" t="n">
        <v>0</v>
      </c>
      <c r="N591" t="n">
        <v>0</v>
      </c>
      <c r="O591" t="n">
        <v>0</v>
      </c>
      <c r="P591" t="n">
        <v>0</v>
      </c>
      <c r="Q591" t="n">
        <v>0</v>
      </c>
      <c r="R591" s="2" t="inlineStr"/>
    </row>
    <row r="592" ht="15" customHeight="1">
      <c r="A592" t="inlineStr">
        <is>
          <t>A 38197-2018</t>
        </is>
      </c>
      <c r="B592" s="1" t="n">
        <v>43337</v>
      </c>
      <c r="C592" s="1" t="n">
        <v>45212</v>
      </c>
      <c r="D592" t="inlineStr">
        <is>
          <t>VÄSTRA GÖTALANDS LÄN</t>
        </is>
      </c>
      <c r="E592" t="inlineStr">
        <is>
          <t>MARK</t>
        </is>
      </c>
      <c r="G592" t="n">
        <v>0.9</v>
      </c>
      <c r="H592" t="n">
        <v>0</v>
      </c>
      <c r="I592" t="n">
        <v>0</v>
      </c>
      <c r="J592" t="n">
        <v>0</v>
      </c>
      <c r="K592" t="n">
        <v>0</v>
      </c>
      <c r="L592" t="n">
        <v>0</v>
      </c>
      <c r="M592" t="n">
        <v>0</v>
      </c>
      <c r="N592" t="n">
        <v>0</v>
      </c>
      <c r="O592" t="n">
        <v>0</v>
      </c>
      <c r="P592" t="n">
        <v>0</v>
      </c>
      <c r="Q592" t="n">
        <v>0</v>
      </c>
      <c r="R592" s="2" t="inlineStr"/>
    </row>
    <row r="593" ht="15" customHeight="1">
      <c r="A593" t="inlineStr">
        <is>
          <t>A 38198-2018</t>
        </is>
      </c>
      <c r="B593" s="1" t="n">
        <v>43337</v>
      </c>
      <c r="C593" s="1" t="n">
        <v>45212</v>
      </c>
      <c r="D593" t="inlineStr">
        <is>
          <t>VÄSTRA GÖTALANDS LÄN</t>
        </is>
      </c>
      <c r="E593" t="inlineStr">
        <is>
          <t>MARK</t>
        </is>
      </c>
      <c r="G593" t="n">
        <v>1.3</v>
      </c>
      <c r="H593" t="n">
        <v>0</v>
      </c>
      <c r="I593" t="n">
        <v>0</v>
      </c>
      <c r="J593" t="n">
        <v>0</v>
      </c>
      <c r="K593" t="n">
        <v>0</v>
      </c>
      <c r="L593" t="n">
        <v>0</v>
      </c>
      <c r="M593" t="n">
        <v>0</v>
      </c>
      <c r="N593" t="n">
        <v>0</v>
      </c>
      <c r="O593" t="n">
        <v>0</v>
      </c>
      <c r="P593" t="n">
        <v>0</v>
      </c>
      <c r="Q593" t="n">
        <v>0</v>
      </c>
      <c r="R593" s="2" t="inlineStr"/>
    </row>
    <row r="594" ht="15" customHeight="1">
      <c r="A594" t="inlineStr">
        <is>
          <t>A 38945-2018</t>
        </is>
      </c>
      <c r="B594" s="1" t="n">
        <v>43338</v>
      </c>
      <c r="C594" s="1" t="n">
        <v>45212</v>
      </c>
      <c r="D594" t="inlineStr">
        <is>
          <t>VÄSTRA GÖTALANDS LÄN</t>
        </is>
      </c>
      <c r="E594" t="inlineStr">
        <is>
          <t>LYSEKIL</t>
        </is>
      </c>
      <c r="G594" t="n">
        <v>3.3</v>
      </c>
      <c r="H594" t="n">
        <v>0</v>
      </c>
      <c r="I594" t="n">
        <v>0</v>
      </c>
      <c r="J594" t="n">
        <v>0</v>
      </c>
      <c r="K594" t="n">
        <v>0</v>
      </c>
      <c r="L594" t="n">
        <v>0</v>
      </c>
      <c r="M594" t="n">
        <v>0</v>
      </c>
      <c r="N594" t="n">
        <v>0</v>
      </c>
      <c r="O594" t="n">
        <v>0</v>
      </c>
      <c r="P594" t="n">
        <v>0</v>
      </c>
      <c r="Q594" t="n">
        <v>0</v>
      </c>
      <c r="R594" s="2" t="inlineStr"/>
    </row>
    <row r="595" ht="15" customHeight="1">
      <c r="A595" t="inlineStr">
        <is>
          <t>A 38938-2018</t>
        </is>
      </c>
      <c r="B595" s="1" t="n">
        <v>43338</v>
      </c>
      <c r="C595" s="1" t="n">
        <v>45212</v>
      </c>
      <c r="D595" t="inlineStr">
        <is>
          <t>VÄSTRA GÖTALANDS LÄN</t>
        </is>
      </c>
      <c r="E595" t="inlineStr">
        <is>
          <t>LYSEKIL</t>
        </is>
      </c>
      <c r="G595" t="n">
        <v>0.5</v>
      </c>
      <c r="H595" t="n">
        <v>0</v>
      </c>
      <c r="I595" t="n">
        <v>0</v>
      </c>
      <c r="J595" t="n">
        <v>0</v>
      </c>
      <c r="K595" t="n">
        <v>0</v>
      </c>
      <c r="L595" t="n">
        <v>0</v>
      </c>
      <c r="M595" t="n">
        <v>0</v>
      </c>
      <c r="N595" t="n">
        <v>0</v>
      </c>
      <c r="O595" t="n">
        <v>0</v>
      </c>
      <c r="P595" t="n">
        <v>0</v>
      </c>
      <c r="Q595" t="n">
        <v>0</v>
      </c>
      <c r="R595" s="2" t="inlineStr"/>
    </row>
    <row r="596" ht="15" customHeight="1">
      <c r="A596" t="inlineStr">
        <is>
          <t>A 38238-2018</t>
        </is>
      </c>
      <c r="B596" s="1" t="n">
        <v>43338</v>
      </c>
      <c r="C596" s="1" t="n">
        <v>45212</v>
      </c>
      <c r="D596" t="inlineStr">
        <is>
          <t>VÄSTRA GÖTALANDS LÄN</t>
        </is>
      </c>
      <c r="E596" t="inlineStr">
        <is>
          <t>ÅMÅL</t>
        </is>
      </c>
      <c r="G596" t="n">
        <v>0.8</v>
      </c>
      <c r="H596" t="n">
        <v>0</v>
      </c>
      <c r="I596" t="n">
        <v>0</v>
      </c>
      <c r="J596" t="n">
        <v>0</v>
      </c>
      <c r="K596" t="n">
        <v>0</v>
      </c>
      <c r="L596" t="n">
        <v>0</v>
      </c>
      <c r="M596" t="n">
        <v>0</v>
      </c>
      <c r="N596" t="n">
        <v>0</v>
      </c>
      <c r="O596" t="n">
        <v>0</v>
      </c>
      <c r="P596" t="n">
        <v>0</v>
      </c>
      <c r="Q596" t="n">
        <v>0</v>
      </c>
      <c r="R596" s="2" t="inlineStr"/>
    </row>
    <row r="597" ht="15" customHeight="1">
      <c r="A597" t="inlineStr">
        <is>
          <t>A 39398-2018</t>
        </is>
      </c>
      <c r="B597" s="1" t="n">
        <v>43339</v>
      </c>
      <c r="C597" s="1" t="n">
        <v>45212</v>
      </c>
      <c r="D597" t="inlineStr">
        <is>
          <t>VÄSTRA GÖTALANDS LÄN</t>
        </is>
      </c>
      <c r="E597" t="inlineStr">
        <is>
          <t>BENGTSFORS</t>
        </is>
      </c>
      <c r="G597" t="n">
        <v>4.5</v>
      </c>
      <c r="H597" t="n">
        <v>0</v>
      </c>
      <c r="I597" t="n">
        <v>0</v>
      </c>
      <c r="J597" t="n">
        <v>0</v>
      </c>
      <c r="K597" t="n">
        <v>0</v>
      </c>
      <c r="L597" t="n">
        <v>0</v>
      </c>
      <c r="M597" t="n">
        <v>0</v>
      </c>
      <c r="N597" t="n">
        <v>0</v>
      </c>
      <c r="O597" t="n">
        <v>0</v>
      </c>
      <c r="P597" t="n">
        <v>0</v>
      </c>
      <c r="Q597" t="n">
        <v>0</v>
      </c>
      <c r="R597" s="2" t="inlineStr"/>
    </row>
    <row r="598" ht="15" customHeight="1">
      <c r="A598" t="inlineStr">
        <is>
          <t>A 38367-2018</t>
        </is>
      </c>
      <c r="B598" s="1" t="n">
        <v>43339</v>
      </c>
      <c r="C598" s="1" t="n">
        <v>45212</v>
      </c>
      <c r="D598" t="inlineStr">
        <is>
          <t>VÄSTRA GÖTALANDS LÄN</t>
        </is>
      </c>
      <c r="E598" t="inlineStr">
        <is>
          <t>HERRLJUNGA</t>
        </is>
      </c>
      <c r="G598" t="n">
        <v>0.9</v>
      </c>
      <c r="H598" t="n">
        <v>0</v>
      </c>
      <c r="I598" t="n">
        <v>0</v>
      </c>
      <c r="J598" t="n">
        <v>0</v>
      </c>
      <c r="K598" t="n">
        <v>0</v>
      </c>
      <c r="L598" t="n">
        <v>0</v>
      </c>
      <c r="M598" t="n">
        <v>0</v>
      </c>
      <c r="N598" t="n">
        <v>0</v>
      </c>
      <c r="O598" t="n">
        <v>0</v>
      </c>
      <c r="P598" t="n">
        <v>0</v>
      </c>
      <c r="Q598" t="n">
        <v>0</v>
      </c>
      <c r="R598" s="2" t="inlineStr"/>
    </row>
    <row r="599" ht="15" customHeight="1">
      <c r="A599" t="inlineStr">
        <is>
          <t>A 38504-2018</t>
        </is>
      </c>
      <c r="B599" s="1" t="n">
        <v>43339</v>
      </c>
      <c r="C599" s="1" t="n">
        <v>45212</v>
      </c>
      <c r="D599" t="inlineStr">
        <is>
          <t>VÄSTRA GÖTALANDS LÄN</t>
        </is>
      </c>
      <c r="E599" t="inlineStr">
        <is>
          <t>TRANEMO</t>
        </is>
      </c>
      <c r="G599" t="n">
        <v>0.6</v>
      </c>
      <c r="H599" t="n">
        <v>0</v>
      </c>
      <c r="I599" t="n">
        <v>0</v>
      </c>
      <c r="J599" t="n">
        <v>0</v>
      </c>
      <c r="K599" t="n">
        <v>0</v>
      </c>
      <c r="L599" t="n">
        <v>0</v>
      </c>
      <c r="M599" t="n">
        <v>0</v>
      </c>
      <c r="N599" t="n">
        <v>0</v>
      </c>
      <c r="O599" t="n">
        <v>0</v>
      </c>
      <c r="P599" t="n">
        <v>0</v>
      </c>
      <c r="Q599" t="n">
        <v>0</v>
      </c>
      <c r="R599" s="2" t="inlineStr"/>
    </row>
    <row r="600" ht="15" customHeight="1">
      <c r="A600" t="inlineStr">
        <is>
          <t>A 39182-2018</t>
        </is>
      </c>
      <c r="B600" s="1" t="n">
        <v>43339</v>
      </c>
      <c r="C600" s="1" t="n">
        <v>45212</v>
      </c>
      <c r="D600" t="inlineStr">
        <is>
          <t>VÄSTRA GÖTALANDS LÄN</t>
        </is>
      </c>
      <c r="E600" t="inlineStr">
        <is>
          <t>BENGTSFORS</t>
        </is>
      </c>
      <c r="G600" t="n">
        <v>4.8</v>
      </c>
      <c r="H600" t="n">
        <v>0</v>
      </c>
      <c r="I600" t="n">
        <v>0</v>
      </c>
      <c r="J600" t="n">
        <v>0</v>
      </c>
      <c r="K600" t="n">
        <v>0</v>
      </c>
      <c r="L600" t="n">
        <v>0</v>
      </c>
      <c r="M600" t="n">
        <v>0</v>
      </c>
      <c r="N600" t="n">
        <v>0</v>
      </c>
      <c r="O600" t="n">
        <v>0</v>
      </c>
      <c r="P600" t="n">
        <v>0</v>
      </c>
      <c r="Q600" t="n">
        <v>0</v>
      </c>
      <c r="R600" s="2" t="inlineStr"/>
    </row>
    <row r="601" ht="15" customHeight="1">
      <c r="A601" t="inlineStr">
        <is>
          <t>A 39304-2018</t>
        </is>
      </c>
      <c r="B601" s="1" t="n">
        <v>43339</v>
      </c>
      <c r="C601" s="1" t="n">
        <v>45212</v>
      </c>
      <c r="D601" t="inlineStr">
        <is>
          <t>VÄSTRA GÖTALANDS LÄN</t>
        </is>
      </c>
      <c r="E601" t="inlineStr">
        <is>
          <t>BENGTSFORS</t>
        </is>
      </c>
      <c r="G601" t="n">
        <v>8.9</v>
      </c>
      <c r="H601" t="n">
        <v>0</v>
      </c>
      <c r="I601" t="n">
        <v>0</v>
      </c>
      <c r="J601" t="n">
        <v>0</v>
      </c>
      <c r="K601" t="n">
        <v>0</v>
      </c>
      <c r="L601" t="n">
        <v>0</v>
      </c>
      <c r="M601" t="n">
        <v>0</v>
      </c>
      <c r="N601" t="n">
        <v>0</v>
      </c>
      <c r="O601" t="n">
        <v>0</v>
      </c>
      <c r="P601" t="n">
        <v>0</v>
      </c>
      <c r="Q601" t="n">
        <v>0</v>
      </c>
      <c r="R601" s="2" t="inlineStr"/>
    </row>
    <row r="602" ht="15" customHeight="1">
      <c r="A602" t="inlineStr">
        <is>
          <t>A 38374-2018</t>
        </is>
      </c>
      <c r="B602" s="1" t="n">
        <v>43339</v>
      </c>
      <c r="C602" s="1" t="n">
        <v>45212</v>
      </c>
      <c r="D602" t="inlineStr">
        <is>
          <t>VÄSTRA GÖTALANDS LÄN</t>
        </is>
      </c>
      <c r="E602" t="inlineStr">
        <is>
          <t>ULRICEHAMN</t>
        </is>
      </c>
      <c r="G602" t="n">
        <v>2.1</v>
      </c>
      <c r="H602" t="n">
        <v>0</v>
      </c>
      <c r="I602" t="n">
        <v>0</v>
      </c>
      <c r="J602" t="n">
        <v>0</v>
      </c>
      <c r="K602" t="n">
        <v>0</v>
      </c>
      <c r="L602" t="n">
        <v>0</v>
      </c>
      <c r="M602" t="n">
        <v>0</v>
      </c>
      <c r="N602" t="n">
        <v>0</v>
      </c>
      <c r="O602" t="n">
        <v>0</v>
      </c>
      <c r="P602" t="n">
        <v>0</v>
      </c>
      <c r="Q602" t="n">
        <v>0</v>
      </c>
      <c r="R602" s="2" t="inlineStr"/>
    </row>
    <row r="603" ht="15" customHeight="1">
      <c r="A603" t="inlineStr">
        <is>
          <t>A 38594-2018</t>
        </is>
      </c>
      <c r="B603" s="1" t="n">
        <v>43339</v>
      </c>
      <c r="C603" s="1" t="n">
        <v>45212</v>
      </c>
      <c r="D603" t="inlineStr">
        <is>
          <t>VÄSTRA GÖTALANDS LÄN</t>
        </is>
      </c>
      <c r="E603" t="inlineStr">
        <is>
          <t>ULRICEHAMN</t>
        </is>
      </c>
      <c r="F603" t="inlineStr">
        <is>
          <t>Sveaskog</t>
        </is>
      </c>
      <c r="G603" t="n">
        <v>2.6</v>
      </c>
      <c r="H603" t="n">
        <v>0</v>
      </c>
      <c r="I603" t="n">
        <v>0</v>
      </c>
      <c r="J603" t="n">
        <v>0</v>
      </c>
      <c r="K603" t="n">
        <v>0</v>
      </c>
      <c r="L603" t="n">
        <v>0</v>
      </c>
      <c r="M603" t="n">
        <v>0</v>
      </c>
      <c r="N603" t="n">
        <v>0</v>
      </c>
      <c r="O603" t="n">
        <v>0</v>
      </c>
      <c r="P603" t="n">
        <v>0</v>
      </c>
      <c r="Q603" t="n">
        <v>0</v>
      </c>
      <c r="R603" s="2" t="inlineStr"/>
    </row>
    <row r="604" ht="15" customHeight="1">
      <c r="A604" t="inlineStr">
        <is>
          <t>A 39312-2018</t>
        </is>
      </c>
      <c r="B604" s="1" t="n">
        <v>43339</v>
      </c>
      <c r="C604" s="1" t="n">
        <v>45212</v>
      </c>
      <c r="D604" t="inlineStr">
        <is>
          <t>VÄSTRA GÖTALANDS LÄN</t>
        </is>
      </c>
      <c r="E604" t="inlineStr">
        <is>
          <t>VARA</t>
        </is>
      </c>
      <c r="G604" t="n">
        <v>0.6</v>
      </c>
      <c r="H604" t="n">
        <v>0</v>
      </c>
      <c r="I604" t="n">
        <v>0</v>
      </c>
      <c r="J604" t="n">
        <v>0</v>
      </c>
      <c r="K604" t="n">
        <v>0</v>
      </c>
      <c r="L604" t="n">
        <v>0</v>
      </c>
      <c r="M604" t="n">
        <v>0</v>
      </c>
      <c r="N604" t="n">
        <v>0</v>
      </c>
      <c r="O604" t="n">
        <v>0</v>
      </c>
      <c r="P604" t="n">
        <v>0</v>
      </c>
      <c r="Q604" t="n">
        <v>0</v>
      </c>
      <c r="R604" s="2" t="inlineStr"/>
    </row>
    <row r="605" ht="15" customHeight="1">
      <c r="A605" t="inlineStr">
        <is>
          <t>A 39000-2018</t>
        </is>
      </c>
      <c r="B605" s="1" t="n">
        <v>43339</v>
      </c>
      <c r="C605" s="1" t="n">
        <v>45212</v>
      </c>
      <c r="D605" t="inlineStr">
        <is>
          <t>VÄSTRA GÖTALANDS LÄN</t>
        </is>
      </c>
      <c r="E605" t="inlineStr">
        <is>
          <t>BENGTSFORS</t>
        </is>
      </c>
      <c r="G605" t="n">
        <v>2.7</v>
      </c>
      <c r="H605" t="n">
        <v>0</v>
      </c>
      <c r="I605" t="n">
        <v>0</v>
      </c>
      <c r="J605" t="n">
        <v>0</v>
      </c>
      <c r="K605" t="n">
        <v>0</v>
      </c>
      <c r="L605" t="n">
        <v>0</v>
      </c>
      <c r="M605" t="n">
        <v>0</v>
      </c>
      <c r="N605" t="n">
        <v>0</v>
      </c>
      <c r="O605" t="n">
        <v>0</v>
      </c>
      <c r="P605" t="n">
        <v>0</v>
      </c>
      <c r="Q605" t="n">
        <v>0</v>
      </c>
      <c r="R605" s="2" t="inlineStr"/>
    </row>
    <row r="606" ht="15" customHeight="1">
      <c r="A606" t="inlineStr">
        <is>
          <t>A 39589-2018</t>
        </is>
      </c>
      <c r="B606" s="1" t="n">
        <v>43340</v>
      </c>
      <c r="C606" s="1" t="n">
        <v>45212</v>
      </c>
      <c r="D606" t="inlineStr">
        <is>
          <t>VÄSTRA GÖTALANDS LÄN</t>
        </is>
      </c>
      <c r="E606" t="inlineStr">
        <is>
          <t>VÄNERSBORG</t>
        </is>
      </c>
      <c r="G606" t="n">
        <v>6</v>
      </c>
      <c r="H606" t="n">
        <v>0</v>
      </c>
      <c r="I606" t="n">
        <v>0</v>
      </c>
      <c r="J606" t="n">
        <v>0</v>
      </c>
      <c r="K606" t="n">
        <v>0</v>
      </c>
      <c r="L606" t="n">
        <v>0</v>
      </c>
      <c r="M606" t="n">
        <v>0</v>
      </c>
      <c r="N606" t="n">
        <v>0</v>
      </c>
      <c r="O606" t="n">
        <v>0</v>
      </c>
      <c r="P606" t="n">
        <v>0</v>
      </c>
      <c r="Q606" t="n">
        <v>0</v>
      </c>
      <c r="R606" s="2" t="inlineStr"/>
    </row>
    <row r="607" ht="15" customHeight="1">
      <c r="A607" t="inlineStr">
        <is>
          <t>A 72682-2018</t>
        </is>
      </c>
      <c r="B607" s="1" t="n">
        <v>43340</v>
      </c>
      <c r="C607" s="1" t="n">
        <v>45212</v>
      </c>
      <c r="D607" t="inlineStr">
        <is>
          <t>VÄSTRA GÖTALANDS LÄN</t>
        </is>
      </c>
      <c r="E607" t="inlineStr">
        <is>
          <t>KARLSBORG</t>
        </is>
      </c>
      <c r="G607" t="n">
        <v>1.3</v>
      </c>
      <c r="H607" t="n">
        <v>0</v>
      </c>
      <c r="I607" t="n">
        <v>0</v>
      </c>
      <c r="J607" t="n">
        <v>0</v>
      </c>
      <c r="K607" t="n">
        <v>0</v>
      </c>
      <c r="L607" t="n">
        <v>0</v>
      </c>
      <c r="M607" t="n">
        <v>0</v>
      </c>
      <c r="N607" t="n">
        <v>0</v>
      </c>
      <c r="O607" t="n">
        <v>0</v>
      </c>
      <c r="P607" t="n">
        <v>0</v>
      </c>
      <c r="Q607" t="n">
        <v>0</v>
      </c>
      <c r="R607" s="2" t="inlineStr"/>
    </row>
    <row r="608" ht="15" customHeight="1">
      <c r="A608" t="inlineStr">
        <is>
          <t>A 39595-2018</t>
        </is>
      </c>
      <c r="B608" s="1" t="n">
        <v>43340</v>
      </c>
      <c r="C608" s="1" t="n">
        <v>45212</v>
      </c>
      <c r="D608" t="inlineStr">
        <is>
          <t>VÄSTRA GÖTALANDS LÄN</t>
        </is>
      </c>
      <c r="E608" t="inlineStr">
        <is>
          <t>LIDKÖPING</t>
        </is>
      </c>
      <c r="G608" t="n">
        <v>0.9</v>
      </c>
      <c r="H608" t="n">
        <v>0</v>
      </c>
      <c r="I608" t="n">
        <v>0</v>
      </c>
      <c r="J608" t="n">
        <v>0</v>
      </c>
      <c r="K608" t="n">
        <v>0</v>
      </c>
      <c r="L608" t="n">
        <v>0</v>
      </c>
      <c r="M608" t="n">
        <v>0</v>
      </c>
      <c r="N608" t="n">
        <v>0</v>
      </c>
      <c r="O608" t="n">
        <v>0</v>
      </c>
      <c r="P608" t="n">
        <v>0</v>
      </c>
      <c r="Q608" t="n">
        <v>0</v>
      </c>
      <c r="R608" s="2" t="inlineStr"/>
    </row>
    <row r="609" ht="15" customHeight="1">
      <c r="A609" t="inlineStr">
        <is>
          <t>A 38690-2018</t>
        </is>
      </c>
      <c r="B609" s="1" t="n">
        <v>43340</v>
      </c>
      <c r="C609" s="1" t="n">
        <v>45212</v>
      </c>
      <c r="D609" t="inlineStr">
        <is>
          <t>VÄSTRA GÖTALANDS LÄN</t>
        </is>
      </c>
      <c r="E609" t="inlineStr">
        <is>
          <t>FALKÖPING</t>
        </is>
      </c>
      <c r="G609" t="n">
        <v>2.3</v>
      </c>
      <c r="H609" t="n">
        <v>0</v>
      </c>
      <c r="I609" t="n">
        <v>0</v>
      </c>
      <c r="J609" t="n">
        <v>0</v>
      </c>
      <c r="K609" t="n">
        <v>0</v>
      </c>
      <c r="L609" t="n">
        <v>0</v>
      </c>
      <c r="M609" t="n">
        <v>0</v>
      </c>
      <c r="N609" t="n">
        <v>0</v>
      </c>
      <c r="O609" t="n">
        <v>0</v>
      </c>
      <c r="P609" t="n">
        <v>0</v>
      </c>
      <c r="Q609" t="n">
        <v>0</v>
      </c>
      <c r="R609" s="2" t="inlineStr"/>
    </row>
    <row r="610" ht="15" customHeight="1">
      <c r="A610" t="inlineStr">
        <is>
          <t>A 39100-2018</t>
        </is>
      </c>
      <c r="B610" s="1" t="n">
        <v>43340</v>
      </c>
      <c r="C610" s="1" t="n">
        <v>45212</v>
      </c>
      <c r="D610" t="inlineStr">
        <is>
          <t>VÄSTRA GÖTALANDS LÄN</t>
        </is>
      </c>
      <c r="E610" t="inlineStr">
        <is>
          <t>HERRLJUNGA</t>
        </is>
      </c>
      <c r="G610" t="n">
        <v>1.5</v>
      </c>
      <c r="H610" t="n">
        <v>0</v>
      </c>
      <c r="I610" t="n">
        <v>0</v>
      </c>
      <c r="J610" t="n">
        <v>0</v>
      </c>
      <c r="K610" t="n">
        <v>0</v>
      </c>
      <c r="L610" t="n">
        <v>0</v>
      </c>
      <c r="M610" t="n">
        <v>0</v>
      </c>
      <c r="N610" t="n">
        <v>0</v>
      </c>
      <c r="O610" t="n">
        <v>0</v>
      </c>
      <c r="P610" t="n">
        <v>0</v>
      </c>
      <c r="Q610" t="n">
        <v>0</v>
      </c>
      <c r="R610" s="2" t="inlineStr"/>
    </row>
    <row r="611" ht="15" customHeight="1">
      <c r="A611" t="inlineStr">
        <is>
          <t>A 39496-2018</t>
        </is>
      </c>
      <c r="B611" s="1" t="n">
        <v>43340</v>
      </c>
      <c r="C611" s="1" t="n">
        <v>45212</v>
      </c>
      <c r="D611" t="inlineStr">
        <is>
          <t>VÄSTRA GÖTALANDS LÄN</t>
        </is>
      </c>
      <c r="E611" t="inlineStr">
        <is>
          <t>BENGTSFORS</t>
        </is>
      </c>
      <c r="G611" t="n">
        <v>2.5</v>
      </c>
      <c r="H611" t="n">
        <v>0</v>
      </c>
      <c r="I611" t="n">
        <v>0</v>
      </c>
      <c r="J611" t="n">
        <v>0</v>
      </c>
      <c r="K611" t="n">
        <v>0</v>
      </c>
      <c r="L611" t="n">
        <v>0</v>
      </c>
      <c r="M611" t="n">
        <v>0</v>
      </c>
      <c r="N611" t="n">
        <v>0</v>
      </c>
      <c r="O611" t="n">
        <v>0</v>
      </c>
      <c r="P611" t="n">
        <v>0</v>
      </c>
      <c r="Q611" t="n">
        <v>0</v>
      </c>
      <c r="R611" s="2" t="inlineStr"/>
    </row>
    <row r="612" ht="15" customHeight="1">
      <c r="A612" t="inlineStr">
        <is>
          <t>A 38923-2018</t>
        </is>
      </c>
      <c r="B612" s="1" t="n">
        <v>43340</v>
      </c>
      <c r="C612" s="1" t="n">
        <v>45212</v>
      </c>
      <c r="D612" t="inlineStr">
        <is>
          <t>VÄSTRA GÖTALANDS LÄN</t>
        </is>
      </c>
      <c r="E612" t="inlineStr">
        <is>
          <t>KUNGÄLV</t>
        </is>
      </c>
      <c r="G612" t="n">
        <v>13.1</v>
      </c>
      <c r="H612" t="n">
        <v>0</v>
      </c>
      <c r="I612" t="n">
        <v>0</v>
      </c>
      <c r="J612" t="n">
        <v>0</v>
      </c>
      <c r="K612" t="n">
        <v>0</v>
      </c>
      <c r="L612" t="n">
        <v>0</v>
      </c>
      <c r="M612" t="n">
        <v>0</v>
      </c>
      <c r="N612" t="n">
        <v>0</v>
      </c>
      <c r="O612" t="n">
        <v>0</v>
      </c>
      <c r="P612" t="n">
        <v>0</v>
      </c>
      <c r="Q612" t="n">
        <v>0</v>
      </c>
      <c r="R612" s="2" t="inlineStr"/>
    </row>
    <row r="613" ht="15" customHeight="1">
      <c r="A613" t="inlineStr">
        <is>
          <t>A 39653-2018</t>
        </is>
      </c>
      <c r="B613" s="1" t="n">
        <v>43341</v>
      </c>
      <c r="C613" s="1" t="n">
        <v>45212</v>
      </c>
      <c r="D613" t="inlineStr">
        <is>
          <t>VÄSTRA GÖTALANDS LÄN</t>
        </is>
      </c>
      <c r="E613" t="inlineStr">
        <is>
          <t>TRANEMO</t>
        </is>
      </c>
      <c r="G613" t="n">
        <v>1.5</v>
      </c>
      <c r="H613" t="n">
        <v>0</v>
      </c>
      <c r="I613" t="n">
        <v>0</v>
      </c>
      <c r="J613" t="n">
        <v>0</v>
      </c>
      <c r="K613" t="n">
        <v>0</v>
      </c>
      <c r="L613" t="n">
        <v>0</v>
      </c>
      <c r="M613" t="n">
        <v>0</v>
      </c>
      <c r="N613" t="n">
        <v>0</v>
      </c>
      <c r="O613" t="n">
        <v>0</v>
      </c>
      <c r="P613" t="n">
        <v>0</v>
      </c>
      <c r="Q613" t="n">
        <v>0</v>
      </c>
      <c r="R613" s="2" t="inlineStr"/>
    </row>
    <row r="614" ht="15" customHeight="1">
      <c r="A614" t="inlineStr">
        <is>
          <t>A 39940-2018</t>
        </is>
      </c>
      <c r="B614" s="1" t="n">
        <v>43342</v>
      </c>
      <c r="C614" s="1" t="n">
        <v>45212</v>
      </c>
      <c r="D614" t="inlineStr">
        <is>
          <t>VÄSTRA GÖTALANDS LÄN</t>
        </is>
      </c>
      <c r="E614" t="inlineStr">
        <is>
          <t>MUNKEDAL</t>
        </is>
      </c>
      <c r="F614" t="inlineStr">
        <is>
          <t>Kyrkan</t>
        </is>
      </c>
      <c r="G614" t="n">
        <v>0.6</v>
      </c>
      <c r="H614" t="n">
        <v>0</v>
      </c>
      <c r="I614" t="n">
        <v>0</v>
      </c>
      <c r="J614" t="n">
        <v>0</v>
      </c>
      <c r="K614" t="n">
        <v>0</v>
      </c>
      <c r="L614" t="n">
        <v>0</v>
      </c>
      <c r="M614" t="n">
        <v>0</v>
      </c>
      <c r="N614" t="n">
        <v>0</v>
      </c>
      <c r="O614" t="n">
        <v>0</v>
      </c>
      <c r="P614" t="n">
        <v>0</v>
      </c>
      <c r="Q614" t="n">
        <v>0</v>
      </c>
      <c r="R614" s="2" t="inlineStr"/>
    </row>
    <row r="615" ht="15" customHeight="1">
      <c r="A615" t="inlineStr">
        <is>
          <t>A 40426-2018</t>
        </is>
      </c>
      <c r="B615" s="1" t="n">
        <v>43342</v>
      </c>
      <c r="C615" s="1" t="n">
        <v>45212</v>
      </c>
      <c r="D615" t="inlineStr">
        <is>
          <t>VÄSTRA GÖTALANDS LÄN</t>
        </is>
      </c>
      <c r="E615" t="inlineStr">
        <is>
          <t>MUNKEDAL</t>
        </is>
      </c>
      <c r="G615" t="n">
        <v>7.3</v>
      </c>
      <c r="H615" t="n">
        <v>0</v>
      </c>
      <c r="I615" t="n">
        <v>0</v>
      </c>
      <c r="J615" t="n">
        <v>0</v>
      </c>
      <c r="K615" t="n">
        <v>0</v>
      </c>
      <c r="L615" t="n">
        <v>0</v>
      </c>
      <c r="M615" t="n">
        <v>0</v>
      </c>
      <c r="N615" t="n">
        <v>0</v>
      </c>
      <c r="O615" t="n">
        <v>0</v>
      </c>
      <c r="P615" t="n">
        <v>0</v>
      </c>
      <c r="Q615" t="n">
        <v>0</v>
      </c>
      <c r="R615" s="2" t="inlineStr"/>
    </row>
    <row r="616" ht="15" customHeight="1">
      <c r="A616" t="inlineStr">
        <is>
          <t>A 39734-2018</t>
        </is>
      </c>
      <c r="B616" s="1" t="n">
        <v>43342</v>
      </c>
      <c r="C616" s="1" t="n">
        <v>45212</v>
      </c>
      <c r="D616" t="inlineStr">
        <is>
          <t>VÄSTRA GÖTALANDS LÄN</t>
        </is>
      </c>
      <c r="E616" t="inlineStr">
        <is>
          <t>MARK</t>
        </is>
      </c>
      <c r="G616" t="n">
        <v>2.7</v>
      </c>
      <c r="H616" t="n">
        <v>0</v>
      </c>
      <c r="I616" t="n">
        <v>0</v>
      </c>
      <c r="J616" t="n">
        <v>0</v>
      </c>
      <c r="K616" t="n">
        <v>0</v>
      </c>
      <c r="L616" t="n">
        <v>0</v>
      </c>
      <c r="M616" t="n">
        <v>0</v>
      </c>
      <c r="N616" t="n">
        <v>0</v>
      </c>
      <c r="O616" t="n">
        <v>0</v>
      </c>
      <c r="P616" t="n">
        <v>0</v>
      </c>
      <c r="Q616" t="n">
        <v>0</v>
      </c>
      <c r="R616" s="2" t="inlineStr"/>
    </row>
    <row r="617" ht="15" customHeight="1">
      <c r="A617" t="inlineStr">
        <is>
          <t>A 40439-2018</t>
        </is>
      </c>
      <c r="B617" s="1" t="n">
        <v>43342</v>
      </c>
      <c r="C617" s="1" t="n">
        <v>45212</v>
      </c>
      <c r="D617" t="inlineStr">
        <is>
          <t>VÄSTRA GÖTALANDS LÄN</t>
        </is>
      </c>
      <c r="E617" t="inlineStr">
        <is>
          <t>MUNKEDAL</t>
        </is>
      </c>
      <c r="G617" t="n">
        <v>1.4</v>
      </c>
      <c r="H617" t="n">
        <v>0</v>
      </c>
      <c r="I617" t="n">
        <v>0</v>
      </c>
      <c r="J617" t="n">
        <v>0</v>
      </c>
      <c r="K617" t="n">
        <v>0</v>
      </c>
      <c r="L617" t="n">
        <v>0</v>
      </c>
      <c r="M617" t="n">
        <v>0</v>
      </c>
      <c r="N617" t="n">
        <v>0</v>
      </c>
      <c r="O617" t="n">
        <v>0</v>
      </c>
      <c r="P617" t="n">
        <v>0</v>
      </c>
      <c r="Q617" t="n">
        <v>0</v>
      </c>
      <c r="R617" s="2" t="inlineStr"/>
    </row>
    <row r="618" ht="15" customHeight="1">
      <c r="A618" t="inlineStr">
        <is>
          <t>A 40421-2018</t>
        </is>
      </c>
      <c r="B618" s="1" t="n">
        <v>43342</v>
      </c>
      <c r="C618" s="1" t="n">
        <v>45212</v>
      </c>
      <c r="D618" t="inlineStr">
        <is>
          <t>VÄSTRA GÖTALANDS LÄN</t>
        </is>
      </c>
      <c r="E618" t="inlineStr">
        <is>
          <t>MUNKEDAL</t>
        </is>
      </c>
      <c r="G618" t="n">
        <v>1.8</v>
      </c>
      <c r="H618" t="n">
        <v>0</v>
      </c>
      <c r="I618" t="n">
        <v>0</v>
      </c>
      <c r="J618" t="n">
        <v>0</v>
      </c>
      <c r="K618" t="n">
        <v>0</v>
      </c>
      <c r="L618" t="n">
        <v>0</v>
      </c>
      <c r="M618" t="n">
        <v>0</v>
      </c>
      <c r="N618" t="n">
        <v>0</v>
      </c>
      <c r="O618" t="n">
        <v>0</v>
      </c>
      <c r="P618" t="n">
        <v>0</v>
      </c>
      <c r="Q618" t="n">
        <v>0</v>
      </c>
      <c r="R618" s="2" t="inlineStr"/>
    </row>
    <row r="619" ht="15" customHeight="1">
      <c r="A619" t="inlineStr">
        <is>
          <t>A 39719-2018</t>
        </is>
      </c>
      <c r="B619" s="1" t="n">
        <v>43342</v>
      </c>
      <c r="C619" s="1" t="n">
        <v>45212</v>
      </c>
      <c r="D619" t="inlineStr">
        <is>
          <t>VÄSTRA GÖTALANDS LÄN</t>
        </is>
      </c>
      <c r="E619" t="inlineStr">
        <is>
          <t>GULLSPÅNG</t>
        </is>
      </c>
      <c r="G619" t="n">
        <v>1.4</v>
      </c>
      <c r="H619" t="n">
        <v>0</v>
      </c>
      <c r="I619" t="n">
        <v>0</v>
      </c>
      <c r="J619" t="n">
        <v>0</v>
      </c>
      <c r="K619" t="n">
        <v>0</v>
      </c>
      <c r="L619" t="n">
        <v>0</v>
      </c>
      <c r="M619" t="n">
        <v>0</v>
      </c>
      <c r="N619" t="n">
        <v>0</v>
      </c>
      <c r="O619" t="n">
        <v>0</v>
      </c>
      <c r="P619" t="n">
        <v>0</v>
      </c>
      <c r="Q619" t="n">
        <v>0</v>
      </c>
      <c r="R619" s="2" t="inlineStr"/>
    </row>
    <row r="620" ht="15" customHeight="1">
      <c r="A620" t="inlineStr">
        <is>
          <t>A 39877-2018</t>
        </is>
      </c>
      <c r="B620" s="1" t="n">
        <v>43342</v>
      </c>
      <c r="C620" s="1" t="n">
        <v>45212</v>
      </c>
      <c r="D620" t="inlineStr">
        <is>
          <t>VÄSTRA GÖTALANDS LÄN</t>
        </is>
      </c>
      <c r="E620" t="inlineStr">
        <is>
          <t>ALINGSÅS</t>
        </is>
      </c>
      <c r="G620" t="n">
        <v>1</v>
      </c>
      <c r="H620" t="n">
        <v>0</v>
      </c>
      <c r="I620" t="n">
        <v>0</v>
      </c>
      <c r="J620" t="n">
        <v>0</v>
      </c>
      <c r="K620" t="n">
        <v>0</v>
      </c>
      <c r="L620" t="n">
        <v>0</v>
      </c>
      <c r="M620" t="n">
        <v>0</v>
      </c>
      <c r="N620" t="n">
        <v>0</v>
      </c>
      <c r="O620" t="n">
        <v>0</v>
      </c>
      <c r="P620" t="n">
        <v>0</v>
      </c>
      <c r="Q620" t="n">
        <v>0</v>
      </c>
      <c r="R620" s="2" t="inlineStr"/>
    </row>
    <row r="621" ht="15" customHeight="1">
      <c r="A621" t="inlineStr">
        <is>
          <t>A 39955-2018</t>
        </is>
      </c>
      <c r="B621" s="1" t="n">
        <v>43342</v>
      </c>
      <c r="C621" s="1" t="n">
        <v>45212</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39960-2018</t>
        </is>
      </c>
      <c r="B622" s="1" t="n">
        <v>43343</v>
      </c>
      <c r="C622" s="1" t="n">
        <v>45212</v>
      </c>
      <c r="D622" t="inlineStr">
        <is>
          <t>VÄSTRA GÖTALANDS LÄN</t>
        </is>
      </c>
      <c r="E622" t="inlineStr">
        <is>
          <t>LYSEKIL</t>
        </is>
      </c>
      <c r="G622" t="n">
        <v>1.1</v>
      </c>
      <c r="H622" t="n">
        <v>0</v>
      </c>
      <c r="I622" t="n">
        <v>0</v>
      </c>
      <c r="J622" t="n">
        <v>0</v>
      </c>
      <c r="K622" t="n">
        <v>0</v>
      </c>
      <c r="L622" t="n">
        <v>0</v>
      </c>
      <c r="M622" t="n">
        <v>0</v>
      </c>
      <c r="N622" t="n">
        <v>0</v>
      </c>
      <c r="O622" t="n">
        <v>0</v>
      </c>
      <c r="P622" t="n">
        <v>0</v>
      </c>
      <c r="Q622" t="n">
        <v>0</v>
      </c>
      <c r="R622" s="2" t="inlineStr"/>
    </row>
    <row r="623" ht="15" customHeight="1">
      <c r="A623" t="inlineStr">
        <is>
          <t>A 39994-2018</t>
        </is>
      </c>
      <c r="B623" s="1" t="n">
        <v>43343</v>
      </c>
      <c r="C623" s="1" t="n">
        <v>45212</v>
      </c>
      <c r="D623" t="inlineStr">
        <is>
          <t>VÄSTRA GÖTALANDS LÄN</t>
        </is>
      </c>
      <c r="E623" t="inlineStr">
        <is>
          <t>KUNGÄLV</t>
        </is>
      </c>
      <c r="G623" t="n">
        <v>0.2</v>
      </c>
      <c r="H623" t="n">
        <v>0</v>
      </c>
      <c r="I623" t="n">
        <v>0</v>
      </c>
      <c r="J623" t="n">
        <v>0</v>
      </c>
      <c r="K623" t="n">
        <v>0</v>
      </c>
      <c r="L623" t="n">
        <v>0</v>
      </c>
      <c r="M623" t="n">
        <v>0</v>
      </c>
      <c r="N623" t="n">
        <v>0</v>
      </c>
      <c r="O623" t="n">
        <v>0</v>
      </c>
      <c r="P623" t="n">
        <v>0</v>
      </c>
      <c r="Q623" t="n">
        <v>0</v>
      </c>
      <c r="R623" s="2" t="inlineStr"/>
    </row>
    <row r="624" ht="15" customHeight="1">
      <c r="A624" t="inlineStr">
        <is>
          <t>A 40120-2018</t>
        </is>
      </c>
      <c r="B624" s="1" t="n">
        <v>43343</v>
      </c>
      <c r="C624" s="1" t="n">
        <v>45212</v>
      </c>
      <c r="D624" t="inlineStr">
        <is>
          <t>VÄSTRA GÖTALANDS LÄN</t>
        </is>
      </c>
      <c r="E624" t="inlineStr">
        <is>
          <t>MELLERUD</t>
        </is>
      </c>
      <c r="G624" t="n">
        <v>8.5</v>
      </c>
      <c r="H624" t="n">
        <v>0</v>
      </c>
      <c r="I624" t="n">
        <v>0</v>
      </c>
      <c r="J624" t="n">
        <v>0</v>
      </c>
      <c r="K624" t="n">
        <v>0</v>
      </c>
      <c r="L624" t="n">
        <v>0</v>
      </c>
      <c r="M624" t="n">
        <v>0</v>
      </c>
      <c r="N624" t="n">
        <v>0</v>
      </c>
      <c r="O624" t="n">
        <v>0</v>
      </c>
      <c r="P624" t="n">
        <v>0</v>
      </c>
      <c r="Q624" t="n">
        <v>0</v>
      </c>
      <c r="R624" s="2" t="inlineStr"/>
    </row>
    <row r="625" ht="15" customHeight="1">
      <c r="A625" t="inlineStr">
        <is>
          <t>A 40443-2018</t>
        </is>
      </c>
      <c r="B625" s="1" t="n">
        <v>43343</v>
      </c>
      <c r="C625" s="1" t="n">
        <v>45212</v>
      </c>
      <c r="D625" t="inlineStr">
        <is>
          <t>VÄSTRA GÖTALANDS LÄN</t>
        </is>
      </c>
      <c r="E625" t="inlineStr">
        <is>
          <t>MELLERUD</t>
        </is>
      </c>
      <c r="G625" t="n">
        <v>7.5</v>
      </c>
      <c r="H625" t="n">
        <v>0</v>
      </c>
      <c r="I625" t="n">
        <v>0</v>
      </c>
      <c r="J625" t="n">
        <v>0</v>
      </c>
      <c r="K625" t="n">
        <v>0</v>
      </c>
      <c r="L625" t="n">
        <v>0</v>
      </c>
      <c r="M625" t="n">
        <v>0</v>
      </c>
      <c r="N625" t="n">
        <v>0</v>
      </c>
      <c r="O625" t="n">
        <v>0</v>
      </c>
      <c r="P625" t="n">
        <v>0</v>
      </c>
      <c r="Q625" t="n">
        <v>0</v>
      </c>
      <c r="R625" s="2" t="inlineStr"/>
    </row>
    <row r="626" ht="15" customHeight="1">
      <c r="A626" t="inlineStr">
        <is>
          <t>A 39992-2018</t>
        </is>
      </c>
      <c r="B626" s="1" t="n">
        <v>43343</v>
      </c>
      <c r="C626" s="1" t="n">
        <v>45212</v>
      </c>
      <c r="D626" t="inlineStr">
        <is>
          <t>VÄSTRA GÖTALANDS LÄN</t>
        </is>
      </c>
      <c r="E626" t="inlineStr">
        <is>
          <t>KUNGÄLV</t>
        </is>
      </c>
      <c r="G626" t="n">
        <v>0.5</v>
      </c>
      <c r="H626" t="n">
        <v>0</v>
      </c>
      <c r="I626" t="n">
        <v>0</v>
      </c>
      <c r="J626" t="n">
        <v>0</v>
      </c>
      <c r="K626" t="n">
        <v>0</v>
      </c>
      <c r="L626" t="n">
        <v>0</v>
      </c>
      <c r="M626" t="n">
        <v>0</v>
      </c>
      <c r="N626" t="n">
        <v>0</v>
      </c>
      <c r="O626" t="n">
        <v>0</v>
      </c>
      <c r="P626" t="n">
        <v>0</v>
      </c>
      <c r="Q626" t="n">
        <v>0</v>
      </c>
      <c r="R626" s="2" t="inlineStr"/>
    </row>
    <row r="627" ht="15" customHeight="1">
      <c r="A627" t="inlineStr">
        <is>
          <t>A 40396-2018</t>
        </is>
      </c>
      <c r="B627" s="1" t="n">
        <v>43346</v>
      </c>
      <c r="C627" s="1" t="n">
        <v>45212</v>
      </c>
      <c r="D627" t="inlineStr">
        <is>
          <t>VÄSTRA GÖTALANDS LÄN</t>
        </is>
      </c>
      <c r="E627" t="inlineStr">
        <is>
          <t>SVENLJUNGA</t>
        </is>
      </c>
      <c r="G627" t="n">
        <v>6</v>
      </c>
      <c r="H627" t="n">
        <v>0</v>
      </c>
      <c r="I627" t="n">
        <v>0</v>
      </c>
      <c r="J627" t="n">
        <v>0</v>
      </c>
      <c r="K627" t="n">
        <v>0</v>
      </c>
      <c r="L627" t="n">
        <v>0</v>
      </c>
      <c r="M627" t="n">
        <v>0</v>
      </c>
      <c r="N627" t="n">
        <v>0</v>
      </c>
      <c r="O627" t="n">
        <v>0</v>
      </c>
      <c r="P627" t="n">
        <v>0</v>
      </c>
      <c r="Q627" t="n">
        <v>0</v>
      </c>
      <c r="R627" s="2" t="inlineStr"/>
    </row>
    <row r="628" ht="15" customHeight="1">
      <c r="A628" t="inlineStr">
        <is>
          <t>A 41175-2018</t>
        </is>
      </c>
      <c r="B628" s="1" t="n">
        <v>43346</v>
      </c>
      <c r="C628" s="1" t="n">
        <v>45212</v>
      </c>
      <c r="D628" t="inlineStr">
        <is>
          <t>VÄSTRA GÖTALANDS LÄN</t>
        </is>
      </c>
      <c r="E628" t="inlineStr">
        <is>
          <t>HERRLJUNGA</t>
        </is>
      </c>
      <c r="G628" t="n">
        <v>2.5</v>
      </c>
      <c r="H628" t="n">
        <v>0</v>
      </c>
      <c r="I628" t="n">
        <v>0</v>
      </c>
      <c r="J628" t="n">
        <v>0</v>
      </c>
      <c r="K628" t="n">
        <v>0</v>
      </c>
      <c r="L628" t="n">
        <v>0</v>
      </c>
      <c r="M628" t="n">
        <v>0</v>
      </c>
      <c r="N628" t="n">
        <v>0</v>
      </c>
      <c r="O628" t="n">
        <v>0</v>
      </c>
      <c r="P628" t="n">
        <v>0</v>
      </c>
      <c r="Q628" t="n">
        <v>0</v>
      </c>
      <c r="R628" s="2" t="inlineStr"/>
    </row>
    <row r="629" ht="15" customHeight="1">
      <c r="A629" t="inlineStr">
        <is>
          <t>A 40540-2018</t>
        </is>
      </c>
      <c r="B629" s="1" t="n">
        <v>43346</v>
      </c>
      <c r="C629" s="1" t="n">
        <v>45212</v>
      </c>
      <c r="D629" t="inlineStr">
        <is>
          <t>VÄSTRA GÖTALANDS LÄN</t>
        </is>
      </c>
      <c r="E629" t="inlineStr">
        <is>
          <t>TRANEMO</t>
        </is>
      </c>
      <c r="G629" t="n">
        <v>2.2</v>
      </c>
      <c r="H629" t="n">
        <v>0</v>
      </c>
      <c r="I629" t="n">
        <v>0</v>
      </c>
      <c r="J629" t="n">
        <v>0</v>
      </c>
      <c r="K629" t="n">
        <v>0</v>
      </c>
      <c r="L629" t="n">
        <v>0</v>
      </c>
      <c r="M629" t="n">
        <v>0</v>
      </c>
      <c r="N629" t="n">
        <v>0</v>
      </c>
      <c r="O629" t="n">
        <v>0</v>
      </c>
      <c r="P629" t="n">
        <v>0</v>
      </c>
      <c r="Q629" t="n">
        <v>0</v>
      </c>
      <c r="R629" s="2" t="inlineStr"/>
    </row>
    <row r="630" ht="15" customHeight="1">
      <c r="A630" t="inlineStr">
        <is>
          <t>A 40660-2018</t>
        </is>
      </c>
      <c r="B630" s="1" t="n">
        <v>43346</v>
      </c>
      <c r="C630" s="1" t="n">
        <v>45212</v>
      </c>
      <c r="D630" t="inlineStr">
        <is>
          <t>VÄSTRA GÖTALANDS LÄN</t>
        </is>
      </c>
      <c r="E630" t="inlineStr">
        <is>
          <t>ULRICEHAMN</t>
        </is>
      </c>
      <c r="G630" t="n">
        <v>7.5</v>
      </c>
      <c r="H630" t="n">
        <v>0</v>
      </c>
      <c r="I630" t="n">
        <v>0</v>
      </c>
      <c r="J630" t="n">
        <v>0</v>
      </c>
      <c r="K630" t="n">
        <v>0</v>
      </c>
      <c r="L630" t="n">
        <v>0</v>
      </c>
      <c r="M630" t="n">
        <v>0</v>
      </c>
      <c r="N630" t="n">
        <v>0</v>
      </c>
      <c r="O630" t="n">
        <v>0</v>
      </c>
      <c r="P630" t="n">
        <v>0</v>
      </c>
      <c r="Q630" t="n">
        <v>0</v>
      </c>
      <c r="R630" s="2" t="inlineStr"/>
    </row>
    <row r="631" ht="15" customHeight="1">
      <c r="A631" t="inlineStr">
        <is>
          <t>A 41162-2018</t>
        </is>
      </c>
      <c r="B631" s="1" t="n">
        <v>43346</v>
      </c>
      <c r="C631" s="1" t="n">
        <v>45212</v>
      </c>
      <c r="D631" t="inlineStr">
        <is>
          <t>VÄSTRA GÖTALANDS LÄN</t>
        </is>
      </c>
      <c r="E631" t="inlineStr">
        <is>
          <t>HERRLJUNGA</t>
        </is>
      </c>
      <c r="G631" t="n">
        <v>1.3</v>
      </c>
      <c r="H631" t="n">
        <v>0</v>
      </c>
      <c r="I631" t="n">
        <v>0</v>
      </c>
      <c r="J631" t="n">
        <v>0</v>
      </c>
      <c r="K631" t="n">
        <v>0</v>
      </c>
      <c r="L631" t="n">
        <v>0</v>
      </c>
      <c r="M631" t="n">
        <v>0</v>
      </c>
      <c r="N631" t="n">
        <v>0</v>
      </c>
      <c r="O631" t="n">
        <v>0</v>
      </c>
      <c r="P631" t="n">
        <v>0</v>
      </c>
      <c r="Q631" t="n">
        <v>0</v>
      </c>
      <c r="R631" s="2" t="inlineStr"/>
    </row>
    <row r="632" ht="15" customHeight="1">
      <c r="A632" t="inlineStr">
        <is>
          <t>A 40496-2018</t>
        </is>
      </c>
      <c r="B632" s="1" t="n">
        <v>43346</v>
      </c>
      <c r="C632" s="1" t="n">
        <v>45212</v>
      </c>
      <c r="D632" t="inlineStr">
        <is>
          <t>VÄSTRA GÖTALANDS LÄN</t>
        </is>
      </c>
      <c r="E632" t="inlineStr">
        <is>
          <t>MARK</t>
        </is>
      </c>
      <c r="G632" t="n">
        <v>4.4</v>
      </c>
      <c r="H632" t="n">
        <v>0</v>
      </c>
      <c r="I632" t="n">
        <v>0</v>
      </c>
      <c r="J632" t="n">
        <v>0</v>
      </c>
      <c r="K632" t="n">
        <v>0</v>
      </c>
      <c r="L632" t="n">
        <v>0</v>
      </c>
      <c r="M632" t="n">
        <v>0</v>
      </c>
      <c r="N632" t="n">
        <v>0</v>
      </c>
      <c r="O632" t="n">
        <v>0</v>
      </c>
      <c r="P632" t="n">
        <v>0</v>
      </c>
      <c r="Q632" t="n">
        <v>0</v>
      </c>
      <c r="R632" s="2" t="inlineStr"/>
    </row>
    <row r="633" ht="15" customHeight="1">
      <c r="A633" t="inlineStr">
        <is>
          <t>A 40633-2018</t>
        </is>
      </c>
      <c r="B633" s="1" t="n">
        <v>43346</v>
      </c>
      <c r="C633" s="1" t="n">
        <v>45212</v>
      </c>
      <c r="D633" t="inlineStr">
        <is>
          <t>VÄSTRA GÖTALANDS LÄN</t>
        </is>
      </c>
      <c r="E633" t="inlineStr">
        <is>
          <t>KUNGÄLV</t>
        </is>
      </c>
      <c r="G633" t="n">
        <v>11.3</v>
      </c>
      <c r="H633" t="n">
        <v>0</v>
      </c>
      <c r="I633" t="n">
        <v>0</v>
      </c>
      <c r="J633" t="n">
        <v>0</v>
      </c>
      <c r="K633" t="n">
        <v>0</v>
      </c>
      <c r="L633" t="n">
        <v>0</v>
      </c>
      <c r="M633" t="n">
        <v>0</v>
      </c>
      <c r="N633" t="n">
        <v>0</v>
      </c>
      <c r="O633" t="n">
        <v>0</v>
      </c>
      <c r="P633" t="n">
        <v>0</v>
      </c>
      <c r="Q633" t="n">
        <v>0</v>
      </c>
      <c r="R633" s="2" t="inlineStr"/>
    </row>
    <row r="634" ht="15" customHeight="1">
      <c r="A634" t="inlineStr">
        <is>
          <t>A 40501-2018</t>
        </is>
      </c>
      <c r="B634" s="1" t="n">
        <v>43346</v>
      </c>
      <c r="C634" s="1" t="n">
        <v>45212</v>
      </c>
      <c r="D634" t="inlineStr">
        <is>
          <t>VÄSTRA GÖTALANDS LÄN</t>
        </is>
      </c>
      <c r="E634" t="inlineStr">
        <is>
          <t>MARK</t>
        </is>
      </c>
      <c r="G634" t="n">
        <v>4.6</v>
      </c>
      <c r="H634" t="n">
        <v>0</v>
      </c>
      <c r="I634" t="n">
        <v>0</v>
      </c>
      <c r="J634" t="n">
        <v>0</v>
      </c>
      <c r="K634" t="n">
        <v>0</v>
      </c>
      <c r="L634" t="n">
        <v>0</v>
      </c>
      <c r="M634" t="n">
        <v>0</v>
      </c>
      <c r="N634" t="n">
        <v>0</v>
      </c>
      <c r="O634" t="n">
        <v>0</v>
      </c>
      <c r="P634" t="n">
        <v>0</v>
      </c>
      <c r="Q634" t="n">
        <v>0</v>
      </c>
      <c r="R634" s="2" t="inlineStr"/>
    </row>
    <row r="635" ht="15" customHeight="1">
      <c r="A635" t="inlineStr">
        <is>
          <t>A 41057-2018</t>
        </is>
      </c>
      <c r="B635" s="1" t="n">
        <v>43346</v>
      </c>
      <c r="C635" s="1" t="n">
        <v>45212</v>
      </c>
      <c r="D635" t="inlineStr">
        <is>
          <t>VÄSTRA GÖTALANDS LÄN</t>
        </is>
      </c>
      <c r="E635" t="inlineStr">
        <is>
          <t>HERRLJUNGA</t>
        </is>
      </c>
      <c r="G635" t="n">
        <v>1.6</v>
      </c>
      <c r="H635" t="n">
        <v>0</v>
      </c>
      <c r="I635" t="n">
        <v>0</v>
      </c>
      <c r="J635" t="n">
        <v>0</v>
      </c>
      <c r="K635" t="n">
        <v>0</v>
      </c>
      <c r="L635" t="n">
        <v>0</v>
      </c>
      <c r="M635" t="n">
        <v>0</v>
      </c>
      <c r="N635" t="n">
        <v>0</v>
      </c>
      <c r="O635" t="n">
        <v>0</v>
      </c>
      <c r="P635" t="n">
        <v>0</v>
      </c>
      <c r="Q635" t="n">
        <v>0</v>
      </c>
      <c r="R635" s="2" t="inlineStr"/>
    </row>
    <row r="636" ht="15" customHeight="1">
      <c r="A636" t="inlineStr">
        <is>
          <t>A 41550-2018</t>
        </is>
      </c>
      <c r="B636" s="1" t="n">
        <v>43347</v>
      </c>
      <c r="C636" s="1" t="n">
        <v>45212</v>
      </c>
      <c r="D636" t="inlineStr">
        <is>
          <t>VÄSTRA GÖTALANDS LÄN</t>
        </is>
      </c>
      <c r="E636" t="inlineStr">
        <is>
          <t>ALINGSÅS</t>
        </is>
      </c>
      <c r="G636" t="n">
        <v>2.3</v>
      </c>
      <c r="H636" t="n">
        <v>0</v>
      </c>
      <c r="I636" t="n">
        <v>0</v>
      </c>
      <c r="J636" t="n">
        <v>0</v>
      </c>
      <c r="K636" t="n">
        <v>0</v>
      </c>
      <c r="L636" t="n">
        <v>0</v>
      </c>
      <c r="M636" t="n">
        <v>0</v>
      </c>
      <c r="N636" t="n">
        <v>0</v>
      </c>
      <c r="O636" t="n">
        <v>0</v>
      </c>
      <c r="P636" t="n">
        <v>0</v>
      </c>
      <c r="Q636" t="n">
        <v>0</v>
      </c>
      <c r="R636" s="2" t="inlineStr"/>
    </row>
    <row r="637" ht="15" customHeight="1">
      <c r="A637" t="inlineStr">
        <is>
          <t>A 40932-2018</t>
        </is>
      </c>
      <c r="B637" s="1" t="n">
        <v>43347</v>
      </c>
      <c r="C637" s="1" t="n">
        <v>45212</v>
      </c>
      <c r="D637" t="inlineStr">
        <is>
          <t>VÄSTRA GÖTALANDS LÄN</t>
        </is>
      </c>
      <c r="E637" t="inlineStr">
        <is>
          <t>FALKÖPING</t>
        </is>
      </c>
      <c r="G637" t="n">
        <v>1.4</v>
      </c>
      <c r="H637" t="n">
        <v>0</v>
      </c>
      <c r="I637" t="n">
        <v>0</v>
      </c>
      <c r="J637" t="n">
        <v>0</v>
      </c>
      <c r="K637" t="n">
        <v>0</v>
      </c>
      <c r="L637" t="n">
        <v>0</v>
      </c>
      <c r="M637" t="n">
        <v>0</v>
      </c>
      <c r="N637" t="n">
        <v>0</v>
      </c>
      <c r="O637" t="n">
        <v>0</v>
      </c>
      <c r="P637" t="n">
        <v>0</v>
      </c>
      <c r="Q637" t="n">
        <v>0</v>
      </c>
      <c r="R637" s="2" t="inlineStr"/>
    </row>
    <row r="638" ht="15" customHeight="1">
      <c r="A638" t="inlineStr">
        <is>
          <t>A 41683-2018</t>
        </is>
      </c>
      <c r="B638" s="1" t="n">
        <v>43347</v>
      </c>
      <c r="C638" s="1" t="n">
        <v>45212</v>
      </c>
      <c r="D638" t="inlineStr">
        <is>
          <t>VÄSTRA GÖTALANDS LÄN</t>
        </is>
      </c>
      <c r="E638" t="inlineStr">
        <is>
          <t>ORUST</t>
        </is>
      </c>
      <c r="G638" t="n">
        <v>8.300000000000001</v>
      </c>
      <c r="H638" t="n">
        <v>0</v>
      </c>
      <c r="I638" t="n">
        <v>0</v>
      </c>
      <c r="J638" t="n">
        <v>0</v>
      </c>
      <c r="K638" t="n">
        <v>0</v>
      </c>
      <c r="L638" t="n">
        <v>0</v>
      </c>
      <c r="M638" t="n">
        <v>0</v>
      </c>
      <c r="N638" t="n">
        <v>0</v>
      </c>
      <c r="O638" t="n">
        <v>0</v>
      </c>
      <c r="P638" t="n">
        <v>0</v>
      </c>
      <c r="Q638" t="n">
        <v>0</v>
      </c>
      <c r="R638" s="2" t="inlineStr"/>
    </row>
    <row r="639" ht="15" customHeight="1">
      <c r="A639" t="inlineStr">
        <is>
          <t>A 41710-2018</t>
        </is>
      </c>
      <c r="B639" s="1" t="n">
        <v>43348</v>
      </c>
      <c r="C639" s="1" t="n">
        <v>45212</v>
      </c>
      <c r="D639" t="inlineStr">
        <is>
          <t>VÄSTRA GÖTALANDS LÄN</t>
        </is>
      </c>
      <c r="E639" t="inlineStr">
        <is>
          <t>BENGTSFORS</t>
        </is>
      </c>
      <c r="G639" t="n">
        <v>0.5</v>
      </c>
      <c r="H639" t="n">
        <v>0</v>
      </c>
      <c r="I639" t="n">
        <v>0</v>
      </c>
      <c r="J639" t="n">
        <v>0</v>
      </c>
      <c r="K639" t="n">
        <v>0</v>
      </c>
      <c r="L639" t="n">
        <v>0</v>
      </c>
      <c r="M639" t="n">
        <v>0</v>
      </c>
      <c r="N639" t="n">
        <v>0</v>
      </c>
      <c r="O639" t="n">
        <v>0</v>
      </c>
      <c r="P639" t="n">
        <v>0</v>
      </c>
      <c r="Q639" t="n">
        <v>0</v>
      </c>
      <c r="R639" s="2" t="inlineStr"/>
    </row>
    <row r="640" ht="15" customHeight="1">
      <c r="A640" t="inlineStr">
        <is>
          <t>A 41264-2018</t>
        </is>
      </c>
      <c r="B640" s="1" t="n">
        <v>43348</v>
      </c>
      <c r="C640" s="1" t="n">
        <v>45212</v>
      </c>
      <c r="D640" t="inlineStr">
        <is>
          <t>VÄSTRA GÖTALANDS LÄN</t>
        </is>
      </c>
      <c r="E640" t="inlineStr">
        <is>
          <t>ULRICEHAMN</t>
        </is>
      </c>
      <c r="G640" t="n">
        <v>15.7</v>
      </c>
      <c r="H640" t="n">
        <v>0</v>
      </c>
      <c r="I640" t="n">
        <v>0</v>
      </c>
      <c r="J640" t="n">
        <v>0</v>
      </c>
      <c r="K640" t="n">
        <v>0</v>
      </c>
      <c r="L640" t="n">
        <v>0</v>
      </c>
      <c r="M640" t="n">
        <v>0</v>
      </c>
      <c r="N640" t="n">
        <v>0</v>
      </c>
      <c r="O640" t="n">
        <v>0</v>
      </c>
      <c r="P640" t="n">
        <v>0</v>
      </c>
      <c r="Q640" t="n">
        <v>0</v>
      </c>
      <c r="R640" s="2" t="inlineStr"/>
    </row>
    <row r="641" ht="15" customHeight="1">
      <c r="A641" t="inlineStr">
        <is>
          <t>A 42067-2018</t>
        </is>
      </c>
      <c r="B641" s="1" t="n">
        <v>43349</v>
      </c>
      <c r="C641" s="1" t="n">
        <v>45212</v>
      </c>
      <c r="D641" t="inlineStr">
        <is>
          <t>VÄSTRA GÖTALANDS LÄN</t>
        </is>
      </c>
      <c r="E641" t="inlineStr">
        <is>
          <t>SKARA</t>
        </is>
      </c>
      <c r="G641" t="n">
        <v>1.5</v>
      </c>
      <c r="H641" t="n">
        <v>0</v>
      </c>
      <c r="I641" t="n">
        <v>0</v>
      </c>
      <c r="J641" t="n">
        <v>0</v>
      </c>
      <c r="K641" t="n">
        <v>0</v>
      </c>
      <c r="L641" t="n">
        <v>0</v>
      </c>
      <c r="M641" t="n">
        <v>0</v>
      </c>
      <c r="N641" t="n">
        <v>0</v>
      </c>
      <c r="O641" t="n">
        <v>0</v>
      </c>
      <c r="P641" t="n">
        <v>0</v>
      </c>
      <c r="Q641" t="n">
        <v>0</v>
      </c>
      <c r="R641" s="2" t="inlineStr"/>
    </row>
    <row r="642" ht="15" customHeight="1">
      <c r="A642" t="inlineStr">
        <is>
          <t>A 41525-2018</t>
        </is>
      </c>
      <c r="B642" s="1" t="n">
        <v>43349</v>
      </c>
      <c r="C642" s="1" t="n">
        <v>45212</v>
      </c>
      <c r="D642" t="inlineStr">
        <is>
          <t>VÄSTRA GÖTALANDS LÄN</t>
        </is>
      </c>
      <c r="E642" t="inlineStr">
        <is>
          <t>HERRLJUNGA</t>
        </is>
      </c>
      <c r="G642" t="n">
        <v>1</v>
      </c>
      <c r="H642" t="n">
        <v>0</v>
      </c>
      <c r="I642" t="n">
        <v>0</v>
      </c>
      <c r="J642" t="n">
        <v>0</v>
      </c>
      <c r="K642" t="n">
        <v>0</v>
      </c>
      <c r="L642" t="n">
        <v>0</v>
      </c>
      <c r="M642" t="n">
        <v>0</v>
      </c>
      <c r="N642" t="n">
        <v>0</v>
      </c>
      <c r="O642" t="n">
        <v>0</v>
      </c>
      <c r="P642" t="n">
        <v>0</v>
      </c>
      <c r="Q642" t="n">
        <v>0</v>
      </c>
      <c r="R642" s="2" t="inlineStr"/>
    </row>
    <row r="643" ht="15" customHeight="1">
      <c r="A643" t="inlineStr">
        <is>
          <t>A 41314-2018</t>
        </is>
      </c>
      <c r="B643" s="1" t="n">
        <v>43349</v>
      </c>
      <c r="C643" s="1" t="n">
        <v>45212</v>
      </c>
      <c r="D643" t="inlineStr">
        <is>
          <t>VÄSTRA GÖTALANDS LÄN</t>
        </is>
      </c>
      <c r="E643" t="inlineStr">
        <is>
          <t>HERRLJUNGA</t>
        </is>
      </c>
      <c r="G643" t="n">
        <v>2.2</v>
      </c>
      <c r="H643" t="n">
        <v>0</v>
      </c>
      <c r="I643" t="n">
        <v>0</v>
      </c>
      <c r="J643" t="n">
        <v>0</v>
      </c>
      <c r="K643" t="n">
        <v>0</v>
      </c>
      <c r="L643" t="n">
        <v>0</v>
      </c>
      <c r="M643" t="n">
        <v>0</v>
      </c>
      <c r="N643" t="n">
        <v>0</v>
      </c>
      <c r="O643" t="n">
        <v>0</v>
      </c>
      <c r="P643" t="n">
        <v>0</v>
      </c>
      <c r="Q643" t="n">
        <v>0</v>
      </c>
      <c r="R643" s="2" t="inlineStr"/>
    </row>
    <row r="644" ht="15" customHeight="1">
      <c r="A644" t="inlineStr">
        <is>
          <t>A 41478-2018</t>
        </is>
      </c>
      <c r="B644" s="1" t="n">
        <v>43349</v>
      </c>
      <c r="C644" s="1" t="n">
        <v>45212</v>
      </c>
      <c r="D644" t="inlineStr">
        <is>
          <t>VÄSTRA GÖTALANDS LÄN</t>
        </is>
      </c>
      <c r="E644" t="inlineStr">
        <is>
          <t>SVENLJUNGA</t>
        </is>
      </c>
      <c r="G644" t="n">
        <v>2.1</v>
      </c>
      <c r="H644" t="n">
        <v>0</v>
      </c>
      <c r="I644" t="n">
        <v>0</v>
      </c>
      <c r="J644" t="n">
        <v>0</v>
      </c>
      <c r="K644" t="n">
        <v>0</v>
      </c>
      <c r="L644" t="n">
        <v>0</v>
      </c>
      <c r="M644" t="n">
        <v>0</v>
      </c>
      <c r="N644" t="n">
        <v>0</v>
      </c>
      <c r="O644" t="n">
        <v>0</v>
      </c>
      <c r="P644" t="n">
        <v>0</v>
      </c>
      <c r="Q644" t="n">
        <v>0</v>
      </c>
      <c r="R644" s="2" t="inlineStr"/>
    </row>
    <row r="645" ht="15" customHeight="1">
      <c r="A645" t="inlineStr">
        <is>
          <t>A 41509-2018</t>
        </is>
      </c>
      <c r="B645" s="1" t="n">
        <v>43349</v>
      </c>
      <c r="C645" s="1" t="n">
        <v>45212</v>
      </c>
      <c r="D645" t="inlineStr">
        <is>
          <t>VÄSTRA GÖTALANDS LÄN</t>
        </is>
      </c>
      <c r="E645" t="inlineStr">
        <is>
          <t>SVENLJUNGA</t>
        </is>
      </c>
      <c r="G645" t="n">
        <v>1.3</v>
      </c>
      <c r="H645" t="n">
        <v>0</v>
      </c>
      <c r="I645" t="n">
        <v>0</v>
      </c>
      <c r="J645" t="n">
        <v>0</v>
      </c>
      <c r="K645" t="n">
        <v>0</v>
      </c>
      <c r="L645" t="n">
        <v>0</v>
      </c>
      <c r="M645" t="n">
        <v>0</v>
      </c>
      <c r="N645" t="n">
        <v>0</v>
      </c>
      <c r="O645" t="n">
        <v>0</v>
      </c>
      <c r="P645" t="n">
        <v>0</v>
      </c>
      <c r="Q645" t="n">
        <v>0</v>
      </c>
      <c r="R645" s="2" t="inlineStr"/>
    </row>
    <row r="646" ht="15" customHeight="1">
      <c r="A646" t="inlineStr">
        <is>
          <t>A 41462-2018</t>
        </is>
      </c>
      <c r="B646" s="1" t="n">
        <v>43349</v>
      </c>
      <c r="C646" s="1" t="n">
        <v>45212</v>
      </c>
      <c r="D646" t="inlineStr">
        <is>
          <t>VÄSTRA GÖTALANDS LÄN</t>
        </is>
      </c>
      <c r="E646" t="inlineStr">
        <is>
          <t>ULRICEHAMN</t>
        </is>
      </c>
      <c r="G646" t="n">
        <v>1.1</v>
      </c>
      <c r="H646" t="n">
        <v>0</v>
      </c>
      <c r="I646" t="n">
        <v>0</v>
      </c>
      <c r="J646" t="n">
        <v>0</v>
      </c>
      <c r="K646" t="n">
        <v>0</v>
      </c>
      <c r="L646" t="n">
        <v>0</v>
      </c>
      <c r="M646" t="n">
        <v>0</v>
      </c>
      <c r="N646" t="n">
        <v>0</v>
      </c>
      <c r="O646" t="n">
        <v>0</v>
      </c>
      <c r="P646" t="n">
        <v>0</v>
      </c>
      <c r="Q646" t="n">
        <v>0</v>
      </c>
      <c r="R646" s="2" t="inlineStr"/>
    </row>
    <row r="647" ht="15" customHeight="1">
      <c r="A647" t="inlineStr">
        <is>
          <t>A 41612-2018</t>
        </is>
      </c>
      <c r="B647" s="1" t="n">
        <v>43349</v>
      </c>
      <c r="C647" s="1" t="n">
        <v>45212</v>
      </c>
      <c r="D647" t="inlineStr">
        <is>
          <t>VÄSTRA GÖTALANDS LÄN</t>
        </is>
      </c>
      <c r="E647" t="inlineStr">
        <is>
          <t>ULRICEHAMN</t>
        </is>
      </c>
      <c r="G647" t="n">
        <v>2</v>
      </c>
      <c r="H647" t="n">
        <v>0</v>
      </c>
      <c r="I647" t="n">
        <v>0</v>
      </c>
      <c r="J647" t="n">
        <v>0</v>
      </c>
      <c r="K647" t="n">
        <v>0</v>
      </c>
      <c r="L647" t="n">
        <v>0</v>
      </c>
      <c r="M647" t="n">
        <v>0</v>
      </c>
      <c r="N647" t="n">
        <v>0</v>
      </c>
      <c r="O647" t="n">
        <v>0</v>
      </c>
      <c r="P647" t="n">
        <v>0</v>
      </c>
      <c r="Q647" t="n">
        <v>0</v>
      </c>
      <c r="R647" s="2" t="inlineStr"/>
    </row>
    <row r="648" ht="15" customHeight="1">
      <c r="A648" t="inlineStr">
        <is>
          <t>A 42310-2018</t>
        </is>
      </c>
      <c r="B648" s="1" t="n">
        <v>43349</v>
      </c>
      <c r="C648" s="1" t="n">
        <v>45212</v>
      </c>
      <c r="D648" t="inlineStr">
        <is>
          <t>VÄSTRA GÖTALANDS LÄN</t>
        </is>
      </c>
      <c r="E648" t="inlineStr">
        <is>
          <t>LILLA EDET</t>
        </is>
      </c>
      <c r="F648" t="inlineStr">
        <is>
          <t>Kyrkan</t>
        </is>
      </c>
      <c r="G648" t="n">
        <v>2.1</v>
      </c>
      <c r="H648" t="n">
        <v>0</v>
      </c>
      <c r="I648" t="n">
        <v>0</v>
      </c>
      <c r="J648" t="n">
        <v>0</v>
      </c>
      <c r="K648" t="n">
        <v>0</v>
      </c>
      <c r="L648" t="n">
        <v>0</v>
      </c>
      <c r="M648" t="n">
        <v>0</v>
      </c>
      <c r="N648" t="n">
        <v>0</v>
      </c>
      <c r="O648" t="n">
        <v>0</v>
      </c>
      <c r="P648" t="n">
        <v>0</v>
      </c>
      <c r="Q648" t="n">
        <v>0</v>
      </c>
      <c r="R648" s="2" t="inlineStr"/>
    </row>
    <row r="649" ht="15" customHeight="1">
      <c r="A649" t="inlineStr">
        <is>
          <t>A 42585-2018</t>
        </is>
      </c>
      <c r="B649" s="1" t="n">
        <v>43350</v>
      </c>
      <c r="C649" s="1" t="n">
        <v>45212</v>
      </c>
      <c r="D649" t="inlineStr">
        <is>
          <t>VÄSTRA GÖTALANDS LÄN</t>
        </is>
      </c>
      <c r="E649" t="inlineStr">
        <is>
          <t>DALS-ED</t>
        </is>
      </c>
      <c r="G649" t="n">
        <v>2.1</v>
      </c>
      <c r="H649" t="n">
        <v>0</v>
      </c>
      <c r="I649" t="n">
        <v>0</v>
      </c>
      <c r="J649" t="n">
        <v>0</v>
      </c>
      <c r="K649" t="n">
        <v>0</v>
      </c>
      <c r="L649" t="n">
        <v>0</v>
      </c>
      <c r="M649" t="n">
        <v>0</v>
      </c>
      <c r="N649" t="n">
        <v>0</v>
      </c>
      <c r="O649" t="n">
        <v>0</v>
      </c>
      <c r="P649" t="n">
        <v>0</v>
      </c>
      <c r="Q649" t="n">
        <v>0</v>
      </c>
      <c r="R649" s="2" t="inlineStr"/>
    </row>
    <row r="650" ht="15" customHeight="1">
      <c r="A650" t="inlineStr">
        <is>
          <t>A 42221-2018</t>
        </is>
      </c>
      <c r="B650" s="1" t="n">
        <v>43353</v>
      </c>
      <c r="C650" s="1" t="n">
        <v>45212</v>
      </c>
      <c r="D650" t="inlineStr">
        <is>
          <t>VÄSTRA GÖTALANDS LÄN</t>
        </is>
      </c>
      <c r="E650" t="inlineStr">
        <is>
          <t>ULRICEHAMN</t>
        </is>
      </c>
      <c r="G650" t="n">
        <v>6.8</v>
      </c>
      <c r="H650" t="n">
        <v>0</v>
      </c>
      <c r="I650" t="n">
        <v>0</v>
      </c>
      <c r="J650" t="n">
        <v>0</v>
      </c>
      <c r="K650" t="n">
        <v>0</v>
      </c>
      <c r="L650" t="n">
        <v>0</v>
      </c>
      <c r="M650" t="n">
        <v>0</v>
      </c>
      <c r="N650" t="n">
        <v>0</v>
      </c>
      <c r="O650" t="n">
        <v>0</v>
      </c>
      <c r="P650" t="n">
        <v>0</v>
      </c>
      <c r="Q650" t="n">
        <v>0</v>
      </c>
      <c r="R650" s="2" t="inlineStr"/>
    </row>
    <row r="651" ht="15" customHeight="1">
      <c r="A651" t="inlineStr">
        <is>
          <t>A 43054-2018</t>
        </is>
      </c>
      <c r="B651" s="1" t="n">
        <v>43353</v>
      </c>
      <c r="C651" s="1" t="n">
        <v>45212</v>
      </c>
      <c r="D651" t="inlineStr">
        <is>
          <t>VÄSTRA GÖTALANDS LÄN</t>
        </is>
      </c>
      <c r="E651" t="inlineStr">
        <is>
          <t>BENGTSFORS</t>
        </is>
      </c>
      <c r="G651" t="n">
        <v>3.9</v>
      </c>
      <c r="H651" t="n">
        <v>0</v>
      </c>
      <c r="I651" t="n">
        <v>0</v>
      </c>
      <c r="J651" t="n">
        <v>0</v>
      </c>
      <c r="K651" t="n">
        <v>0</v>
      </c>
      <c r="L651" t="n">
        <v>0</v>
      </c>
      <c r="M651" t="n">
        <v>0</v>
      </c>
      <c r="N651" t="n">
        <v>0</v>
      </c>
      <c r="O651" t="n">
        <v>0</v>
      </c>
      <c r="P651" t="n">
        <v>0</v>
      </c>
      <c r="Q651" t="n">
        <v>0</v>
      </c>
      <c r="R651" s="2" t="inlineStr"/>
    </row>
    <row r="652" ht="15" customHeight="1">
      <c r="A652" t="inlineStr">
        <is>
          <t>A 42123-2018</t>
        </is>
      </c>
      <c r="B652" s="1" t="n">
        <v>43353</v>
      </c>
      <c r="C652" s="1" t="n">
        <v>45212</v>
      </c>
      <c r="D652" t="inlineStr">
        <is>
          <t>VÄSTRA GÖTALANDS LÄN</t>
        </is>
      </c>
      <c r="E652" t="inlineStr">
        <is>
          <t>TÖREBODA</t>
        </is>
      </c>
      <c r="G652" t="n">
        <v>2.5</v>
      </c>
      <c r="H652" t="n">
        <v>0</v>
      </c>
      <c r="I652" t="n">
        <v>0</v>
      </c>
      <c r="J652" t="n">
        <v>0</v>
      </c>
      <c r="K652" t="n">
        <v>0</v>
      </c>
      <c r="L652" t="n">
        <v>0</v>
      </c>
      <c r="M652" t="n">
        <v>0</v>
      </c>
      <c r="N652" t="n">
        <v>0</v>
      </c>
      <c r="O652" t="n">
        <v>0</v>
      </c>
      <c r="P652" t="n">
        <v>0</v>
      </c>
      <c r="Q652" t="n">
        <v>0</v>
      </c>
      <c r="R652" s="2" t="inlineStr"/>
    </row>
    <row r="653" ht="15" customHeight="1">
      <c r="A653" t="inlineStr">
        <is>
          <t>A 42341-2018</t>
        </is>
      </c>
      <c r="B653" s="1" t="n">
        <v>43353</v>
      </c>
      <c r="C653" s="1" t="n">
        <v>45212</v>
      </c>
      <c r="D653" t="inlineStr">
        <is>
          <t>VÄSTRA GÖTALANDS LÄN</t>
        </is>
      </c>
      <c r="E653" t="inlineStr">
        <is>
          <t>MARK</t>
        </is>
      </c>
      <c r="G653" t="n">
        <v>2.1</v>
      </c>
      <c r="H653" t="n">
        <v>0</v>
      </c>
      <c r="I653" t="n">
        <v>0</v>
      </c>
      <c r="J653" t="n">
        <v>0</v>
      </c>
      <c r="K653" t="n">
        <v>0</v>
      </c>
      <c r="L653" t="n">
        <v>0</v>
      </c>
      <c r="M653" t="n">
        <v>0</v>
      </c>
      <c r="N653" t="n">
        <v>0</v>
      </c>
      <c r="O653" t="n">
        <v>0</v>
      </c>
      <c r="P653" t="n">
        <v>0</v>
      </c>
      <c r="Q653" t="n">
        <v>0</v>
      </c>
      <c r="R653" s="2" t="inlineStr"/>
    </row>
    <row r="654" ht="15" customHeight="1">
      <c r="A654" t="inlineStr">
        <is>
          <t>A 42282-2018</t>
        </is>
      </c>
      <c r="B654" s="1" t="n">
        <v>43353</v>
      </c>
      <c r="C654" s="1" t="n">
        <v>45212</v>
      </c>
      <c r="D654" t="inlineStr">
        <is>
          <t>VÄSTRA GÖTALANDS LÄN</t>
        </is>
      </c>
      <c r="E654" t="inlineStr">
        <is>
          <t>TRANEMO</t>
        </is>
      </c>
      <c r="G654" t="n">
        <v>1</v>
      </c>
      <c r="H654" t="n">
        <v>0</v>
      </c>
      <c r="I654" t="n">
        <v>0</v>
      </c>
      <c r="J654" t="n">
        <v>0</v>
      </c>
      <c r="K654" t="n">
        <v>0</v>
      </c>
      <c r="L654" t="n">
        <v>0</v>
      </c>
      <c r="M654" t="n">
        <v>0</v>
      </c>
      <c r="N654" t="n">
        <v>0</v>
      </c>
      <c r="O654" t="n">
        <v>0</v>
      </c>
      <c r="P654" t="n">
        <v>0</v>
      </c>
      <c r="Q654" t="n">
        <v>0</v>
      </c>
      <c r="R654" s="2" t="inlineStr"/>
    </row>
    <row r="655" ht="15" customHeight="1">
      <c r="A655" t="inlineStr">
        <is>
          <t>A 43203-2018</t>
        </is>
      </c>
      <c r="B655" s="1" t="n">
        <v>43353</v>
      </c>
      <c r="C655" s="1" t="n">
        <v>45212</v>
      </c>
      <c r="D655" t="inlineStr">
        <is>
          <t>VÄSTRA GÖTALANDS LÄN</t>
        </is>
      </c>
      <c r="E655" t="inlineStr">
        <is>
          <t>GULLSPÅNG</t>
        </is>
      </c>
      <c r="G655" t="n">
        <v>3.6</v>
      </c>
      <c r="H655" t="n">
        <v>0</v>
      </c>
      <c r="I655" t="n">
        <v>0</v>
      </c>
      <c r="J655" t="n">
        <v>0</v>
      </c>
      <c r="K655" t="n">
        <v>0</v>
      </c>
      <c r="L655" t="n">
        <v>0</v>
      </c>
      <c r="M655" t="n">
        <v>0</v>
      </c>
      <c r="N655" t="n">
        <v>0</v>
      </c>
      <c r="O655" t="n">
        <v>0</v>
      </c>
      <c r="P655" t="n">
        <v>0</v>
      </c>
      <c r="Q655" t="n">
        <v>0</v>
      </c>
      <c r="R655" s="2" t="inlineStr"/>
    </row>
    <row r="656" ht="15" customHeight="1">
      <c r="A656" t="inlineStr">
        <is>
          <t>A 43337-2018</t>
        </is>
      </c>
      <c r="B656" s="1" t="n">
        <v>43353</v>
      </c>
      <c r="C656" s="1" t="n">
        <v>45212</v>
      </c>
      <c r="D656" t="inlineStr">
        <is>
          <t>VÄSTRA GÖTALANDS LÄN</t>
        </is>
      </c>
      <c r="E656" t="inlineStr">
        <is>
          <t>LIDKÖPING</t>
        </is>
      </c>
      <c r="G656" t="n">
        <v>3.9</v>
      </c>
      <c r="H656" t="n">
        <v>0</v>
      </c>
      <c r="I656" t="n">
        <v>0</v>
      </c>
      <c r="J656" t="n">
        <v>0</v>
      </c>
      <c r="K656" t="n">
        <v>0</v>
      </c>
      <c r="L656" t="n">
        <v>0</v>
      </c>
      <c r="M656" t="n">
        <v>0</v>
      </c>
      <c r="N656" t="n">
        <v>0</v>
      </c>
      <c r="O656" t="n">
        <v>0</v>
      </c>
      <c r="P656" t="n">
        <v>0</v>
      </c>
      <c r="Q656" t="n">
        <v>0</v>
      </c>
      <c r="R656" s="2" t="inlineStr"/>
    </row>
    <row r="657" ht="15" customHeight="1">
      <c r="A657" t="inlineStr">
        <is>
          <t>A 42217-2018</t>
        </is>
      </c>
      <c r="B657" s="1" t="n">
        <v>43353</v>
      </c>
      <c r="C657" s="1" t="n">
        <v>45212</v>
      </c>
      <c r="D657" t="inlineStr">
        <is>
          <t>VÄSTRA GÖTALANDS LÄN</t>
        </is>
      </c>
      <c r="E657" t="inlineStr">
        <is>
          <t>BORÅS</t>
        </is>
      </c>
      <c r="G657" t="n">
        <v>1.4</v>
      </c>
      <c r="H657" t="n">
        <v>0</v>
      </c>
      <c r="I657" t="n">
        <v>0</v>
      </c>
      <c r="J657" t="n">
        <v>0</v>
      </c>
      <c r="K657" t="n">
        <v>0</v>
      </c>
      <c r="L657" t="n">
        <v>0</v>
      </c>
      <c r="M657" t="n">
        <v>0</v>
      </c>
      <c r="N657" t="n">
        <v>0</v>
      </c>
      <c r="O657" t="n">
        <v>0</v>
      </c>
      <c r="P657" t="n">
        <v>0</v>
      </c>
      <c r="Q657" t="n">
        <v>0</v>
      </c>
      <c r="R657" s="2" t="inlineStr"/>
    </row>
    <row r="658" ht="15" customHeight="1">
      <c r="A658" t="inlineStr">
        <is>
          <t>A 42769-2018</t>
        </is>
      </c>
      <c r="B658" s="1" t="n">
        <v>43353</v>
      </c>
      <c r="C658" s="1" t="n">
        <v>45212</v>
      </c>
      <c r="D658" t="inlineStr">
        <is>
          <t>VÄSTRA GÖTALANDS LÄN</t>
        </is>
      </c>
      <c r="E658" t="inlineStr">
        <is>
          <t>BENGTSFORS</t>
        </is>
      </c>
      <c r="G658" t="n">
        <v>3.2</v>
      </c>
      <c r="H658" t="n">
        <v>0</v>
      </c>
      <c r="I658" t="n">
        <v>0</v>
      </c>
      <c r="J658" t="n">
        <v>0</v>
      </c>
      <c r="K658" t="n">
        <v>0</v>
      </c>
      <c r="L658" t="n">
        <v>0</v>
      </c>
      <c r="M658" t="n">
        <v>0</v>
      </c>
      <c r="N658" t="n">
        <v>0</v>
      </c>
      <c r="O658" t="n">
        <v>0</v>
      </c>
      <c r="P658" t="n">
        <v>0</v>
      </c>
      <c r="Q658" t="n">
        <v>0</v>
      </c>
      <c r="R658" s="2" t="inlineStr"/>
    </row>
    <row r="659" ht="15" customHeight="1">
      <c r="A659" t="inlineStr">
        <is>
          <t>A 43207-2018</t>
        </is>
      </c>
      <c r="B659" s="1" t="n">
        <v>43353</v>
      </c>
      <c r="C659" s="1" t="n">
        <v>45212</v>
      </c>
      <c r="D659" t="inlineStr">
        <is>
          <t>VÄSTRA GÖTALANDS LÄN</t>
        </is>
      </c>
      <c r="E659" t="inlineStr">
        <is>
          <t>BENGTSFORS</t>
        </is>
      </c>
      <c r="G659" t="n">
        <v>8.699999999999999</v>
      </c>
      <c r="H659" t="n">
        <v>0</v>
      </c>
      <c r="I659" t="n">
        <v>0</v>
      </c>
      <c r="J659" t="n">
        <v>0</v>
      </c>
      <c r="K659" t="n">
        <v>0</v>
      </c>
      <c r="L659" t="n">
        <v>0</v>
      </c>
      <c r="M659" t="n">
        <v>0</v>
      </c>
      <c r="N659" t="n">
        <v>0</v>
      </c>
      <c r="O659" t="n">
        <v>0</v>
      </c>
      <c r="P659" t="n">
        <v>0</v>
      </c>
      <c r="Q659" t="n">
        <v>0</v>
      </c>
      <c r="R659" s="2" t="inlineStr"/>
    </row>
    <row r="660" ht="15" customHeight="1">
      <c r="A660" t="inlineStr">
        <is>
          <t>A 43333-2018</t>
        </is>
      </c>
      <c r="B660" s="1" t="n">
        <v>43353</v>
      </c>
      <c r="C660" s="1" t="n">
        <v>45212</v>
      </c>
      <c r="D660" t="inlineStr">
        <is>
          <t>VÄSTRA GÖTALANDS LÄN</t>
        </is>
      </c>
      <c r="E660" t="inlineStr">
        <is>
          <t>SVENLJUNGA</t>
        </is>
      </c>
      <c r="G660" t="n">
        <v>1.1</v>
      </c>
      <c r="H660" t="n">
        <v>0</v>
      </c>
      <c r="I660" t="n">
        <v>0</v>
      </c>
      <c r="J660" t="n">
        <v>0</v>
      </c>
      <c r="K660" t="n">
        <v>0</v>
      </c>
      <c r="L660" t="n">
        <v>0</v>
      </c>
      <c r="M660" t="n">
        <v>0</v>
      </c>
      <c r="N660" t="n">
        <v>0</v>
      </c>
      <c r="O660" t="n">
        <v>0</v>
      </c>
      <c r="P660" t="n">
        <v>0</v>
      </c>
      <c r="Q660" t="n">
        <v>0</v>
      </c>
      <c r="R660" s="2" t="inlineStr"/>
    </row>
    <row r="661" ht="15" customHeight="1">
      <c r="A661" t="inlineStr">
        <is>
          <t>A 43625-2018</t>
        </is>
      </c>
      <c r="B661" s="1" t="n">
        <v>43354</v>
      </c>
      <c r="C661" s="1" t="n">
        <v>45212</v>
      </c>
      <c r="D661" t="inlineStr">
        <is>
          <t>VÄSTRA GÖTALANDS LÄN</t>
        </is>
      </c>
      <c r="E661" t="inlineStr">
        <is>
          <t>GÖTENE</t>
        </is>
      </c>
      <c r="G661" t="n">
        <v>1.6</v>
      </c>
      <c r="H661" t="n">
        <v>0</v>
      </c>
      <c r="I661" t="n">
        <v>0</v>
      </c>
      <c r="J661" t="n">
        <v>0</v>
      </c>
      <c r="K661" t="n">
        <v>0</v>
      </c>
      <c r="L661" t="n">
        <v>0</v>
      </c>
      <c r="M661" t="n">
        <v>0</v>
      </c>
      <c r="N661" t="n">
        <v>0</v>
      </c>
      <c r="O661" t="n">
        <v>0</v>
      </c>
      <c r="P661" t="n">
        <v>0</v>
      </c>
      <c r="Q661" t="n">
        <v>0</v>
      </c>
      <c r="R661" s="2" t="inlineStr"/>
    </row>
    <row r="662" ht="15" customHeight="1">
      <c r="A662" t="inlineStr">
        <is>
          <t>A 44075-2018</t>
        </is>
      </c>
      <c r="B662" s="1" t="n">
        <v>43355</v>
      </c>
      <c r="C662" s="1" t="n">
        <v>45212</v>
      </c>
      <c r="D662" t="inlineStr">
        <is>
          <t>VÄSTRA GÖTALANDS LÄN</t>
        </is>
      </c>
      <c r="E662" t="inlineStr">
        <is>
          <t>TRANEMO</t>
        </is>
      </c>
      <c r="G662" t="n">
        <v>1.2</v>
      </c>
      <c r="H662" t="n">
        <v>0</v>
      </c>
      <c r="I662" t="n">
        <v>0</v>
      </c>
      <c r="J662" t="n">
        <v>0</v>
      </c>
      <c r="K662" t="n">
        <v>0</v>
      </c>
      <c r="L662" t="n">
        <v>0</v>
      </c>
      <c r="M662" t="n">
        <v>0</v>
      </c>
      <c r="N662" t="n">
        <v>0</v>
      </c>
      <c r="O662" t="n">
        <v>0</v>
      </c>
      <c r="P662" t="n">
        <v>0</v>
      </c>
      <c r="Q662" t="n">
        <v>0</v>
      </c>
      <c r="R662" s="2" t="inlineStr"/>
    </row>
    <row r="663" ht="15" customHeight="1">
      <c r="A663" t="inlineStr">
        <is>
          <t>A 43137-2018</t>
        </is>
      </c>
      <c r="B663" s="1" t="n">
        <v>43355</v>
      </c>
      <c r="C663" s="1" t="n">
        <v>45212</v>
      </c>
      <c r="D663" t="inlineStr">
        <is>
          <t>VÄSTRA GÖTALANDS LÄN</t>
        </is>
      </c>
      <c r="E663" t="inlineStr">
        <is>
          <t>TRANEMO</t>
        </is>
      </c>
      <c r="G663" t="n">
        <v>3.1</v>
      </c>
      <c r="H663" t="n">
        <v>0</v>
      </c>
      <c r="I663" t="n">
        <v>0</v>
      </c>
      <c r="J663" t="n">
        <v>0</v>
      </c>
      <c r="K663" t="n">
        <v>0</v>
      </c>
      <c r="L663" t="n">
        <v>0</v>
      </c>
      <c r="M663" t="n">
        <v>0</v>
      </c>
      <c r="N663" t="n">
        <v>0</v>
      </c>
      <c r="O663" t="n">
        <v>0</v>
      </c>
      <c r="P663" t="n">
        <v>0</v>
      </c>
      <c r="Q663" t="n">
        <v>0</v>
      </c>
      <c r="R663" s="2" t="inlineStr"/>
    </row>
    <row r="664" ht="15" customHeight="1">
      <c r="A664" t="inlineStr">
        <is>
          <t>A 43328-2018</t>
        </is>
      </c>
      <c r="B664" s="1" t="n">
        <v>43356</v>
      </c>
      <c r="C664" s="1" t="n">
        <v>45212</v>
      </c>
      <c r="D664" t="inlineStr">
        <is>
          <t>VÄSTRA GÖTALANDS LÄN</t>
        </is>
      </c>
      <c r="E664" t="inlineStr">
        <is>
          <t>TRANEMO</t>
        </is>
      </c>
      <c r="G664" t="n">
        <v>2</v>
      </c>
      <c r="H664" t="n">
        <v>0</v>
      </c>
      <c r="I664" t="n">
        <v>0</v>
      </c>
      <c r="J664" t="n">
        <v>0</v>
      </c>
      <c r="K664" t="n">
        <v>0</v>
      </c>
      <c r="L664" t="n">
        <v>0</v>
      </c>
      <c r="M664" t="n">
        <v>0</v>
      </c>
      <c r="N664" t="n">
        <v>0</v>
      </c>
      <c r="O664" t="n">
        <v>0</v>
      </c>
      <c r="P664" t="n">
        <v>0</v>
      </c>
      <c r="Q664" t="n">
        <v>0</v>
      </c>
      <c r="R664" s="2" t="inlineStr"/>
    </row>
    <row r="665" ht="15" customHeight="1">
      <c r="A665" t="inlineStr">
        <is>
          <t>A 44620-2018</t>
        </is>
      </c>
      <c r="B665" s="1" t="n">
        <v>43356</v>
      </c>
      <c r="C665" s="1" t="n">
        <v>45212</v>
      </c>
      <c r="D665" t="inlineStr">
        <is>
          <t>VÄSTRA GÖTALANDS LÄN</t>
        </is>
      </c>
      <c r="E665" t="inlineStr">
        <is>
          <t>TÖREBODA</t>
        </is>
      </c>
      <c r="G665" t="n">
        <v>0.6</v>
      </c>
      <c r="H665" t="n">
        <v>0</v>
      </c>
      <c r="I665" t="n">
        <v>0</v>
      </c>
      <c r="J665" t="n">
        <v>0</v>
      </c>
      <c r="K665" t="n">
        <v>0</v>
      </c>
      <c r="L665" t="n">
        <v>0</v>
      </c>
      <c r="M665" t="n">
        <v>0</v>
      </c>
      <c r="N665" t="n">
        <v>0</v>
      </c>
      <c r="O665" t="n">
        <v>0</v>
      </c>
      <c r="P665" t="n">
        <v>0</v>
      </c>
      <c r="Q665" t="n">
        <v>0</v>
      </c>
      <c r="R665" s="2" t="inlineStr"/>
    </row>
    <row r="666" ht="15" customHeight="1">
      <c r="A666" t="inlineStr">
        <is>
          <t>A 45326-2018</t>
        </is>
      </c>
      <c r="B666" s="1" t="n">
        <v>43356</v>
      </c>
      <c r="C666" s="1" t="n">
        <v>45212</v>
      </c>
      <c r="D666" t="inlineStr">
        <is>
          <t>VÄSTRA GÖTALANDS LÄN</t>
        </is>
      </c>
      <c r="E666" t="inlineStr">
        <is>
          <t>TANUM</t>
        </is>
      </c>
      <c r="G666" t="n">
        <v>0.6</v>
      </c>
      <c r="H666" t="n">
        <v>0</v>
      </c>
      <c r="I666" t="n">
        <v>0</v>
      </c>
      <c r="J666" t="n">
        <v>0</v>
      </c>
      <c r="K666" t="n">
        <v>0</v>
      </c>
      <c r="L666" t="n">
        <v>0</v>
      </c>
      <c r="M666" t="n">
        <v>0</v>
      </c>
      <c r="N666" t="n">
        <v>0</v>
      </c>
      <c r="O666" t="n">
        <v>0</v>
      </c>
      <c r="P666" t="n">
        <v>0</v>
      </c>
      <c r="Q666" t="n">
        <v>0</v>
      </c>
      <c r="R666" s="2" t="inlineStr"/>
    </row>
    <row r="667" ht="15" customHeight="1">
      <c r="A667" t="inlineStr">
        <is>
          <t>A 45401-2018</t>
        </is>
      </c>
      <c r="B667" s="1" t="n">
        <v>43356</v>
      </c>
      <c r="C667" s="1" t="n">
        <v>45212</v>
      </c>
      <c r="D667" t="inlineStr">
        <is>
          <t>VÄSTRA GÖTALANDS LÄN</t>
        </is>
      </c>
      <c r="E667" t="inlineStr">
        <is>
          <t>TANUM</t>
        </is>
      </c>
      <c r="G667" t="n">
        <v>6.4</v>
      </c>
      <c r="H667" t="n">
        <v>0</v>
      </c>
      <c r="I667" t="n">
        <v>0</v>
      </c>
      <c r="J667" t="n">
        <v>0</v>
      </c>
      <c r="K667" t="n">
        <v>0</v>
      </c>
      <c r="L667" t="n">
        <v>0</v>
      </c>
      <c r="M667" t="n">
        <v>0</v>
      </c>
      <c r="N667" t="n">
        <v>0</v>
      </c>
      <c r="O667" t="n">
        <v>0</v>
      </c>
      <c r="P667" t="n">
        <v>0</v>
      </c>
      <c r="Q667" t="n">
        <v>0</v>
      </c>
      <c r="R667" s="2" t="inlineStr"/>
    </row>
    <row r="668" ht="15" customHeight="1">
      <c r="A668" t="inlineStr">
        <is>
          <t>A 43398-2018</t>
        </is>
      </c>
      <c r="B668" s="1" t="n">
        <v>43356</v>
      </c>
      <c r="C668" s="1" t="n">
        <v>45212</v>
      </c>
      <c r="D668" t="inlineStr">
        <is>
          <t>VÄSTRA GÖTALANDS LÄN</t>
        </is>
      </c>
      <c r="E668" t="inlineStr">
        <is>
          <t>MARK</t>
        </is>
      </c>
      <c r="G668" t="n">
        <v>0.5</v>
      </c>
      <c r="H668" t="n">
        <v>0</v>
      </c>
      <c r="I668" t="n">
        <v>0</v>
      </c>
      <c r="J668" t="n">
        <v>0</v>
      </c>
      <c r="K668" t="n">
        <v>0</v>
      </c>
      <c r="L668" t="n">
        <v>0</v>
      </c>
      <c r="M668" t="n">
        <v>0</v>
      </c>
      <c r="N668" t="n">
        <v>0</v>
      </c>
      <c r="O668" t="n">
        <v>0</v>
      </c>
      <c r="P668" t="n">
        <v>0</v>
      </c>
      <c r="Q668" t="n">
        <v>0</v>
      </c>
      <c r="R668" s="2" t="inlineStr"/>
    </row>
    <row r="669" ht="15" customHeight="1">
      <c r="A669" t="inlineStr">
        <is>
          <t>A 45369-2018</t>
        </is>
      </c>
      <c r="B669" s="1" t="n">
        <v>43356</v>
      </c>
      <c r="C669" s="1" t="n">
        <v>45212</v>
      </c>
      <c r="D669" t="inlineStr">
        <is>
          <t>VÄSTRA GÖTALANDS LÄN</t>
        </is>
      </c>
      <c r="E669" t="inlineStr">
        <is>
          <t>TANUM</t>
        </is>
      </c>
      <c r="G669" t="n">
        <v>3.7</v>
      </c>
      <c r="H669" t="n">
        <v>0</v>
      </c>
      <c r="I669" t="n">
        <v>0</v>
      </c>
      <c r="J669" t="n">
        <v>0</v>
      </c>
      <c r="K669" t="n">
        <v>0</v>
      </c>
      <c r="L669" t="n">
        <v>0</v>
      </c>
      <c r="M669" t="n">
        <v>0</v>
      </c>
      <c r="N669" t="n">
        <v>0</v>
      </c>
      <c r="O669" t="n">
        <v>0</v>
      </c>
      <c r="P669" t="n">
        <v>0</v>
      </c>
      <c r="Q669" t="n">
        <v>0</v>
      </c>
      <c r="R669" s="2" t="inlineStr"/>
    </row>
    <row r="670" ht="15" customHeight="1">
      <c r="A670" t="inlineStr">
        <is>
          <t>A 44628-2018</t>
        </is>
      </c>
      <c r="B670" s="1" t="n">
        <v>43356</v>
      </c>
      <c r="C670" s="1" t="n">
        <v>45212</v>
      </c>
      <c r="D670" t="inlineStr">
        <is>
          <t>VÄSTRA GÖTALANDS LÄN</t>
        </is>
      </c>
      <c r="E670" t="inlineStr">
        <is>
          <t>MARK</t>
        </is>
      </c>
      <c r="G670" t="n">
        <v>1.9</v>
      </c>
      <c r="H670" t="n">
        <v>0</v>
      </c>
      <c r="I670" t="n">
        <v>0</v>
      </c>
      <c r="J670" t="n">
        <v>0</v>
      </c>
      <c r="K670" t="n">
        <v>0</v>
      </c>
      <c r="L670" t="n">
        <v>0</v>
      </c>
      <c r="M670" t="n">
        <v>0</v>
      </c>
      <c r="N670" t="n">
        <v>0</v>
      </c>
      <c r="O670" t="n">
        <v>0</v>
      </c>
      <c r="P670" t="n">
        <v>0</v>
      </c>
      <c r="Q670" t="n">
        <v>0</v>
      </c>
      <c r="R670" s="2" t="inlineStr"/>
    </row>
    <row r="671" ht="15" customHeight="1">
      <c r="A671" t="inlineStr">
        <is>
          <t>A 45341-2018</t>
        </is>
      </c>
      <c r="B671" s="1" t="n">
        <v>43356</v>
      </c>
      <c r="C671" s="1" t="n">
        <v>45212</v>
      </c>
      <c r="D671" t="inlineStr">
        <is>
          <t>VÄSTRA GÖTALANDS LÄN</t>
        </is>
      </c>
      <c r="E671" t="inlineStr">
        <is>
          <t>TANUM</t>
        </is>
      </c>
      <c r="G671" t="n">
        <v>0.7</v>
      </c>
      <c r="H671" t="n">
        <v>0</v>
      </c>
      <c r="I671" t="n">
        <v>0</v>
      </c>
      <c r="J671" t="n">
        <v>0</v>
      </c>
      <c r="K671" t="n">
        <v>0</v>
      </c>
      <c r="L671" t="n">
        <v>0</v>
      </c>
      <c r="M671" t="n">
        <v>0</v>
      </c>
      <c r="N671" t="n">
        <v>0</v>
      </c>
      <c r="O671" t="n">
        <v>0</v>
      </c>
      <c r="P671" t="n">
        <v>0</v>
      </c>
      <c r="Q671" t="n">
        <v>0</v>
      </c>
      <c r="R671" s="2" t="inlineStr"/>
    </row>
    <row r="672" ht="15" customHeight="1">
      <c r="A672" t="inlineStr">
        <is>
          <t>A 45424-2018</t>
        </is>
      </c>
      <c r="B672" s="1" t="n">
        <v>43356</v>
      </c>
      <c r="C672" s="1" t="n">
        <v>45212</v>
      </c>
      <c r="D672" t="inlineStr">
        <is>
          <t>VÄSTRA GÖTALANDS LÄN</t>
        </is>
      </c>
      <c r="E672" t="inlineStr">
        <is>
          <t>TANUM</t>
        </is>
      </c>
      <c r="G672" t="n">
        <v>10.7</v>
      </c>
      <c r="H672" t="n">
        <v>0</v>
      </c>
      <c r="I672" t="n">
        <v>0</v>
      </c>
      <c r="J672" t="n">
        <v>0</v>
      </c>
      <c r="K672" t="n">
        <v>0</v>
      </c>
      <c r="L672" t="n">
        <v>0</v>
      </c>
      <c r="M672" t="n">
        <v>0</v>
      </c>
      <c r="N672" t="n">
        <v>0</v>
      </c>
      <c r="O672" t="n">
        <v>0</v>
      </c>
      <c r="P672" t="n">
        <v>0</v>
      </c>
      <c r="Q672" t="n">
        <v>0</v>
      </c>
      <c r="R672" s="2" t="inlineStr"/>
    </row>
    <row r="673" ht="15" customHeight="1">
      <c r="A673" t="inlineStr">
        <is>
          <t>A 43304-2018</t>
        </is>
      </c>
      <c r="B673" s="1" t="n">
        <v>43356</v>
      </c>
      <c r="C673" s="1" t="n">
        <v>45212</v>
      </c>
      <c r="D673" t="inlineStr">
        <is>
          <t>VÄSTRA GÖTALANDS LÄN</t>
        </is>
      </c>
      <c r="E673" t="inlineStr">
        <is>
          <t>TRANEMO</t>
        </is>
      </c>
      <c r="G673" t="n">
        <v>9.4</v>
      </c>
      <c r="H673" t="n">
        <v>0</v>
      </c>
      <c r="I673" t="n">
        <v>0</v>
      </c>
      <c r="J673" t="n">
        <v>0</v>
      </c>
      <c r="K673" t="n">
        <v>0</v>
      </c>
      <c r="L673" t="n">
        <v>0</v>
      </c>
      <c r="M673" t="n">
        <v>0</v>
      </c>
      <c r="N673" t="n">
        <v>0</v>
      </c>
      <c r="O673" t="n">
        <v>0</v>
      </c>
      <c r="P673" t="n">
        <v>0</v>
      </c>
      <c r="Q673" t="n">
        <v>0</v>
      </c>
      <c r="R673" s="2" t="inlineStr"/>
    </row>
    <row r="674" ht="15" customHeight="1">
      <c r="A674" t="inlineStr">
        <is>
          <t>A 43374-2018</t>
        </is>
      </c>
      <c r="B674" s="1" t="n">
        <v>43356</v>
      </c>
      <c r="C674" s="1" t="n">
        <v>45212</v>
      </c>
      <c r="D674" t="inlineStr">
        <is>
          <t>VÄSTRA GÖTALANDS LÄN</t>
        </is>
      </c>
      <c r="E674" t="inlineStr">
        <is>
          <t>ULRICEHAMN</t>
        </is>
      </c>
      <c r="G674" t="n">
        <v>1.5</v>
      </c>
      <c r="H674" t="n">
        <v>0</v>
      </c>
      <c r="I674" t="n">
        <v>0</v>
      </c>
      <c r="J674" t="n">
        <v>0</v>
      </c>
      <c r="K674" t="n">
        <v>0</v>
      </c>
      <c r="L674" t="n">
        <v>0</v>
      </c>
      <c r="M674" t="n">
        <v>0</v>
      </c>
      <c r="N674" t="n">
        <v>0</v>
      </c>
      <c r="O674" t="n">
        <v>0</v>
      </c>
      <c r="P674" t="n">
        <v>0</v>
      </c>
      <c r="Q674" t="n">
        <v>0</v>
      </c>
      <c r="R674" s="2" t="inlineStr"/>
    </row>
    <row r="675" ht="15" customHeight="1">
      <c r="A675" t="inlineStr">
        <is>
          <t>A 44437-2018</t>
        </is>
      </c>
      <c r="B675" s="1" t="n">
        <v>43356</v>
      </c>
      <c r="C675" s="1" t="n">
        <v>45212</v>
      </c>
      <c r="D675" t="inlineStr">
        <is>
          <t>VÄSTRA GÖTALANDS LÄN</t>
        </is>
      </c>
      <c r="E675" t="inlineStr">
        <is>
          <t>GULLSPÅNG</t>
        </is>
      </c>
      <c r="G675" t="n">
        <v>2.8</v>
      </c>
      <c r="H675" t="n">
        <v>0</v>
      </c>
      <c r="I675" t="n">
        <v>0</v>
      </c>
      <c r="J675" t="n">
        <v>0</v>
      </c>
      <c r="K675" t="n">
        <v>0</v>
      </c>
      <c r="L675" t="n">
        <v>0</v>
      </c>
      <c r="M675" t="n">
        <v>0</v>
      </c>
      <c r="N675" t="n">
        <v>0</v>
      </c>
      <c r="O675" t="n">
        <v>0</v>
      </c>
      <c r="P675" t="n">
        <v>0</v>
      </c>
      <c r="Q675" t="n">
        <v>0</v>
      </c>
      <c r="R675" s="2" t="inlineStr"/>
    </row>
    <row r="676" ht="15" customHeight="1">
      <c r="A676" t="inlineStr">
        <is>
          <t>A 45314-2018</t>
        </is>
      </c>
      <c r="B676" s="1" t="n">
        <v>43356</v>
      </c>
      <c r="C676" s="1" t="n">
        <v>45212</v>
      </c>
      <c r="D676" t="inlineStr">
        <is>
          <t>VÄSTRA GÖTALANDS LÄN</t>
        </is>
      </c>
      <c r="E676" t="inlineStr">
        <is>
          <t>TANUM</t>
        </is>
      </c>
      <c r="G676" t="n">
        <v>3.5</v>
      </c>
      <c r="H676" t="n">
        <v>0</v>
      </c>
      <c r="I676" t="n">
        <v>0</v>
      </c>
      <c r="J676" t="n">
        <v>0</v>
      </c>
      <c r="K676" t="n">
        <v>0</v>
      </c>
      <c r="L676" t="n">
        <v>0</v>
      </c>
      <c r="M676" t="n">
        <v>0</v>
      </c>
      <c r="N676" t="n">
        <v>0</v>
      </c>
      <c r="O676" t="n">
        <v>0</v>
      </c>
      <c r="P676" t="n">
        <v>0</v>
      </c>
      <c r="Q676" t="n">
        <v>0</v>
      </c>
      <c r="R676" s="2" t="inlineStr"/>
    </row>
    <row r="677" ht="15" customHeight="1">
      <c r="A677" t="inlineStr">
        <is>
          <t>A 45377-2018</t>
        </is>
      </c>
      <c r="B677" s="1" t="n">
        <v>43356</v>
      </c>
      <c r="C677" s="1" t="n">
        <v>45212</v>
      </c>
      <c r="D677" t="inlineStr">
        <is>
          <t>VÄSTRA GÖTALANDS LÄN</t>
        </is>
      </c>
      <c r="E677" t="inlineStr">
        <is>
          <t>TANUM</t>
        </is>
      </c>
      <c r="G677" t="n">
        <v>4.9</v>
      </c>
      <c r="H677" t="n">
        <v>0</v>
      </c>
      <c r="I677" t="n">
        <v>0</v>
      </c>
      <c r="J677" t="n">
        <v>0</v>
      </c>
      <c r="K677" t="n">
        <v>0</v>
      </c>
      <c r="L677" t="n">
        <v>0</v>
      </c>
      <c r="M677" t="n">
        <v>0</v>
      </c>
      <c r="N677" t="n">
        <v>0</v>
      </c>
      <c r="O677" t="n">
        <v>0</v>
      </c>
      <c r="P677" t="n">
        <v>0</v>
      </c>
      <c r="Q677" t="n">
        <v>0</v>
      </c>
      <c r="R677" s="2" t="inlineStr"/>
    </row>
    <row r="678" ht="15" customHeight="1">
      <c r="A678" t="inlineStr">
        <is>
          <t>A 43558-2018</t>
        </is>
      </c>
      <c r="B678" s="1" t="n">
        <v>43357</v>
      </c>
      <c r="C678" s="1" t="n">
        <v>45212</v>
      </c>
      <c r="D678" t="inlineStr">
        <is>
          <t>VÄSTRA GÖTALANDS LÄN</t>
        </is>
      </c>
      <c r="E678" t="inlineStr">
        <is>
          <t>BOLLEBYGD</t>
        </is>
      </c>
      <c r="G678" t="n">
        <v>1.1</v>
      </c>
      <c r="H678" t="n">
        <v>0</v>
      </c>
      <c r="I678" t="n">
        <v>0</v>
      </c>
      <c r="J678" t="n">
        <v>0</v>
      </c>
      <c r="K678" t="n">
        <v>0</v>
      </c>
      <c r="L678" t="n">
        <v>0</v>
      </c>
      <c r="M678" t="n">
        <v>0</v>
      </c>
      <c r="N678" t="n">
        <v>0</v>
      </c>
      <c r="O678" t="n">
        <v>0</v>
      </c>
      <c r="P678" t="n">
        <v>0</v>
      </c>
      <c r="Q678" t="n">
        <v>0</v>
      </c>
      <c r="R678" s="2" t="inlineStr"/>
    </row>
    <row r="679" ht="15" customHeight="1">
      <c r="A679" t="inlineStr">
        <is>
          <t>A 44707-2018</t>
        </is>
      </c>
      <c r="B679" s="1" t="n">
        <v>43357</v>
      </c>
      <c r="C679" s="1" t="n">
        <v>45212</v>
      </c>
      <c r="D679" t="inlineStr">
        <is>
          <t>VÄSTRA GÖTALANDS LÄN</t>
        </is>
      </c>
      <c r="E679" t="inlineStr">
        <is>
          <t>BENGTSFORS</t>
        </is>
      </c>
      <c r="G679" t="n">
        <v>2</v>
      </c>
      <c r="H679" t="n">
        <v>0</v>
      </c>
      <c r="I679" t="n">
        <v>0</v>
      </c>
      <c r="J679" t="n">
        <v>0</v>
      </c>
      <c r="K679" t="n">
        <v>0</v>
      </c>
      <c r="L679" t="n">
        <v>0</v>
      </c>
      <c r="M679" t="n">
        <v>0</v>
      </c>
      <c r="N679" t="n">
        <v>0</v>
      </c>
      <c r="O679" t="n">
        <v>0</v>
      </c>
      <c r="P679" t="n">
        <v>0</v>
      </c>
      <c r="Q679" t="n">
        <v>0</v>
      </c>
      <c r="R679" s="2" t="inlineStr"/>
    </row>
    <row r="680" ht="15" customHeight="1">
      <c r="A680" t="inlineStr">
        <is>
          <t>A 44808-2018</t>
        </is>
      </c>
      <c r="B680" s="1" t="n">
        <v>43357</v>
      </c>
      <c r="C680" s="1" t="n">
        <v>45212</v>
      </c>
      <c r="D680" t="inlineStr">
        <is>
          <t>VÄSTRA GÖTALANDS LÄN</t>
        </is>
      </c>
      <c r="E680" t="inlineStr">
        <is>
          <t>BENGTSFORS</t>
        </is>
      </c>
      <c r="G680" t="n">
        <v>1</v>
      </c>
      <c r="H680" t="n">
        <v>0</v>
      </c>
      <c r="I680" t="n">
        <v>0</v>
      </c>
      <c r="J680" t="n">
        <v>0</v>
      </c>
      <c r="K680" t="n">
        <v>0</v>
      </c>
      <c r="L680" t="n">
        <v>0</v>
      </c>
      <c r="M680" t="n">
        <v>0</v>
      </c>
      <c r="N680" t="n">
        <v>0</v>
      </c>
      <c r="O680" t="n">
        <v>0</v>
      </c>
      <c r="P680" t="n">
        <v>0</v>
      </c>
      <c r="Q680" t="n">
        <v>0</v>
      </c>
      <c r="R680" s="2" t="inlineStr"/>
    </row>
    <row r="681" ht="15" customHeight="1">
      <c r="A681" t="inlineStr">
        <is>
          <t>A 44877-2018</t>
        </is>
      </c>
      <c r="B681" s="1" t="n">
        <v>43357</v>
      </c>
      <c r="C681" s="1" t="n">
        <v>45212</v>
      </c>
      <c r="D681" t="inlineStr">
        <is>
          <t>VÄSTRA GÖTALANDS LÄN</t>
        </is>
      </c>
      <c r="E681" t="inlineStr">
        <is>
          <t>STRÖMSTAD</t>
        </is>
      </c>
      <c r="G681" t="n">
        <v>6.5</v>
      </c>
      <c r="H681" t="n">
        <v>0</v>
      </c>
      <c r="I681" t="n">
        <v>0</v>
      </c>
      <c r="J681" t="n">
        <v>0</v>
      </c>
      <c r="K681" t="n">
        <v>0</v>
      </c>
      <c r="L681" t="n">
        <v>0</v>
      </c>
      <c r="M681" t="n">
        <v>0</v>
      </c>
      <c r="N681" t="n">
        <v>0</v>
      </c>
      <c r="O681" t="n">
        <v>0</v>
      </c>
      <c r="P681" t="n">
        <v>0</v>
      </c>
      <c r="Q681" t="n">
        <v>0</v>
      </c>
      <c r="R681" s="2" t="inlineStr"/>
    </row>
    <row r="682" ht="15" customHeight="1">
      <c r="A682" t="inlineStr">
        <is>
          <t>A 43556-2018</t>
        </is>
      </c>
      <c r="B682" s="1" t="n">
        <v>43357</v>
      </c>
      <c r="C682" s="1" t="n">
        <v>45212</v>
      </c>
      <c r="D682" t="inlineStr">
        <is>
          <t>VÄSTRA GÖTALANDS LÄN</t>
        </is>
      </c>
      <c r="E682" t="inlineStr">
        <is>
          <t>SVENLJUNGA</t>
        </is>
      </c>
      <c r="G682" t="n">
        <v>1.9</v>
      </c>
      <c r="H682" t="n">
        <v>0</v>
      </c>
      <c r="I682" t="n">
        <v>0</v>
      </c>
      <c r="J682" t="n">
        <v>0</v>
      </c>
      <c r="K682" t="n">
        <v>0</v>
      </c>
      <c r="L682" t="n">
        <v>0</v>
      </c>
      <c r="M682" t="n">
        <v>0</v>
      </c>
      <c r="N682" t="n">
        <v>0</v>
      </c>
      <c r="O682" t="n">
        <v>0</v>
      </c>
      <c r="P682" t="n">
        <v>0</v>
      </c>
      <c r="Q682" t="n">
        <v>0</v>
      </c>
      <c r="R682" s="2" t="inlineStr"/>
    </row>
    <row r="683" ht="15" customHeight="1">
      <c r="A683" t="inlineStr">
        <is>
          <t>A 44593-2018</t>
        </is>
      </c>
      <c r="B683" s="1" t="n">
        <v>43357</v>
      </c>
      <c r="C683" s="1" t="n">
        <v>45212</v>
      </c>
      <c r="D683" t="inlineStr">
        <is>
          <t>VÄSTRA GÖTALANDS LÄN</t>
        </is>
      </c>
      <c r="E683" t="inlineStr">
        <is>
          <t>BOLLEBYGD</t>
        </is>
      </c>
      <c r="G683" t="n">
        <v>4.4</v>
      </c>
      <c r="H683" t="n">
        <v>0</v>
      </c>
      <c r="I683" t="n">
        <v>0</v>
      </c>
      <c r="J683" t="n">
        <v>0</v>
      </c>
      <c r="K683" t="n">
        <v>0</v>
      </c>
      <c r="L683" t="n">
        <v>0</v>
      </c>
      <c r="M683" t="n">
        <v>0</v>
      </c>
      <c r="N683" t="n">
        <v>0</v>
      </c>
      <c r="O683" t="n">
        <v>0</v>
      </c>
      <c r="P683" t="n">
        <v>0</v>
      </c>
      <c r="Q683" t="n">
        <v>0</v>
      </c>
      <c r="R683" s="2" t="inlineStr"/>
    </row>
    <row r="684" ht="15" customHeight="1">
      <c r="A684" t="inlineStr">
        <is>
          <t>A 44827-2018</t>
        </is>
      </c>
      <c r="B684" s="1" t="n">
        <v>43357</v>
      </c>
      <c r="C684" s="1" t="n">
        <v>45212</v>
      </c>
      <c r="D684" t="inlineStr">
        <is>
          <t>VÄSTRA GÖTALANDS LÄN</t>
        </is>
      </c>
      <c r="E684" t="inlineStr">
        <is>
          <t>MUNKEDAL</t>
        </is>
      </c>
      <c r="F684" t="inlineStr">
        <is>
          <t>Övriga Aktiebolag</t>
        </is>
      </c>
      <c r="G684" t="n">
        <v>5.2</v>
      </c>
      <c r="H684" t="n">
        <v>0</v>
      </c>
      <c r="I684" t="n">
        <v>0</v>
      </c>
      <c r="J684" t="n">
        <v>0</v>
      </c>
      <c r="K684" t="n">
        <v>0</v>
      </c>
      <c r="L684" t="n">
        <v>0</v>
      </c>
      <c r="M684" t="n">
        <v>0</v>
      </c>
      <c r="N684" t="n">
        <v>0</v>
      </c>
      <c r="O684" t="n">
        <v>0</v>
      </c>
      <c r="P684" t="n">
        <v>0</v>
      </c>
      <c r="Q684" t="n">
        <v>0</v>
      </c>
      <c r="R684" s="2" t="inlineStr"/>
    </row>
    <row r="685" ht="15" customHeight="1">
      <c r="A685" t="inlineStr">
        <is>
          <t>A 43908-2018</t>
        </is>
      </c>
      <c r="B685" s="1" t="n">
        <v>43358</v>
      </c>
      <c r="C685" s="1" t="n">
        <v>45212</v>
      </c>
      <c r="D685" t="inlineStr">
        <is>
          <t>VÄSTRA GÖTALANDS LÄN</t>
        </is>
      </c>
      <c r="E685" t="inlineStr">
        <is>
          <t>ULRICEHAMN</t>
        </is>
      </c>
      <c r="G685" t="n">
        <v>1.7</v>
      </c>
      <c r="H685" t="n">
        <v>0</v>
      </c>
      <c r="I685" t="n">
        <v>0</v>
      </c>
      <c r="J685" t="n">
        <v>0</v>
      </c>
      <c r="K685" t="n">
        <v>0</v>
      </c>
      <c r="L685" t="n">
        <v>0</v>
      </c>
      <c r="M685" t="n">
        <v>0</v>
      </c>
      <c r="N685" t="n">
        <v>0</v>
      </c>
      <c r="O685" t="n">
        <v>0</v>
      </c>
      <c r="P685" t="n">
        <v>0</v>
      </c>
      <c r="Q685" t="n">
        <v>0</v>
      </c>
      <c r="R685" s="2" t="inlineStr"/>
    </row>
    <row r="686" ht="15" customHeight="1">
      <c r="A686" t="inlineStr">
        <is>
          <t>A 43959-2018</t>
        </is>
      </c>
      <c r="B686" s="1" t="n">
        <v>43360</v>
      </c>
      <c r="C686" s="1" t="n">
        <v>45212</v>
      </c>
      <c r="D686" t="inlineStr">
        <is>
          <t>VÄSTRA GÖTALANDS LÄN</t>
        </is>
      </c>
      <c r="E686" t="inlineStr">
        <is>
          <t>MUNKEDAL</t>
        </is>
      </c>
      <c r="G686" t="n">
        <v>0.7</v>
      </c>
      <c r="H686" t="n">
        <v>0</v>
      </c>
      <c r="I686" t="n">
        <v>0</v>
      </c>
      <c r="J686" t="n">
        <v>0</v>
      </c>
      <c r="K686" t="n">
        <v>0</v>
      </c>
      <c r="L686" t="n">
        <v>0</v>
      </c>
      <c r="M686" t="n">
        <v>0</v>
      </c>
      <c r="N686" t="n">
        <v>0</v>
      </c>
      <c r="O686" t="n">
        <v>0</v>
      </c>
      <c r="P686" t="n">
        <v>0</v>
      </c>
      <c r="Q686" t="n">
        <v>0</v>
      </c>
      <c r="R686" s="2" t="inlineStr"/>
    </row>
    <row r="687" ht="15" customHeight="1">
      <c r="A687" t="inlineStr">
        <is>
          <t>A 44906-2018</t>
        </is>
      </c>
      <c r="B687" s="1" t="n">
        <v>43360</v>
      </c>
      <c r="C687" s="1" t="n">
        <v>45212</v>
      </c>
      <c r="D687" t="inlineStr">
        <is>
          <t>VÄSTRA GÖTALANDS LÄN</t>
        </is>
      </c>
      <c r="E687" t="inlineStr">
        <is>
          <t>KARLSBORG</t>
        </is>
      </c>
      <c r="G687" t="n">
        <v>2.3</v>
      </c>
      <c r="H687" t="n">
        <v>0</v>
      </c>
      <c r="I687" t="n">
        <v>0</v>
      </c>
      <c r="J687" t="n">
        <v>0</v>
      </c>
      <c r="K687" t="n">
        <v>0</v>
      </c>
      <c r="L687" t="n">
        <v>0</v>
      </c>
      <c r="M687" t="n">
        <v>0</v>
      </c>
      <c r="N687" t="n">
        <v>0</v>
      </c>
      <c r="O687" t="n">
        <v>0</v>
      </c>
      <c r="P687" t="n">
        <v>0</v>
      </c>
      <c r="Q687" t="n">
        <v>0</v>
      </c>
      <c r="R687" s="2" t="inlineStr"/>
    </row>
    <row r="688" ht="15" customHeight="1">
      <c r="A688" t="inlineStr">
        <is>
          <t>A 44055-2018</t>
        </is>
      </c>
      <c r="B688" s="1" t="n">
        <v>43360</v>
      </c>
      <c r="C688" s="1" t="n">
        <v>45212</v>
      </c>
      <c r="D688" t="inlineStr">
        <is>
          <t>VÄSTRA GÖTALANDS LÄN</t>
        </is>
      </c>
      <c r="E688" t="inlineStr">
        <is>
          <t>VARA</t>
        </is>
      </c>
      <c r="G688" t="n">
        <v>1</v>
      </c>
      <c r="H688" t="n">
        <v>0</v>
      </c>
      <c r="I688" t="n">
        <v>0</v>
      </c>
      <c r="J688" t="n">
        <v>0</v>
      </c>
      <c r="K688" t="n">
        <v>0</v>
      </c>
      <c r="L688" t="n">
        <v>0</v>
      </c>
      <c r="M688" t="n">
        <v>0</v>
      </c>
      <c r="N688" t="n">
        <v>0</v>
      </c>
      <c r="O688" t="n">
        <v>0</v>
      </c>
      <c r="P688" t="n">
        <v>0</v>
      </c>
      <c r="Q688" t="n">
        <v>0</v>
      </c>
      <c r="R688" s="2" t="inlineStr"/>
    </row>
    <row r="689" ht="15" customHeight="1">
      <c r="A689" t="inlineStr">
        <is>
          <t>A 44123-2018</t>
        </is>
      </c>
      <c r="B689" s="1" t="n">
        <v>43360</v>
      </c>
      <c r="C689" s="1" t="n">
        <v>45212</v>
      </c>
      <c r="D689" t="inlineStr">
        <is>
          <t>VÄSTRA GÖTALANDS LÄN</t>
        </is>
      </c>
      <c r="E689" t="inlineStr">
        <is>
          <t>ULRICEHAMN</t>
        </is>
      </c>
      <c r="F689" t="inlineStr">
        <is>
          <t>Sveaskog</t>
        </is>
      </c>
      <c r="G689" t="n">
        <v>1.4</v>
      </c>
      <c r="H689" t="n">
        <v>0</v>
      </c>
      <c r="I689" t="n">
        <v>0</v>
      </c>
      <c r="J689" t="n">
        <v>0</v>
      </c>
      <c r="K689" t="n">
        <v>0</v>
      </c>
      <c r="L689" t="n">
        <v>0</v>
      </c>
      <c r="M689" t="n">
        <v>0</v>
      </c>
      <c r="N689" t="n">
        <v>0</v>
      </c>
      <c r="O689" t="n">
        <v>0</v>
      </c>
      <c r="P689" t="n">
        <v>0</v>
      </c>
      <c r="Q689" t="n">
        <v>0</v>
      </c>
      <c r="R689" s="2" t="inlineStr"/>
    </row>
    <row r="690" ht="15" customHeight="1">
      <c r="A690" t="inlineStr">
        <is>
          <t>A 45099-2018</t>
        </is>
      </c>
      <c r="B690" s="1" t="n">
        <v>43360</v>
      </c>
      <c r="C690" s="1" t="n">
        <v>45212</v>
      </c>
      <c r="D690" t="inlineStr">
        <is>
          <t>VÄSTRA GÖTALANDS LÄN</t>
        </is>
      </c>
      <c r="E690" t="inlineStr">
        <is>
          <t>VÄNERSBORG</t>
        </is>
      </c>
      <c r="G690" t="n">
        <v>1.7</v>
      </c>
      <c r="H690" t="n">
        <v>0</v>
      </c>
      <c r="I690" t="n">
        <v>0</v>
      </c>
      <c r="J690" t="n">
        <v>0</v>
      </c>
      <c r="K690" t="n">
        <v>0</v>
      </c>
      <c r="L690" t="n">
        <v>0</v>
      </c>
      <c r="M690" t="n">
        <v>0</v>
      </c>
      <c r="N690" t="n">
        <v>0</v>
      </c>
      <c r="O690" t="n">
        <v>0</v>
      </c>
      <c r="P690" t="n">
        <v>0</v>
      </c>
      <c r="Q690" t="n">
        <v>0</v>
      </c>
      <c r="R690" s="2" t="inlineStr"/>
    </row>
    <row r="691" ht="15" customHeight="1">
      <c r="A691" t="inlineStr">
        <is>
          <t>A 44891-2018</t>
        </is>
      </c>
      <c r="B691" s="1" t="n">
        <v>43360</v>
      </c>
      <c r="C691" s="1" t="n">
        <v>45212</v>
      </c>
      <c r="D691" t="inlineStr">
        <is>
          <t>VÄSTRA GÖTALANDS LÄN</t>
        </is>
      </c>
      <c r="E691" t="inlineStr">
        <is>
          <t>KARLSBORG</t>
        </is>
      </c>
      <c r="G691" t="n">
        <v>1.3</v>
      </c>
      <c r="H691" t="n">
        <v>0</v>
      </c>
      <c r="I691" t="n">
        <v>0</v>
      </c>
      <c r="J691" t="n">
        <v>0</v>
      </c>
      <c r="K691" t="n">
        <v>0</v>
      </c>
      <c r="L691" t="n">
        <v>0</v>
      </c>
      <c r="M691" t="n">
        <v>0</v>
      </c>
      <c r="N691" t="n">
        <v>0</v>
      </c>
      <c r="O691" t="n">
        <v>0</v>
      </c>
      <c r="P691" t="n">
        <v>0</v>
      </c>
      <c r="Q691" t="n">
        <v>0</v>
      </c>
      <c r="R691" s="2" t="inlineStr"/>
    </row>
    <row r="692" ht="15" customHeight="1">
      <c r="A692" t="inlineStr">
        <is>
          <t>A 45258-2018</t>
        </is>
      </c>
      <c r="B692" s="1" t="n">
        <v>43361</v>
      </c>
      <c r="C692" s="1" t="n">
        <v>45212</v>
      </c>
      <c r="D692" t="inlineStr">
        <is>
          <t>VÄSTRA GÖTALANDS LÄN</t>
        </is>
      </c>
      <c r="E692" t="inlineStr">
        <is>
          <t>LIDKÖPING</t>
        </is>
      </c>
      <c r="G692" t="n">
        <v>4</v>
      </c>
      <c r="H692" t="n">
        <v>0</v>
      </c>
      <c r="I692" t="n">
        <v>0</v>
      </c>
      <c r="J692" t="n">
        <v>0</v>
      </c>
      <c r="K692" t="n">
        <v>0</v>
      </c>
      <c r="L692" t="n">
        <v>0</v>
      </c>
      <c r="M692" t="n">
        <v>0</v>
      </c>
      <c r="N692" t="n">
        <v>0</v>
      </c>
      <c r="O692" t="n">
        <v>0</v>
      </c>
      <c r="P692" t="n">
        <v>0</v>
      </c>
      <c r="Q692" t="n">
        <v>0</v>
      </c>
      <c r="R692" s="2" t="inlineStr"/>
    </row>
    <row r="693" ht="15" customHeight="1">
      <c r="A693" t="inlineStr">
        <is>
          <t>A 45008-2018</t>
        </is>
      </c>
      <c r="B693" s="1" t="n">
        <v>43361</v>
      </c>
      <c r="C693" s="1" t="n">
        <v>45212</v>
      </c>
      <c r="D693" t="inlineStr">
        <is>
          <t>VÄSTRA GÖTALANDS LÄN</t>
        </is>
      </c>
      <c r="E693" t="inlineStr">
        <is>
          <t>UDDEVALLA</t>
        </is>
      </c>
      <c r="G693" t="n">
        <v>1.4</v>
      </c>
      <c r="H693" t="n">
        <v>0</v>
      </c>
      <c r="I693" t="n">
        <v>0</v>
      </c>
      <c r="J693" t="n">
        <v>0</v>
      </c>
      <c r="K693" t="n">
        <v>0</v>
      </c>
      <c r="L693" t="n">
        <v>0</v>
      </c>
      <c r="M693" t="n">
        <v>0</v>
      </c>
      <c r="N693" t="n">
        <v>0</v>
      </c>
      <c r="O693" t="n">
        <v>0</v>
      </c>
      <c r="P693" t="n">
        <v>0</v>
      </c>
      <c r="Q693" t="n">
        <v>0</v>
      </c>
      <c r="R693" s="2" t="inlineStr"/>
    </row>
    <row r="694" ht="15" customHeight="1">
      <c r="A694" t="inlineStr">
        <is>
          <t>A 45229-2018</t>
        </is>
      </c>
      <c r="B694" s="1" t="n">
        <v>43361</v>
      </c>
      <c r="C694" s="1" t="n">
        <v>45212</v>
      </c>
      <c r="D694" t="inlineStr">
        <is>
          <t>VÄSTRA GÖTALANDS LÄN</t>
        </is>
      </c>
      <c r="E694" t="inlineStr">
        <is>
          <t>STRÖMSTAD</t>
        </is>
      </c>
      <c r="G694" t="n">
        <v>2</v>
      </c>
      <c r="H694" t="n">
        <v>0</v>
      </c>
      <c r="I694" t="n">
        <v>0</v>
      </c>
      <c r="J694" t="n">
        <v>0</v>
      </c>
      <c r="K694" t="n">
        <v>0</v>
      </c>
      <c r="L694" t="n">
        <v>0</v>
      </c>
      <c r="M694" t="n">
        <v>0</v>
      </c>
      <c r="N694" t="n">
        <v>0</v>
      </c>
      <c r="O694" t="n">
        <v>0</v>
      </c>
      <c r="P694" t="n">
        <v>0</v>
      </c>
      <c r="Q694" t="n">
        <v>0</v>
      </c>
      <c r="R694" s="2" t="inlineStr"/>
    </row>
    <row r="695" ht="15" customHeight="1">
      <c r="A695" t="inlineStr">
        <is>
          <t>A 45010-2018</t>
        </is>
      </c>
      <c r="B695" s="1" t="n">
        <v>43361</v>
      </c>
      <c r="C695" s="1" t="n">
        <v>45212</v>
      </c>
      <c r="D695" t="inlineStr">
        <is>
          <t>VÄSTRA GÖTALANDS LÄN</t>
        </is>
      </c>
      <c r="E695" t="inlineStr">
        <is>
          <t>ALE</t>
        </is>
      </c>
      <c r="G695" t="n">
        <v>2.6</v>
      </c>
      <c r="H695" t="n">
        <v>0</v>
      </c>
      <c r="I695" t="n">
        <v>0</v>
      </c>
      <c r="J695" t="n">
        <v>0</v>
      </c>
      <c r="K695" t="n">
        <v>0</v>
      </c>
      <c r="L695" t="n">
        <v>0</v>
      </c>
      <c r="M695" t="n">
        <v>0</v>
      </c>
      <c r="N695" t="n">
        <v>0</v>
      </c>
      <c r="O695" t="n">
        <v>0</v>
      </c>
      <c r="P695" t="n">
        <v>0</v>
      </c>
      <c r="Q695" t="n">
        <v>0</v>
      </c>
      <c r="R695" s="2" t="inlineStr"/>
    </row>
    <row r="696" ht="15" customHeight="1">
      <c r="A696" t="inlineStr">
        <is>
          <t>A 45234-2018</t>
        </is>
      </c>
      <c r="B696" s="1" t="n">
        <v>43361</v>
      </c>
      <c r="C696" s="1" t="n">
        <v>45212</v>
      </c>
      <c r="D696" t="inlineStr">
        <is>
          <t>VÄSTRA GÖTALANDS LÄN</t>
        </is>
      </c>
      <c r="E696" t="inlineStr">
        <is>
          <t>STENUNGSUND</t>
        </is>
      </c>
      <c r="G696" t="n">
        <v>6</v>
      </c>
      <c r="H696" t="n">
        <v>0</v>
      </c>
      <c r="I696" t="n">
        <v>0</v>
      </c>
      <c r="J696" t="n">
        <v>0</v>
      </c>
      <c r="K696" t="n">
        <v>0</v>
      </c>
      <c r="L696" t="n">
        <v>0</v>
      </c>
      <c r="M696" t="n">
        <v>0</v>
      </c>
      <c r="N696" t="n">
        <v>0</v>
      </c>
      <c r="O696" t="n">
        <v>0</v>
      </c>
      <c r="P696" t="n">
        <v>0</v>
      </c>
      <c r="Q696" t="n">
        <v>0</v>
      </c>
      <c r="R696" s="2" t="inlineStr"/>
    </row>
    <row r="697" ht="15" customHeight="1">
      <c r="A697" t="inlineStr">
        <is>
          <t>A 44810-2018</t>
        </is>
      </c>
      <c r="B697" s="1" t="n">
        <v>43362</v>
      </c>
      <c r="C697" s="1" t="n">
        <v>45212</v>
      </c>
      <c r="D697" t="inlineStr">
        <is>
          <t>VÄSTRA GÖTALANDS LÄN</t>
        </is>
      </c>
      <c r="E697" t="inlineStr">
        <is>
          <t>MELLERUD</t>
        </is>
      </c>
      <c r="G697" t="n">
        <v>6.3</v>
      </c>
      <c r="H697" t="n">
        <v>0</v>
      </c>
      <c r="I697" t="n">
        <v>0</v>
      </c>
      <c r="J697" t="n">
        <v>0</v>
      </c>
      <c r="K697" t="n">
        <v>0</v>
      </c>
      <c r="L697" t="n">
        <v>0</v>
      </c>
      <c r="M697" t="n">
        <v>0</v>
      </c>
      <c r="N697" t="n">
        <v>0</v>
      </c>
      <c r="O697" t="n">
        <v>0</v>
      </c>
      <c r="P697" t="n">
        <v>0</v>
      </c>
      <c r="Q697" t="n">
        <v>0</v>
      </c>
      <c r="R697" s="2" t="inlineStr"/>
    </row>
    <row r="698" ht="15" customHeight="1">
      <c r="A698" t="inlineStr">
        <is>
          <t>A 44935-2018</t>
        </is>
      </c>
      <c r="B698" s="1" t="n">
        <v>43362</v>
      </c>
      <c r="C698" s="1" t="n">
        <v>45212</v>
      </c>
      <c r="D698" t="inlineStr">
        <is>
          <t>VÄSTRA GÖTALANDS LÄN</t>
        </is>
      </c>
      <c r="E698" t="inlineStr">
        <is>
          <t>ULRICEHAMN</t>
        </is>
      </c>
      <c r="G698" t="n">
        <v>9.5</v>
      </c>
      <c r="H698" t="n">
        <v>0</v>
      </c>
      <c r="I698" t="n">
        <v>0</v>
      </c>
      <c r="J698" t="n">
        <v>0</v>
      </c>
      <c r="K698" t="n">
        <v>0</v>
      </c>
      <c r="L698" t="n">
        <v>0</v>
      </c>
      <c r="M698" t="n">
        <v>0</v>
      </c>
      <c r="N698" t="n">
        <v>0</v>
      </c>
      <c r="O698" t="n">
        <v>0</v>
      </c>
      <c r="P698" t="n">
        <v>0</v>
      </c>
      <c r="Q698" t="n">
        <v>0</v>
      </c>
      <c r="R698" s="2" t="inlineStr"/>
    </row>
    <row r="699" ht="15" customHeight="1">
      <c r="A699" t="inlineStr">
        <is>
          <t>A 44991-2018</t>
        </is>
      </c>
      <c r="B699" s="1" t="n">
        <v>43362</v>
      </c>
      <c r="C699" s="1" t="n">
        <v>45212</v>
      </c>
      <c r="D699" t="inlineStr">
        <is>
          <t>VÄSTRA GÖTALANDS LÄN</t>
        </is>
      </c>
      <c r="E699" t="inlineStr">
        <is>
          <t>STRÖMSTAD</t>
        </is>
      </c>
      <c r="G699" t="n">
        <v>5.7</v>
      </c>
      <c r="H699" t="n">
        <v>0</v>
      </c>
      <c r="I699" t="n">
        <v>0</v>
      </c>
      <c r="J699" t="n">
        <v>0</v>
      </c>
      <c r="K699" t="n">
        <v>0</v>
      </c>
      <c r="L699" t="n">
        <v>0</v>
      </c>
      <c r="M699" t="n">
        <v>0</v>
      </c>
      <c r="N699" t="n">
        <v>0</v>
      </c>
      <c r="O699" t="n">
        <v>0</v>
      </c>
      <c r="P699" t="n">
        <v>0</v>
      </c>
      <c r="Q699" t="n">
        <v>0</v>
      </c>
      <c r="R699" s="2" t="inlineStr"/>
    </row>
    <row r="700" ht="15" customHeight="1">
      <c r="A700" t="inlineStr">
        <is>
          <t>A 45488-2018</t>
        </is>
      </c>
      <c r="B700" s="1" t="n">
        <v>43362</v>
      </c>
      <c r="C700" s="1" t="n">
        <v>45212</v>
      </c>
      <c r="D700" t="inlineStr">
        <is>
          <t>VÄSTRA GÖTALANDS LÄN</t>
        </is>
      </c>
      <c r="E700" t="inlineStr">
        <is>
          <t>FALKÖPING</t>
        </is>
      </c>
      <c r="G700" t="n">
        <v>13.6</v>
      </c>
      <c r="H700" t="n">
        <v>0</v>
      </c>
      <c r="I700" t="n">
        <v>0</v>
      </c>
      <c r="J700" t="n">
        <v>0</v>
      </c>
      <c r="K700" t="n">
        <v>0</v>
      </c>
      <c r="L700" t="n">
        <v>0</v>
      </c>
      <c r="M700" t="n">
        <v>0</v>
      </c>
      <c r="N700" t="n">
        <v>0</v>
      </c>
      <c r="O700" t="n">
        <v>0</v>
      </c>
      <c r="P700" t="n">
        <v>0</v>
      </c>
      <c r="Q700" t="n">
        <v>0</v>
      </c>
      <c r="R700" s="2" t="inlineStr"/>
    </row>
    <row r="701" ht="15" customHeight="1">
      <c r="A701" t="inlineStr">
        <is>
          <t>A 45531-2018</t>
        </is>
      </c>
      <c r="B701" s="1" t="n">
        <v>43362</v>
      </c>
      <c r="C701" s="1" t="n">
        <v>45212</v>
      </c>
      <c r="D701" t="inlineStr">
        <is>
          <t>VÄSTRA GÖTALANDS LÄN</t>
        </is>
      </c>
      <c r="E701" t="inlineStr">
        <is>
          <t>ÅMÅL</t>
        </is>
      </c>
      <c r="G701" t="n">
        <v>1.8</v>
      </c>
      <c r="H701" t="n">
        <v>0</v>
      </c>
      <c r="I701" t="n">
        <v>0</v>
      </c>
      <c r="J701" t="n">
        <v>0</v>
      </c>
      <c r="K701" t="n">
        <v>0</v>
      </c>
      <c r="L701" t="n">
        <v>0</v>
      </c>
      <c r="M701" t="n">
        <v>0</v>
      </c>
      <c r="N701" t="n">
        <v>0</v>
      </c>
      <c r="O701" t="n">
        <v>0</v>
      </c>
      <c r="P701" t="n">
        <v>0</v>
      </c>
      <c r="Q701" t="n">
        <v>0</v>
      </c>
      <c r="R701" s="2" t="inlineStr"/>
    </row>
    <row r="702" ht="15" customHeight="1">
      <c r="A702" t="inlineStr">
        <is>
          <t>A 45718-2018</t>
        </is>
      </c>
      <c r="B702" s="1" t="n">
        <v>43362</v>
      </c>
      <c r="C702" s="1" t="n">
        <v>45212</v>
      </c>
      <c r="D702" t="inlineStr">
        <is>
          <t>VÄSTRA GÖTALANDS LÄN</t>
        </is>
      </c>
      <c r="E702" t="inlineStr">
        <is>
          <t>GULLSPÅNG</t>
        </is>
      </c>
      <c r="G702" t="n">
        <v>3.7</v>
      </c>
      <c r="H702" t="n">
        <v>0</v>
      </c>
      <c r="I702" t="n">
        <v>0</v>
      </c>
      <c r="J702" t="n">
        <v>0</v>
      </c>
      <c r="K702" t="n">
        <v>0</v>
      </c>
      <c r="L702" t="n">
        <v>0</v>
      </c>
      <c r="M702" t="n">
        <v>0</v>
      </c>
      <c r="N702" t="n">
        <v>0</v>
      </c>
      <c r="O702" t="n">
        <v>0</v>
      </c>
      <c r="P702" t="n">
        <v>0</v>
      </c>
      <c r="Q702" t="n">
        <v>0</v>
      </c>
      <c r="R702" s="2" t="inlineStr"/>
    </row>
    <row r="703" ht="15" customHeight="1">
      <c r="A703" t="inlineStr">
        <is>
          <t>A 45072-2018</t>
        </is>
      </c>
      <c r="B703" s="1" t="n">
        <v>43362</v>
      </c>
      <c r="C703" s="1" t="n">
        <v>45212</v>
      </c>
      <c r="D703" t="inlineStr">
        <is>
          <t>VÄSTRA GÖTALANDS LÄN</t>
        </is>
      </c>
      <c r="E703" t="inlineStr">
        <is>
          <t>LERUM</t>
        </is>
      </c>
      <c r="G703" t="n">
        <v>2.7</v>
      </c>
      <c r="H703" t="n">
        <v>0</v>
      </c>
      <c r="I703" t="n">
        <v>0</v>
      </c>
      <c r="J703" t="n">
        <v>0</v>
      </c>
      <c r="K703" t="n">
        <v>0</v>
      </c>
      <c r="L703" t="n">
        <v>0</v>
      </c>
      <c r="M703" t="n">
        <v>0</v>
      </c>
      <c r="N703" t="n">
        <v>0</v>
      </c>
      <c r="O703" t="n">
        <v>0</v>
      </c>
      <c r="P703" t="n">
        <v>0</v>
      </c>
      <c r="Q703" t="n">
        <v>0</v>
      </c>
      <c r="R703" s="2" t="inlineStr"/>
    </row>
    <row r="704" ht="15" customHeight="1">
      <c r="A704" t="inlineStr">
        <is>
          <t>A 45526-2018</t>
        </is>
      </c>
      <c r="B704" s="1" t="n">
        <v>43362</v>
      </c>
      <c r="C704" s="1" t="n">
        <v>45212</v>
      </c>
      <c r="D704" t="inlineStr">
        <is>
          <t>VÄSTRA GÖTALANDS LÄN</t>
        </is>
      </c>
      <c r="E704" t="inlineStr">
        <is>
          <t>FALKÖPING</t>
        </is>
      </c>
      <c r="G704" t="n">
        <v>7</v>
      </c>
      <c r="H704" t="n">
        <v>0</v>
      </c>
      <c r="I704" t="n">
        <v>0</v>
      </c>
      <c r="J704" t="n">
        <v>0</v>
      </c>
      <c r="K704" t="n">
        <v>0</v>
      </c>
      <c r="L704" t="n">
        <v>0</v>
      </c>
      <c r="M704" t="n">
        <v>0</v>
      </c>
      <c r="N704" t="n">
        <v>0</v>
      </c>
      <c r="O704" t="n">
        <v>0</v>
      </c>
      <c r="P704" t="n">
        <v>0</v>
      </c>
      <c r="Q704" t="n">
        <v>0</v>
      </c>
      <c r="R704" s="2" t="inlineStr"/>
    </row>
    <row r="705" ht="15" customHeight="1">
      <c r="A705" t="inlineStr">
        <is>
          <t>A 45546-2018</t>
        </is>
      </c>
      <c r="B705" s="1" t="n">
        <v>43362</v>
      </c>
      <c r="C705" s="1" t="n">
        <v>45212</v>
      </c>
      <c r="D705" t="inlineStr">
        <is>
          <t>VÄSTRA GÖTALANDS LÄN</t>
        </is>
      </c>
      <c r="E705" t="inlineStr">
        <is>
          <t>ÅMÅL</t>
        </is>
      </c>
      <c r="G705" t="n">
        <v>1</v>
      </c>
      <c r="H705" t="n">
        <v>0</v>
      </c>
      <c r="I705" t="n">
        <v>0</v>
      </c>
      <c r="J705" t="n">
        <v>0</v>
      </c>
      <c r="K705" t="n">
        <v>0</v>
      </c>
      <c r="L705" t="n">
        <v>0</v>
      </c>
      <c r="M705" t="n">
        <v>0</v>
      </c>
      <c r="N705" t="n">
        <v>0</v>
      </c>
      <c r="O705" t="n">
        <v>0</v>
      </c>
      <c r="P705" t="n">
        <v>0</v>
      </c>
      <c r="Q705" t="n">
        <v>0</v>
      </c>
      <c r="R705" s="2" t="inlineStr"/>
    </row>
    <row r="706" ht="15" customHeight="1">
      <c r="A706" t="inlineStr">
        <is>
          <t>A 45759-2018</t>
        </is>
      </c>
      <c r="B706" s="1" t="n">
        <v>43362</v>
      </c>
      <c r="C706" s="1" t="n">
        <v>45212</v>
      </c>
      <c r="D706" t="inlineStr">
        <is>
          <t>VÄSTRA GÖTALANDS LÄN</t>
        </is>
      </c>
      <c r="E706" t="inlineStr">
        <is>
          <t>STRÖMSTAD</t>
        </is>
      </c>
      <c r="G706" t="n">
        <v>2.5</v>
      </c>
      <c r="H706" t="n">
        <v>0</v>
      </c>
      <c r="I706" t="n">
        <v>0</v>
      </c>
      <c r="J706" t="n">
        <v>0</v>
      </c>
      <c r="K706" t="n">
        <v>0</v>
      </c>
      <c r="L706" t="n">
        <v>0</v>
      </c>
      <c r="M706" t="n">
        <v>0</v>
      </c>
      <c r="N706" t="n">
        <v>0</v>
      </c>
      <c r="O706" t="n">
        <v>0</v>
      </c>
      <c r="P706" t="n">
        <v>0</v>
      </c>
      <c r="Q706" t="n">
        <v>0</v>
      </c>
      <c r="R706" s="2" t="inlineStr"/>
    </row>
    <row r="707" ht="15" customHeight="1">
      <c r="A707" t="inlineStr">
        <is>
          <t>A 44934-2018</t>
        </is>
      </c>
      <c r="B707" s="1" t="n">
        <v>43362</v>
      </c>
      <c r="C707" s="1" t="n">
        <v>45212</v>
      </c>
      <c r="D707" t="inlineStr">
        <is>
          <t>VÄSTRA GÖTALANDS LÄN</t>
        </is>
      </c>
      <c r="E707" t="inlineStr">
        <is>
          <t>MARK</t>
        </is>
      </c>
      <c r="G707" t="n">
        <v>3.4</v>
      </c>
      <c r="H707" t="n">
        <v>0</v>
      </c>
      <c r="I707" t="n">
        <v>0</v>
      </c>
      <c r="J707" t="n">
        <v>0</v>
      </c>
      <c r="K707" t="n">
        <v>0</v>
      </c>
      <c r="L707" t="n">
        <v>0</v>
      </c>
      <c r="M707" t="n">
        <v>0</v>
      </c>
      <c r="N707" t="n">
        <v>0</v>
      </c>
      <c r="O707" t="n">
        <v>0</v>
      </c>
      <c r="P707" t="n">
        <v>0</v>
      </c>
      <c r="Q707" t="n">
        <v>0</v>
      </c>
      <c r="R707" s="2" t="inlineStr"/>
    </row>
    <row r="708" ht="15" customHeight="1">
      <c r="A708" t="inlineStr">
        <is>
          <t>A 45497-2018</t>
        </is>
      </c>
      <c r="B708" s="1" t="n">
        <v>43362</v>
      </c>
      <c r="C708" s="1" t="n">
        <v>45212</v>
      </c>
      <c r="D708" t="inlineStr">
        <is>
          <t>VÄSTRA GÖTALANDS LÄN</t>
        </is>
      </c>
      <c r="E708" t="inlineStr">
        <is>
          <t>FALKÖPING</t>
        </is>
      </c>
      <c r="G708" t="n">
        <v>3.5</v>
      </c>
      <c r="H708" t="n">
        <v>0</v>
      </c>
      <c r="I708" t="n">
        <v>0</v>
      </c>
      <c r="J708" t="n">
        <v>0</v>
      </c>
      <c r="K708" t="n">
        <v>0</v>
      </c>
      <c r="L708" t="n">
        <v>0</v>
      </c>
      <c r="M708" t="n">
        <v>0</v>
      </c>
      <c r="N708" t="n">
        <v>0</v>
      </c>
      <c r="O708" t="n">
        <v>0</v>
      </c>
      <c r="P708" t="n">
        <v>0</v>
      </c>
      <c r="Q708" t="n">
        <v>0</v>
      </c>
      <c r="R708" s="2" t="inlineStr"/>
    </row>
    <row r="709" ht="15" customHeight="1">
      <c r="A709" t="inlineStr">
        <is>
          <t>A 45582-2018</t>
        </is>
      </c>
      <c r="B709" s="1" t="n">
        <v>43363</v>
      </c>
      <c r="C709" s="1" t="n">
        <v>45212</v>
      </c>
      <c r="D709" t="inlineStr">
        <is>
          <t>VÄSTRA GÖTALANDS LÄN</t>
        </is>
      </c>
      <c r="E709" t="inlineStr">
        <is>
          <t>SVENLJUNGA</t>
        </is>
      </c>
      <c r="G709" t="n">
        <v>0.5</v>
      </c>
      <c r="H709" t="n">
        <v>0</v>
      </c>
      <c r="I709" t="n">
        <v>0</v>
      </c>
      <c r="J709" t="n">
        <v>0</v>
      </c>
      <c r="K709" t="n">
        <v>0</v>
      </c>
      <c r="L709" t="n">
        <v>0</v>
      </c>
      <c r="M709" t="n">
        <v>0</v>
      </c>
      <c r="N709" t="n">
        <v>0</v>
      </c>
      <c r="O709" t="n">
        <v>0</v>
      </c>
      <c r="P709" t="n">
        <v>0</v>
      </c>
      <c r="Q709" t="n">
        <v>0</v>
      </c>
      <c r="R709" s="2" t="inlineStr"/>
    </row>
    <row r="710" ht="15" customHeight="1">
      <c r="A710" t="inlineStr">
        <is>
          <t>A 46407-2018</t>
        </is>
      </c>
      <c r="B710" s="1" t="n">
        <v>43363</v>
      </c>
      <c r="C710" s="1" t="n">
        <v>45212</v>
      </c>
      <c r="D710" t="inlineStr">
        <is>
          <t>VÄSTRA GÖTALANDS LÄN</t>
        </is>
      </c>
      <c r="E710" t="inlineStr">
        <is>
          <t>HJO</t>
        </is>
      </c>
      <c r="G710" t="n">
        <v>1.4</v>
      </c>
      <c r="H710" t="n">
        <v>0</v>
      </c>
      <c r="I710" t="n">
        <v>0</v>
      </c>
      <c r="J710" t="n">
        <v>0</v>
      </c>
      <c r="K710" t="n">
        <v>0</v>
      </c>
      <c r="L710" t="n">
        <v>0</v>
      </c>
      <c r="M710" t="n">
        <v>0</v>
      </c>
      <c r="N710" t="n">
        <v>0</v>
      </c>
      <c r="O710" t="n">
        <v>0</v>
      </c>
      <c r="P710" t="n">
        <v>0</v>
      </c>
      <c r="Q710" t="n">
        <v>0</v>
      </c>
      <c r="R710" s="2" t="inlineStr"/>
    </row>
    <row r="711" ht="15" customHeight="1">
      <c r="A711" t="inlineStr">
        <is>
          <t>A 45263-2018</t>
        </is>
      </c>
      <c r="B711" s="1" t="n">
        <v>43363</v>
      </c>
      <c r="C711" s="1" t="n">
        <v>45212</v>
      </c>
      <c r="D711" t="inlineStr">
        <is>
          <t>VÄSTRA GÖTALANDS LÄN</t>
        </is>
      </c>
      <c r="E711" t="inlineStr">
        <is>
          <t>HERRLJUNGA</t>
        </is>
      </c>
      <c r="G711" t="n">
        <v>7.4</v>
      </c>
      <c r="H711" t="n">
        <v>0</v>
      </c>
      <c r="I711" t="n">
        <v>0</v>
      </c>
      <c r="J711" t="n">
        <v>0</v>
      </c>
      <c r="K711" t="n">
        <v>0</v>
      </c>
      <c r="L711" t="n">
        <v>0</v>
      </c>
      <c r="M711" t="n">
        <v>0</v>
      </c>
      <c r="N711" t="n">
        <v>0</v>
      </c>
      <c r="O711" t="n">
        <v>0</v>
      </c>
      <c r="P711" t="n">
        <v>0</v>
      </c>
      <c r="Q711" t="n">
        <v>0</v>
      </c>
      <c r="R711" s="2" t="inlineStr"/>
    </row>
    <row r="712" ht="15" customHeight="1">
      <c r="A712" t="inlineStr">
        <is>
          <t>A 45459-2018</t>
        </is>
      </c>
      <c r="B712" s="1" t="n">
        <v>43363</v>
      </c>
      <c r="C712" s="1" t="n">
        <v>45212</v>
      </c>
      <c r="D712" t="inlineStr">
        <is>
          <t>VÄSTRA GÖTALANDS LÄN</t>
        </is>
      </c>
      <c r="E712" t="inlineStr">
        <is>
          <t>GULLSPÅNG</t>
        </is>
      </c>
      <c r="G712" t="n">
        <v>4</v>
      </c>
      <c r="H712" t="n">
        <v>0</v>
      </c>
      <c r="I712" t="n">
        <v>0</v>
      </c>
      <c r="J712" t="n">
        <v>0</v>
      </c>
      <c r="K712" t="n">
        <v>0</v>
      </c>
      <c r="L712" t="n">
        <v>0</v>
      </c>
      <c r="M712" t="n">
        <v>0</v>
      </c>
      <c r="N712" t="n">
        <v>0</v>
      </c>
      <c r="O712" t="n">
        <v>0</v>
      </c>
      <c r="P712" t="n">
        <v>0</v>
      </c>
      <c r="Q712" t="n">
        <v>0</v>
      </c>
      <c r="R712" s="2" t="inlineStr"/>
    </row>
    <row r="713" ht="15" customHeight="1">
      <c r="A713" t="inlineStr">
        <is>
          <t>A 46343-2018</t>
        </is>
      </c>
      <c r="B713" s="1" t="n">
        <v>43363</v>
      </c>
      <c r="C713" s="1" t="n">
        <v>45212</v>
      </c>
      <c r="D713" t="inlineStr">
        <is>
          <t>VÄSTRA GÖTALANDS LÄN</t>
        </is>
      </c>
      <c r="E713" t="inlineStr">
        <is>
          <t>MUNKEDAL</t>
        </is>
      </c>
      <c r="F713" t="inlineStr">
        <is>
          <t>Kommuner</t>
        </is>
      </c>
      <c r="G713" t="n">
        <v>0.8</v>
      </c>
      <c r="H713" t="n">
        <v>0</v>
      </c>
      <c r="I713" t="n">
        <v>0</v>
      </c>
      <c r="J713" t="n">
        <v>0</v>
      </c>
      <c r="K713" t="n">
        <v>0</v>
      </c>
      <c r="L713" t="n">
        <v>0</v>
      </c>
      <c r="M713" t="n">
        <v>0</v>
      </c>
      <c r="N713" t="n">
        <v>0</v>
      </c>
      <c r="O713" t="n">
        <v>0</v>
      </c>
      <c r="P713" t="n">
        <v>0</v>
      </c>
      <c r="Q713" t="n">
        <v>0</v>
      </c>
      <c r="R713" s="2" t="inlineStr"/>
    </row>
    <row r="714" ht="15" customHeight="1">
      <c r="A714" t="inlineStr">
        <is>
          <t>A 45264-2018</t>
        </is>
      </c>
      <c r="B714" s="1" t="n">
        <v>43363</v>
      </c>
      <c r="C714" s="1" t="n">
        <v>45212</v>
      </c>
      <c r="D714" t="inlineStr">
        <is>
          <t>VÄSTRA GÖTALANDS LÄN</t>
        </is>
      </c>
      <c r="E714" t="inlineStr">
        <is>
          <t>ULRICEHAMN</t>
        </is>
      </c>
      <c r="G714" t="n">
        <v>0.7</v>
      </c>
      <c r="H714" t="n">
        <v>0</v>
      </c>
      <c r="I714" t="n">
        <v>0</v>
      </c>
      <c r="J714" t="n">
        <v>0</v>
      </c>
      <c r="K714" t="n">
        <v>0</v>
      </c>
      <c r="L714" t="n">
        <v>0</v>
      </c>
      <c r="M714" t="n">
        <v>0</v>
      </c>
      <c r="N714" t="n">
        <v>0</v>
      </c>
      <c r="O714" t="n">
        <v>0</v>
      </c>
      <c r="P714" t="n">
        <v>0</v>
      </c>
      <c r="Q714" t="n">
        <v>0</v>
      </c>
      <c r="R714" s="2" t="inlineStr"/>
    </row>
    <row r="715" ht="15" customHeight="1">
      <c r="A715" t="inlineStr">
        <is>
          <t>A 45466-2018</t>
        </is>
      </c>
      <c r="B715" s="1" t="n">
        <v>43363</v>
      </c>
      <c r="C715" s="1" t="n">
        <v>45212</v>
      </c>
      <c r="D715" t="inlineStr">
        <is>
          <t>VÄSTRA GÖTALANDS LÄN</t>
        </is>
      </c>
      <c r="E715" t="inlineStr">
        <is>
          <t>GULLSPÅNG</t>
        </is>
      </c>
      <c r="G715" t="n">
        <v>2.3</v>
      </c>
      <c r="H715" t="n">
        <v>0</v>
      </c>
      <c r="I715" t="n">
        <v>0</v>
      </c>
      <c r="J715" t="n">
        <v>0</v>
      </c>
      <c r="K715" t="n">
        <v>0</v>
      </c>
      <c r="L715" t="n">
        <v>0</v>
      </c>
      <c r="M715" t="n">
        <v>0</v>
      </c>
      <c r="N715" t="n">
        <v>0</v>
      </c>
      <c r="O715" t="n">
        <v>0</v>
      </c>
      <c r="P715" t="n">
        <v>0</v>
      </c>
      <c r="Q715" t="n">
        <v>0</v>
      </c>
      <c r="R715" s="2" t="inlineStr"/>
    </row>
    <row r="716" ht="15" customHeight="1">
      <c r="A716" t="inlineStr">
        <is>
          <t>A 46348-2018</t>
        </is>
      </c>
      <c r="B716" s="1" t="n">
        <v>43363</v>
      </c>
      <c r="C716" s="1" t="n">
        <v>45212</v>
      </c>
      <c r="D716" t="inlineStr">
        <is>
          <t>VÄSTRA GÖTALANDS LÄN</t>
        </is>
      </c>
      <c r="E716" t="inlineStr">
        <is>
          <t>MUNKEDAL</t>
        </is>
      </c>
      <c r="F716" t="inlineStr">
        <is>
          <t>Kommuner</t>
        </is>
      </c>
      <c r="G716" t="n">
        <v>5.5</v>
      </c>
      <c r="H716" t="n">
        <v>0</v>
      </c>
      <c r="I716" t="n">
        <v>0</v>
      </c>
      <c r="J716" t="n">
        <v>0</v>
      </c>
      <c r="K716" t="n">
        <v>0</v>
      </c>
      <c r="L716" t="n">
        <v>0</v>
      </c>
      <c r="M716" t="n">
        <v>0</v>
      </c>
      <c r="N716" t="n">
        <v>0</v>
      </c>
      <c r="O716" t="n">
        <v>0</v>
      </c>
      <c r="P716" t="n">
        <v>0</v>
      </c>
      <c r="Q716" t="n">
        <v>0</v>
      </c>
      <c r="R716" s="2" t="inlineStr"/>
    </row>
    <row r="717" ht="15" customHeight="1">
      <c r="A717" t="inlineStr">
        <is>
          <t>A 46257-2018</t>
        </is>
      </c>
      <c r="B717" s="1" t="n">
        <v>43364</v>
      </c>
      <c r="C717" s="1" t="n">
        <v>45212</v>
      </c>
      <c r="D717" t="inlineStr">
        <is>
          <t>VÄSTRA GÖTALANDS LÄN</t>
        </is>
      </c>
      <c r="E717" t="inlineStr">
        <is>
          <t>GÖTENE</t>
        </is>
      </c>
      <c r="G717" t="n">
        <v>0.6</v>
      </c>
      <c r="H717" t="n">
        <v>0</v>
      </c>
      <c r="I717" t="n">
        <v>0</v>
      </c>
      <c r="J717" t="n">
        <v>0</v>
      </c>
      <c r="K717" t="n">
        <v>0</v>
      </c>
      <c r="L717" t="n">
        <v>0</v>
      </c>
      <c r="M717" t="n">
        <v>0</v>
      </c>
      <c r="N717" t="n">
        <v>0</v>
      </c>
      <c r="O717" t="n">
        <v>0</v>
      </c>
      <c r="P717" t="n">
        <v>0</v>
      </c>
      <c r="Q717" t="n">
        <v>0</v>
      </c>
      <c r="R717" s="2" t="inlineStr"/>
    </row>
    <row r="718" ht="15" customHeight="1">
      <c r="A718" t="inlineStr">
        <is>
          <t>A 46714-2018</t>
        </is>
      </c>
      <c r="B718" s="1" t="n">
        <v>43364</v>
      </c>
      <c r="C718" s="1" t="n">
        <v>45212</v>
      </c>
      <c r="D718" t="inlineStr">
        <is>
          <t>VÄSTRA GÖTALANDS LÄN</t>
        </is>
      </c>
      <c r="E718" t="inlineStr">
        <is>
          <t>HJO</t>
        </is>
      </c>
      <c r="G718" t="n">
        <v>10.5</v>
      </c>
      <c r="H718" t="n">
        <v>0</v>
      </c>
      <c r="I718" t="n">
        <v>0</v>
      </c>
      <c r="J718" t="n">
        <v>0</v>
      </c>
      <c r="K718" t="n">
        <v>0</v>
      </c>
      <c r="L718" t="n">
        <v>0</v>
      </c>
      <c r="M718" t="n">
        <v>0</v>
      </c>
      <c r="N718" t="n">
        <v>0</v>
      </c>
      <c r="O718" t="n">
        <v>0</v>
      </c>
      <c r="P718" t="n">
        <v>0</v>
      </c>
      <c r="Q718" t="n">
        <v>0</v>
      </c>
      <c r="R718" s="2" t="inlineStr"/>
    </row>
    <row r="719" ht="15" customHeight="1">
      <c r="A719" t="inlineStr">
        <is>
          <t>A 45796-2018</t>
        </is>
      </c>
      <c r="B719" s="1" t="n">
        <v>43364</v>
      </c>
      <c r="C719" s="1" t="n">
        <v>45212</v>
      </c>
      <c r="D719" t="inlineStr">
        <is>
          <t>VÄSTRA GÖTALANDS LÄN</t>
        </is>
      </c>
      <c r="E719" t="inlineStr">
        <is>
          <t>BORÅS</t>
        </is>
      </c>
      <c r="G719" t="n">
        <v>3.2</v>
      </c>
      <c r="H719" t="n">
        <v>0</v>
      </c>
      <c r="I719" t="n">
        <v>0</v>
      </c>
      <c r="J719" t="n">
        <v>0</v>
      </c>
      <c r="K719" t="n">
        <v>0</v>
      </c>
      <c r="L719" t="n">
        <v>0</v>
      </c>
      <c r="M719" t="n">
        <v>0</v>
      </c>
      <c r="N719" t="n">
        <v>0</v>
      </c>
      <c r="O719" t="n">
        <v>0</v>
      </c>
      <c r="P719" t="n">
        <v>0</v>
      </c>
      <c r="Q719" t="n">
        <v>0</v>
      </c>
      <c r="R719" s="2" t="inlineStr"/>
    </row>
    <row r="720" ht="15" customHeight="1">
      <c r="A720" t="inlineStr">
        <is>
          <t>A 45970-2018</t>
        </is>
      </c>
      <c r="B720" s="1" t="n">
        <v>43364</v>
      </c>
      <c r="C720" s="1" t="n">
        <v>45212</v>
      </c>
      <c r="D720" t="inlineStr">
        <is>
          <t>VÄSTRA GÖTALANDS LÄN</t>
        </is>
      </c>
      <c r="E720" t="inlineStr">
        <is>
          <t>MARK</t>
        </is>
      </c>
      <c r="G720" t="n">
        <v>1.1</v>
      </c>
      <c r="H720" t="n">
        <v>0</v>
      </c>
      <c r="I720" t="n">
        <v>0</v>
      </c>
      <c r="J720" t="n">
        <v>0</v>
      </c>
      <c r="K720" t="n">
        <v>0</v>
      </c>
      <c r="L720" t="n">
        <v>0</v>
      </c>
      <c r="M720" t="n">
        <v>0</v>
      </c>
      <c r="N720" t="n">
        <v>0</v>
      </c>
      <c r="O720" t="n">
        <v>0</v>
      </c>
      <c r="P720" t="n">
        <v>0</v>
      </c>
      <c r="Q720" t="n">
        <v>0</v>
      </c>
      <c r="R720" s="2" t="inlineStr"/>
    </row>
    <row r="721" ht="15" customHeight="1">
      <c r="A721" t="inlineStr">
        <is>
          <t>A 46285-2018</t>
        </is>
      </c>
      <c r="B721" s="1" t="n">
        <v>43364</v>
      </c>
      <c r="C721" s="1" t="n">
        <v>45212</v>
      </c>
      <c r="D721" t="inlineStr">
        <is>
          <t>VÄSTRA GÖTALANDS LÄN</t>
        </is>
      </c>
      <c r="E721" t="inlineStr">
        <is>
          <t>BENGTSFORS</t>
        </is>
      </c>
      <c r="G721" t="n">
        <v>3.2</v>
      </c>
      <c r="H721" t="n">
        <v>0</v>
      </c>
      <c r="I721" t="n">
        <v>0</v>
      </c>
      <c r="J721" t="n">
        <v>0</v>
      </c>
      <c r="K721" t="n">
        <v>0</v>
      </c>
      <c r="L721" t="n">
        <v>0</v>
      </c>
      <c r="M721" t="n">
        <v>0</v>
      </c>
      <c r="N721" t="n">
        <v>0</v>
      </c>
      <c r="O721" t="n">
        <v>0</v>
      </c>
      <c r="P721" t="n">
        <v>0</v>
      </c>
      <c r="Q721" t="n">
        <v>0</v>
      </c>
      <c r="R721" s="2" t="inlineStr"/>
    </row>
    <row r="722" ht="15" customHeight="1">
      <c r="A722" t="inlineStr">
        <is>
          <t>A 46703-2018</t>
        </is>
      </c>
      <c r="B722" s="1" t="n">
        <v>43364</v>
      </c>
      <c r="C722" s="1" t="n">
        <v>45212</v>
      </c>
      <c r="D722" t="inlineStr">
        <is>
          <t>VÄSTRA GÖTALANDS LÄN</t>
        </is>
      </c>
      <c r="E722" t="inlineStr">
        <is>
          <t>BENGTSFORS</t>
        </is>
      </c>
      <c r="F722" t="inlineStr">
        <is>
          <t>Övriga Aktiebolag</t>
        </is>
      </c>
      <c r="G722" t="n">
        <v>38.5</v>
      </c>
      <c r="H722" t="n">
        <v>0</v>
      </c>
      <c r="I722" t="n">
        <v>0</v>
      </c>
      <c r="J722" t="n">
        <v>0</v>
      </c>
      <c r="K722" t="n">
        <v>0</v>
      </c>
      <c r="L722" t="n">
        <v>0</v>
      </c>
      <c r="M722" t="n">
        <v>0</v>
      </c>
      <c r="N722" t="n">
        <v>0</v>
      </c>
      <c r="O722" t="n">
        <v>0</v>
      </c>
      <c r="P722" t="n">
        <v>0</v>
      </c>
      <c r="Q722" t="n">
        <v>0</v>
      </c>
      <c r="R722" s="2" t="inlineStr"/>
    </row>
    <row r="723" ht="15" customHeight="1">
      <c r="A723" t="inlineStr">
        <is>
          <t>A 45966-2018</t>
        </is>
      </c>
      <c r="B723" s="1" t="n">
        <v>43364</v>
      </c>
      <c r="C723" s="1" t="n">
        <v>45212</v>
      </c>
      <c r="D723" t="inlineStr">
        <is>
          <t>VÄSTRA GÖTALANDS LÄN</t>
        </is>
      </c>
      <c r="E723" t="inlineStr">
        <is>
          <t>MARK</t>
        </is>
      </c>
      <c r="G723" t="n">
        <v>1.7</v>
      </c>
      <c r="H723" t="n">
        <v>0</v>
      </c>
      <c r="I723" t="n">
        <v>0</v>
      </c>
      <c r="J723" t="n">
        <v>0</v>
      </c>
      <c r="K723" t="n">
        <v>0</v>
      </c>
      <c r="L723" t="n">
        <v>0</v>
      </c>
      <c r="M723" t="n">
        <v>0</v>
      </c>
      <c r="N723" t="n">
        <v>0</v>
      </c>
      <c r="O723" t="n">
        <v>0</v>
      </c>
      <c r="P723" t="n">
        <v>0</v>
      </c>
      <c r="Q723" t="n">
        <v>0</v>
      </c>
      <c r="R723" s="2" t="inlineStr"/>
    </row>
    <row r="724" ht="15" customHeight="1">
      <c r="A724" t="inlineStr">
        <is>
          <t>A 46593-2018</t>
        </is>
      </c>
      <c r="B724" s="1" t="n">
        <v>43364</v>
      </c>
      <c r="C724" s="1" t="n">
        <v>45212</v>
      </c>
      <c r="D724" t="inlineStr">
        <is>
          <t>VÄSTRA GÖTALANDS LÄN</t>
        </is>
      </c>
      <c r="E724" t="inlineStr">
        <is>
          <t>TIDAHOLM</t>
        </is>
      </c>
      <c r="G724" t="n">
        <v>2.8</v>
      </c>
      <c r="H724" t="n">
        <v>0</v>
      </c>
      <c r="I724" t="n">
        <v>0</v>
      </c>
      <c r="J724" t="n">
        <v>0</v>
      </c>
      <c r="K724" t="n">
        <v>0</v>
      </c>
      <c r="L724" t="n">
        <v>0</v>
      </c>
      <c r="M724" t="n">
        <v>0</v>
      </c>
      <c r="N724" t="n">
        <v>0</v>
      </c>
      <c r="O724" t="n">
        <v>0</v>
      </c>
      <c r="P724" t="n">
        <v>0</v>
      </c>
      <c r="Q724" t="n">
        <v>0</v>
      </c>
      <c r="R724" s="2" t="inlineStr"/>
    </row>
    <row r="725" ht="15" customHeight="1">
      <c r="A725" t="inlineStr">
        <is>
          <t>A 46776-2018</t>
        </is>
      </c>
      <c r="B725" s="1" t="n">
        <v>43367</v>
      </c>
      <c r="C725" s="1" t="n">
        <v>45212</v>
      </c>
      <c r="D725" t="inlineStr">
        <is>
          <t>VÄSTRA GÖTALANDS LÄN</t>
        </is>
      </c>
      <c r="E725" t="inlineStr">
        <is>
          <t>TANUM</t>
        </is>
      </c>
      <c r="G725" t="n">
        <v>1</v>
      </c>
      <c r="H725" t="n">
        <v>0</v>
      </c>
      <c r="I725" t="n">
        <v>0</v>
      </c>
      <c r="J725" t="n">
        <v>0</v>
      </c>
      <c r="K725" t="n">
        <v>0</v>
      </c>
      <c r="L725" t="n">
        <v>0</v>
      </c>
      <c r="M725" t="n">
        <v>0</v>
      </c>
      <c r="N725" t="n">
        <v>0</v>
      </c>
      <c r="O725" t="n">
        <v>0</v>
      </c>
      <c r="P725" t="n">
        <v>0</v>
      </c>
      <c r="Q725" t="n">
        <v>0</v>
      </c>
      <c r="R725" s="2" t="inlineStr"/>
    </row>
    <row r="726" ht="15" customHeight="1">
      <c r="A726" t="inlineStr">
        <is>
          <t>A 46073-2018</t>
        </is>
      </c>
      <c r="B726" s="1" t="n">
        <v>43367</v>
      </c>
      <c r="C726" s="1" t="n">
        <v>45212</v>
      </c>
      <c r="D726" t="inlineStr">
        <is>
          <t>VÄSTRA GÖTALANDS LÄN</t>
        </is>
      </c>
      <c r="E726" t="inlineStr">
        <is>
          <t>MARK</t>
        </is>
      </c>
      <c r="G726" t="n">
        <v>1.9</v>
      </c>
      <c r="H726" t="n">
        <v>0</v>
      </c>
      <c r="I726" t="n">
        <v>0</v>
      </c>
      <c r="J726" t="n">
        <v>0</v>
      </c>
      <c r="K726" t="n">
        <v>0</v>
      </c>
      <c r="L726" t="n">
        <v>0</v>
      </c>
      <c r="M726" t="n">
        <v>0</v>
      </c>
      <c r="N726" t="n">
        <v>0</v>
      </c>
      <c r="O726" t="n">
        <v>0</v>
      </c>
      <c r="P726" t="n">
        <v>0</v>
      </c>
      <c r="Q726" t="n">
        <v>0</v>
      </c>
      <c r="R726" s="2" t="inlineStr"/>
    </row>
    <row r="727" ht="15" customHeight="1">
      <c r="A727" t="inlineStr">
        <is>
          <t>A 46878-2018</t>
        </is>
      </c>
      <c r="B727" s="1" t="n">
        <v>43367</v>
      </c>
      <c r="C727" s="1" t="n">
        <v>45212</v>
      </c>
      <c r="D727" t="inlineStr">
        <is>
          <t>VÄSTRA GÖTALANDS LÄN</t>
        </is>
      </c>
      <c r="E727" t="inlineStr">
        <is>
          <t>BORÅS</t>
        </is>
      </c>
      <c r="F727" t="inlineStr">
        <is>
          <t>Kommuner</t>
        </is>
      </c>
      <c r="G727" t="n">
        <v>0.8</v>
      </c>
      <c r="H727" t="n">
        <v>0</v>
      </c>
      <c r="I727" t="n">
        <v>0</v>
      </c>
      <c r="J727" t="n">
        <v>0</v>
      </c>
      <c r="K727" t="n">
        <v>0</v>
      </c>
      <c r="L727" t="n">
        <v>0</v>
      </c>
      <c r="M727" t="n">
        <v>0</v>
      </c>
      <c r="N727" t="n">
        <v>0</v>
      </c>
      <c r="O727" t="n">
        <v>0</v>
      </c>
      <c r="P727" t="n">
        <v>0</v>
      </c>
      <c r="Q727" t="n">
        <v>0</v>
      </c>
      <c r="R727" s="2" t="inlineStr"/>
    </row>
    <row r="728" ht="15" customHeight="1">
      <c r="A728" t="inlineStr">
        <is>
          <t>A 46085-2018</t>
        </is>
      </c>
      <c r="B728" s="1" t="n">
        <v>43367</v>
      </c>
      <c r="C728" s="1" t="n">
        <v>45212</v>
      </c>
      <c r="D728" t="inlineStr">
        <is>
          <t>VÄSTRA GÖTALANDS LÄN</t>
        </is>
      </c>
      <c r="E728" t="inlineStr">
        <is>
          <t>MARK</t>
        </is>
      </c>
      <c r="G728" t="n">
        <v>2.1</v>
      </c>
      <c r="H728" t="n">
        <v>0</v>
      </c>
      <c r="I728" t="n">
        <v>0</v>
      </c>
      <c r="J728" t="n">
        <v>0</v>
      </c>
      <c r="K728" t="n">
        <v>0</v>
      </c>
      <c r="L728" t="n">
        <v>0</v>
      </c>
      <c r="M728" t="n">
        <v>0</v>
      </c>
      <c r="N728" t="n">
        <v>0</v>
      </c>
      <c r="O728" t="n">
        <v>0</v>
      </c>
      <c r="P728" t="n">
        <v>0</v>
      </c>
      <c r="Q728" t="n">
        <v>0</v>
      </c>
      <c r="R728" s="2" t="inlineStr"/>
    </row>
    <row r="729" ht="15" customHeight="1">
      <c r="A729" t="inlineStr">
        <is>
          <t>A 46422-2018</t>
        </is>
      </c>
      <c r="B729" s="1" t="n">
        <v>43367</v>
      </c>
      <c r="C729" s="1" t="n">
        <v>45212</v>
      </c>
      <c r="D729" t="inlineStr">
        <is>
          <t>VÄSTRA GÖTALANDS LÄN</t>
        </is>
      </c>
      <c r="E729" t="inlineStr">
        <is>
          <t>TRANEMO</t>
        </is>
      </c>
      <c r="G729" t="n">
        <v>5.8</v>
      </c>
      <c r="H729" t="n">
        <v>0</v>
      </c>
      <c r="I729" t="n">
        <v>0</v>
      </c>
      <c r="J729" t="n">
        <v>0</v>
      </c>
      <c r="K729" t="n">
        <v>0</v>
      </c>
      <c r="L729" t="n">
        <v>0</v>
      </c>
      <c r="M729" t="n">
        <v>0</v>
      </c>
      <c r="N729" t="n">
        <v>0</v>
      </c>
      <c r="O729" t="n">
        <v>0</v>
      </c>
      <c r="P729" t="n">
        <v>0</v>
      </c>
      <c r="Q729" t="n">
        <v>0</v>
      </c>
      <c r="R729" s="2" t="inlineStr"/>
    </row>
    <row r="730" ht="15" customHeight="1">
      <c r="A730" t="inlineStr">
        <is>
          <t>A 46219-2018</t>
        </is>
      </c>
      <c r="B730" s="1" t="n">
        <v>43367</v>
      </c>
      <c r="C730" s="1" t="n">
        <v>45212</v>
      </c>
      <c r="D730" t="inlineStr">
        <is>
          <t>VÄSTRA GÖTALANDS LÄN</t>
        </is>
      </c>
      <c r="E730" t="inlineStr">
        <is>
          <t>SOTENÄS</t>
        </is>
      </c>
      <c r="G730" t="n">
        <v>10</v>
      </c>
      <c r="H730" t="n">
        <v>0</v>
      </c>
      <c r="I730" t="n">
        <v>0</v>
      </c>
      <c r="J730" t="n">
        <v>0</v>
      </c>
      <c r="K730" t="n">
        <v>0</v>
      </c>
      <c r="L730" t="n">
        <v>0</v>
      </c>
      <c r="M730" t="n">
        <v>0</v>
      </c>
      <c r="N730" t="n">
        <v>0</v>
      </c>
      <c r="O730" t="n">
        <v>0</v>
      </c>
      <c r="P730" t="n">
        <v>0</v>
      </c>
      <c r="Q730" t="n">
        <v>0</v>
      </c>
      <c r="R730" s="2" t="inlineStr"/>
    </row>
    <row r="731" ht="15" customHeight="1">
      <c r="A731" t="inlineStr">
        <is>
          <t>A 46353-2018</t>
        </is>
      </c>
      <c r="B731" s="1" t="n">
        <v>43367</v>
      </c>
      <c r="C731" s="1" t="n">
        <v>45212</v>
      </c>
      <c r="D731" t="inlineStr">
        <is>
          <t>VÄSTRA GÖTALANDS LÄN</t>
        </is>
      </c>
      <c r="E731" t="inlineStr">
        <is>
          <t>ALE</t>
        </is>
      </c>
      <c r="G731" t="n">
        <v>1</v>
      </c>
      <c r="H731" t="n">
        <v>0</v>
      </c>
      <c r="I731" t="n">
        <v>0</v>
      </c>
      <c r="J731" t="n">
        <v>0</v>
      </c>
      <c r="K731" t="n">
        <v>0</v>
      </c>
      <c r="L731" t="n">
        <v>0</v>
      </c>
      <c r="M731" t="n">
        <v>0</v>
      </c>
      <c r="N731" t="n">
        <v>0</v>
      </c>
      <c r="O731" t="n">
        <v>0</v>
      </c>
      <c r="P731" t="n">
        <v>0</v>
      </c>
      <c r="Q731" t="n">
        <v>0</v>
      </c>
      <c r="R731" s="2" t="inlineStr"/>
    </row>
    <row r="732" ht="15" customHeight="1">
      <c r="A732" t="inlineStr">
        <is>
          <t>A 46879-2018</t>
        </is>
      </c>
      <c r="B732" s="1" t="n">
        <v>43367</v>
      </c>
      <c r="C732" s="1" t="n">
        <v>45212</v>
      </c>
      <c r="D732" t="inlineStr">
        <is>
          <t>VÄSTRA GÖTALANDS LÄN</t>
        </is>
      </c>
      <c r="E732" t="inlineStr">
        <is>
          <t>BORÅS</t>
        </is>
      </c>
      <c r="F732" t="inlineStr">
        <is>
          <t>Kommuner</t>
        </is>
      </c>
      <c r="G732" t="n">
        <v>1.8</v>
      </c>
      <c r="H732" t="n">
        <v>0</v>
      </c>
      <c r="I732" t="n">
        <v>0</v>
      </c>
      <c r="J732" t="n">
        <v>0</v>
      </c>
      <c r="K732" t="n">
        <v>0</v>
      </c>
      <c r="L732" t="n">
        <v>0</v>
      </c>
      <c r="M732" t="n">
        <v>0</v>
      </c>
      <c r="N732" t="n">
        <v>0</v>
      </c>
      <c r="O732" t="n">
        <v>0</v>
      </c>
      <c r="P732" t="n">
        <v>0</v>
      </c>
      <c r="Q732" t="n">
        <v>0</v>
      </c>
      <c r="R732" s="2" t="inlineStr"/>
    </row>
    <row r="733" ht="15" customHeight="1">
      <c r="A733" t="inlineStr">
        <is>
          <t>A 47070-2018</t>
        </is>
      </c>
      <c r="B733" s="1" t="n">
        <v>43367</v>
      </c>
      <c r="C733" s="1" t="n">
        <v>45212</v>
      </c>
      <c r="D733" t="inlineStr">
        <is>
          <t>VÄSTRA GÖTALANDS LÄN</t>
        </is>
      </c>
      <c r="E733" t="inlineStr">
        <is>
          <t>GULLSPÅNG</t>
        </is>
      </c>
      <c r="G733" t="n">
        <v>1.2</v>
      </c>
      <c r="H733" t="n">
        <v>0</v>
      </c>
      <c r="I733" t="n">
        <v>0</v>
      </c>
      <c r="J733" t="n">
        <v>0</v>
      </c>
      <c r="K733" t="n">
        <v>0</v>
      </c>
      <c r="L733" t="n">
        <v>0</v>
      </c>
      <c r="M733" t="n">
        <v>0</v>
      </c>
      <c r="N733" t="n">
        <v>0</v>
      </c>
      <c r="O733" t="n">
        <v>0</v>
      </c>
      <c r="P733" t="n">
        <v>0</v>
      </c>
      <c r="Q733" t="n">
        <v>0</v>
      </c>
      <c r="R733" s="2" t="inlineStr"/>
    </row>
    <row r="734" ht="15" customHeight="1">
      <c r="A734" t="inlineStr">
        <is>
          <t>A 47122-2018</t>
        </is>
      </c>
      <c r="B734" s="1" t="n">
        <v>43367</v>
      </c>
      <c r="C734" s="1" t="n">
        <v>45212</v>
      </c>
      <c r="D734" t="inlineStr">
        <is>
          <t>VÄSTRA GÖTALANDS LÄN</t>
        </is>
      </c>
      <c r="E734" t="inlineStr">
        <is>
          <t>BORÅS</t>
        </is>
      </c>
      <c r="F734" t="inlineStr">
        <is>
          <t>Kommuner</t>
        </is>
      </c>
      <c r="G734" t="n">
        <v>6</v>
      </c>
      <c r="H734" t="n">
        <v>0</v>
      </c>
      <c r="I734" t="n">
        <v>0</v>
      </c>
      <c r="J734" t="n">
        <v>0</v>
      </c>
      <c r="K734" t="n">
        <v>0</v>
      </c>
      <c r="L734" t="n">
        <v>0</v>
      </c>
      <c r="M734" t="n">
        <v>0</v>
      </c>
      <c r="N734" t="n">
        <v>0</v>
      </c>
      <c r="O734" t="n">
        <v>0</v>
      </c>
      <c r="P734" t="n">
        <v>0</v>
      </c>
      <c r="Q734" t="n">
        <v>0</v>
      </c>
      <c r="R734" s="2" t="inlineStr"/>
    </row>
    <row r="735" ht="15" customHeight="1">
      <c r="A735" t="inlineStr">
        <is>
          <t>A 47076-2018</t>
        </is>
      </c>
      <c r="B735" s="1" t="n">
        <v>43368</v>
      </c>
      <c r="C735" s="1" t="n">
        <v>45212</v>
      </c>
      <c r="D735" t="inlineStr">
        <is>
          <t>VÄSTRA GÖTALANDS LÄN</t>
        </is>
      </c>
      <c r="E735" t="inlineStr">
        <is>
          <t>FALKÖPING</t>
        </is>
      </c>
      <c r="G735" t="n">
        <v>1.6</v>
      </c>
      <c r="H735" t="n">
        <v>0</v>
      </c>
      <c r="I735" t="n">
        <v>0</v>
      </c>
      <c r="J735" t="n">
        <v>0</v>
      </c>
      <c r="K735" t="n">
        <v>0</v>
      </c>
      <c r="L735" t="n">
        <v>0</v>
      </c>
      <c r="M735" t="n">
        <v>0</v>
      </c>
      <c r="N735" t="n">
        <v>0</v>
      </c>
      <c r="O735" t="n">
        <v>0</v>
      </c>
      <c r="P735" t="n">
        <v>0</v>
      </c>
      <c r="Q735" t="n">
        <v>0</v>
      </c>
      <c r="R735" s="2" t="inlineStr"/>
    </row>
    <row r="736" ht="15" customHeight="1">
      <c r="A736" t="inlineStr">
        <is>
          <t>A 46578-2018</t>
        </is>
      </c>
      <c r="B736" s="1" t="n">
        <v>43368</v>
      </c>
      <c r="C736" s="1" t="n">
        <v>45212</v>
      </c>
      <c r="D736" t="inlineStr">
        <is>
          <t>VÄSTRA GÖTALANDS LÄN</t>
        </is>
      </c>
      <c r="E736" t="inlineStr">
        <is>
          <t>BORÅS</t>
        </is>
      </c>
      <c r="G736" t="n">
        <v>6.1</v>
      </c>
      <c r="H736" t="n">
        <v>0</v>
      </c>
      <c r="I736" t="n">
        <v>0</v>
      </c>
      <c r="J736" t="n">
        <v>0</v>
      </c>
      <c r="K736" t="n">
        <v>0</v>
      </c>
      <c r="L736" t="n">
        <v>0</v>
      </c>
      <c r="M736" t="n">
        <v>0</v>
      </c>
      <c r="N736" t="n">
        <v>0</v>
      </c>
      <c r="O736" t="n">
        <v>0</v>
      </c>
      <c r="P736" t="n">
        <v>0</v>
      </c>
      <c r="Q736" t="n">
        <v>0</v>
      </c>
      <c r="R736" s="2" t="inlineStr"/>
    </row>
    <row r="737" ht="15" customHeight="1">
      <c r="A737" t="inlineStr">
        <is>
          <t>A 47050-2018</t>
        </is>
      </c>
      <c r="B737" s="1" t="n">
        <v>43368</v>
      </c>
      <c r="C737" s="1" t="n">
        <v>45212</v>
      </c>
      <c r="D737" t="inlineStr">
        <is>
          <t>VÄSTRA GÖTALANDS LÄN</t>
        </is>
      </c>
      <c r="E737" t="inlineStr">
        <is>
          <t>FALKÖPING</t>
        </is>
      </c>
      <c r="G737" t="n">
        <v>2.4</v>
      </c>
      <c r="H737" t="n">
        <v>0</v>
      </c>
      <c r="I737" t="n">
        <v>0</v>
      </c>
      <c r="J737" t="n">
        <v>0</v>
      </c>
      <c r="K737" t="n">
        <v>0</v>
      </c>
      <c r="L737" t="n">
        <v>0</v>
      </c>
      <c r="M737" t="n">
        <v>0</v>
      </c>
      <c r="N737" t="n">
        <v>0</v>
      </c>
      <c r="O737" t="n">
        <v>0</v>
      </c>
      <c r="P737" t="n">
        <v>0</v>
      </c>
      <c r="Q737" t="n">
        <v>0</v>
      </c>
      <c r="R737" s="2" t="inlineStr"/>
    </row>
    <row r="738" ht="15" customHeight="1">
      <c r="A738" t="inlineStr">
        <is>
          <t>A 47120-2018</t>
        </is>
      </c>
      <c r="B738" s="1" t="n">
        <v>43368</v>
      </c>
      <c r="C738" s="1" t="n">
        <v>45212</v>
      </c>
      <c r="D738" t="inlineStr">
        <is>
          <t>VÄSTRA GÖTALANDS LÄN</t>
        </is>
      </c>
      <c r="E738" t="inlineStr">
        <is>
          <t>FALKÖPING</t>
        </is>
      </c>
      <c r="G738" t="n">
        <v>1.2</v>
      </c>
      <c r="H738" t="n">
        <v>0</v>
      </c>
      <c r="I738" t="n">
        <v>0</v>
      </c>
      <c r="J738" t="n">
        <v>0</v>
      </c>
      <c r="K738" t="n">
        <v>0</v>
      </c>
      <c r="L738" t="n">
        <v>0</v>
      </c>
      <c r="M738" t="n">
        <v>0</v>
      </c>
      <c r="N738" t="n">
        <v>0</v>
      </c>
      <c r="O738" t="n">
        <v>0</v>
      </c>
      <c r="P738" t="n">
        <v>0</v>
      </c>
      <c r="Q738" t="n">
        <v>0</v>
      </c>
      <c r="R738" s="2" t="inlineStr"/>
    </row>
    <row r="739" ht="15" customHeight="1">
      <c r="A739" t="inlineStr">
        <is>
          <t>A 47027-2018</t>
        </is>
      </c>
      <c r="B739" s="1" t="n">
        <v>43368</v>
      </c>
      <c r="C739" s="1" t="n">
        <v>45212</v>
      </c>
      <c r="D739" t="inlineStr">
        <is>
          <t>VÄSTRA GÖTALANDS LÄN</t>
        </is>
      </c>
      <c r="E739" t="inlineStr">
        <is>
          <t>FALKÖPING</t>
        </is>
      </c>
      <c r="G739" t="n">
        <v>4.4</v>
      </c>
      <c r="H739" t="n">
        <v>0</v>
      </c>
      <c r="I739" t="n">
        <v>0</v>
      </c>
      <c r="J739" t="n">
        <v>0</v>
      </c>
      <c r="K739" t="n">
        <v>0</v>
      </c>
      <c r="L739" t="n">
        <v>0</v>
      </c>
      <c r="M739" t="n">
        <v>0</v>
      </c>
      <c r="N739" t="n">
        <v>0</v>
      </c>
      <c r="O739" t="n">
        <v>0</v>
      </c>
      <c r="P739" t="n">
        <v>0</v>
      </c>
      <c r="Q739" t="n">
        <v>0</v>
      </c>
      <c r="R739" s="2" t="inlineStr"/>
    </row>
    <row r="740" ht="15" customHeight="1">
      <c r="A740" t="inlineStr">
        <is>
          <t>A 47091-2018</t>
        </is>
      </c>
      <c r="B740" s="1" t="n">
        <v>43368</v>
      </c>
      <c r="C740" s="1" t="n">
        <v>45212</v>
      </c>
      <c r="D740" t="inlineStr">
        <is>
          <t>VÄSTRA GÖTALANDS LÄN</t>
        </is>
      </c>
      <c r="E740" t="inlineStr">
        <is>
          <t>FALKÖPING</t>
        </is>
      </c>
      <c r="G740" t="n">
        <v>1.3</v>
      </c>
      <c r="H740" t="n">
        <v>0</v>
      </c>
      <c r="I740" t="n">
        <v>0</v>
      </c>
      <c r="J740" t="n">
        <v>0</v>
      </c>
      <c r="K740" t="n">
        <v>0</v>
      </c>
      <c r="L740" t="n">
        <v>0</v>
      </c>
      <c r="M740" t="n">
        <v>0</v>
      </c>
      <c r="N740" t="n">
        <v>0</v>
      </c>
      <c r="O740" t="n">
        <v>0</v>
      </c>
      <c r="P740" t="n">
        <v>0</v>
      </c>
      <c r="Q740" t="n">
        <v>0</v>
      </c>
      <c r="R740" s="2" t="inlineStr"/>
    </row>
    <row r="741" ht="15" customHeight="1">
      <c r="A741" t="inlineStr">
        <is>
          <t>A 47055-2018</t>
        </is>
      </c>
      <c r="B741" s="1" t="n">
        <v>43368</v>
      </c>
      <c r="C741" s="1" t="n">
        <v>45212</v>
      </c>
      <c r="D741" t="inlineStr">
        <is>
          <t>VÄSTRA GÖTALANDS LÄN</t>
        </is>
      </c>
      <c r="E741" t="inlineStr">
        <is>
          <t>FALKÖPING</t>
        </is>
      </c>
      <c r="G741" t="n">
        <v>6.5</v>
      </c>
      <c r="H741" t="n">
        <v>0</v>
      </c>
      <c r="I741" t="n">
        <v>0</v>
      </c>
      <c r="J741" t="n">
        <v>0</v>
      </c>
      <c r="K741" t="n">
        <v>0</v>
      </c>
      <c r="L741" t="n">
        <v>0</v>
      </c>
      <c r="M741" t="n">
        <v>0</v>
      </c>
      <c r="N741" t="n">
        <v>0</v>
      </c>
      <c r="O741" t="n">
        <v>0</v>
      </c>
      <c r="P741" t="n">
        <v>0</v>
      </c>
      <c r="Q741" t="n">
        <v>0</v>
      </c>
      <c r="R741" s="2" t="inlineStr"/>
    </row>
    <row r="742" ht="15" customHeight="1">
      <c r="A742" t="inlineStr">
        <is>
          <t>A 47187-2018</t>
        </is>
      </c>
      <c r="B742" s="1" t="n">
        <v>43369</v>
      </c>
      <c r="C742" s="1" t="n">
        <v>45212</v>
      </c>
      <c r="D742" t="inlineStr">
        <is>
          <t>VÄSTRA GÖTALANDS LÄN</t>
        </is>
      </c>
      <c r="E742" t="inlineStr">
        <is>
          <t>HERRLJUNGA</t>
        </is>
      </c>
      <c r="G742" t="n">
        <v>2.7</v>
      </c>
      <c r="H742" t="n">
        <v>0</v>
      </c>
      <c r="I742" t="n">
        <v>0</v>
      </c>
      <c r="J742" t="n">
        <v>0</v>
      </c>
      <c r="K742" t="n">
        <v>0</v>
      </c>
      <c r="L742" t="n">
        <v>0</v>
      </c>
      <c r="M742" t="n">
        <v>0</v>
      </c>
      <c r="N742" t="n">
        <v>0</v>
      </c>
      <c r="O742" t="n">
        <v>0</v>
      </c>
      <c r="P742" t="n">
        <v>0</v>
      </c>
      <c r="Q742" t="n">
        <v>0</v>
      </c>
      <c r="R742" s="2" t="inlineStr"/>
    </row>
    <row r="743" ht="15" customHeight="1">
      <c r="A743" t="inlineStr">
        <is>
          <t>A 47236-2018</t>
        </is>
      </c>
      <c r="B743" s="1" t="n">
        <v>43369</v>
      </c>
      <c r="C743" s="1" t="n">
        <v>45212</v>
      </c>
      <c r="D743" t="inlineStr">
        <is>
          <t>VÄSTRA GÖTALANDS LÄN</t>
        </is>
      </c>
      <c r="E743" t="inlineStr">
        <is>
          <t>BORÅS</t>
        </is>
      </c>
      <c r="G743" t="n">
        <v>1.3</v>
      </c>
      <c r="H743" t="n">
        <v>0</v>
      </c>
      <c r="I743" t="n">
        <v>0</v>
      </c>
      <c r="J743" t="n">
        <v>0</v>
      </c>
      <c r="K743" t="n">
        <v>0</v>
      </c>
      <c r="L743" t="n">
        <v>0</v>
      </c>
      <c r="M743" t="n">
        <v>0</v>
      </c>
      <c r="N743" t="n">
        <v>0</v>
      </c>
      <c r="O743" t="n">
        <v>0</v>
      </c>
      <c r="P743" t="n">
        <v>0</v>
      </c>
      <c r="Q743" t="n">
        <v>0</v>
      </c>
      <c r="R743" s="2" t="inlineStr"/>
    </row>
    <row r="744" ht="15" customHeight="1">
      <c r="A744" t="inlineStr">
        <is>
          <t>A 47344-2018</t>
        </is>
      </c>
      <c r="B744" s="1" t="n">
        <v>43369</v>
      </c>
      <c r="C744" s="1" t="n">
        <v>45212</v>
      </c>
      <c r="D744" t="inlineStr">
        <is>
          <t>VÄSTRA GÖTALANDS LÄN</t>
        </is>
      </c>
      <c r="E744" t="inlineStr">
        <is>
          <t>MARK</t>
        </is>
      </c>
      <c r="G744" t="n">
        <v>2.7</v>
      </c>
      <c r="H744" t="n">
        <v>0</v>
      </c>
      <c r="I744" t="n">
        <v>0</v>
      </c>
      <c r="J744" t="n">
        <v>0</v>
      </c>
      <c r="K744" t="n">
        <v>0</v>
      </c>
      <c r="L744" t="n">
        <v>0</v>
      </c>
      <c r="M744" t="n">
        <v>0</v>
      </c>
      <c r="N744" t="n">
        <v>0</v>
      </c>
      <c r="O744" t="n">
        <v>0</v>
      </c>
      <c r="P744" t="n">
        <v>0</v>
      </c>
      <c r="Q744" t="n">
        <v>0</v>
      </c>
      <c r="R744" s="2" t="inlineStr"/>
    </row>
    <row r="745" ht="15" customHeight="1">
      <c r="A745" t="inlineStr">
        <is>
          <t>A 47951-2018</t>
        </is>
      </c>
      <c r="B745" s="1" t="n">
        <v>43369</v>
      </c>
      <c r="C745" s="1" t="n">
        <v>45212</v>
      </c>
      <c r="D745" t="inlineStr">
        <is>
          <t>VÄSTRA GÖTALANDS LÄN</t>
        </is>
      </c>
      <c r="E745" t="inlineStr">
        <is>
          <t>BORÅS</t>
        </is>
      </c>
      <c r="G745" t="n">
        <v>0.4</v>
      </c>
      <c r="H745" t="n">
        <v>0</v>
      </c>
      <c r="I745" t="n">
        <v>0</v>
      </c>
      <c r="J745" t="n">
        <v>0</v>
      </c>
      <c r="K745" t="n">
        <v>0</v>
      </c>
      <c r="L745" t="n">
        <v>0</v>
      </c>
      <c r="M745" t="n">
        <v>0</v>
      </c>
      <c r="N745" t="n">
        <v>0</v>
      </c>
      <c r="O745" t="n">
        <v>0</v>
      </c>
      <c r="P745" t="n">
        <v>0</v>
      </c>
      <c r="Q745" t="n">
        <v>0</v>
      </c>
      <c r="R745" s="2" t="inlineStr"/>
    </row>
    <row r="746" ht="15" customHeight="1">
      <c r="A746" t="inlineStr">
        <is>
          <t>A 47282-2018</t>
        </is>
      </c>
      <c r="B746" s="1" t="n">
        <v>43369</v>
      </c>
      <c r="C746" s="1" t="n">
        <v>45212</v>
      </c>
      <c r="D746" t="inlineStr">
        <is>
          <t>VÄSTRA GÖTALANDS LÄN</t>
        </is>
      </c>
      <c r="E746" t="inlineStr">
        <is>
          <t>BORÅS</t>
        </is>
      </c>
      <c r="G746" t="n">
        <v>5.7</v>
      </c>
      <c r="H746" t="n">
        <v>0</v>
      </c>
      <c r="I746" t="n">
        <v>0</v>
      </c>
      <c r="J746" t="n">
        <v>0</v>
      </c>
      <c r="K746" t="n">
        <v>0</v>
      </c>
      <c r="L746" t="n">
        <v>0</v>
      </c>
      <c r="M746" t="n">
        <v>0</v>
      </c>
      <c r="N746" t="n">
        <v>0</v>
      </c>
      <c r="O746" t="n">
        <v>0</v>
      </c>
      <c r="P746" t="n">
        <v>0</v>
      </c>
      <c r="Q746" t="n">
        <v>0</v>
      </c>
      <c r="R746" s="2" t="inlineStr"/>
    </row>
    <row r="747" ht="15" customHeight="1">
      <c r="A747" t="inlineStr">
        <is>
          <t>A 46985-2018</t>
        </is>
      </c>
      <c r="B747" s="1" t="n">
        <v>43369</v>
      </c>
      <c r="C747" s="1" t="n">
        <v>45212</v>
      </c>
      <c r="D747" t="inlineStr">
        <is>
          <t>VÄSTRA GÖTALANDS LÄN</t>
        </is>
      </c>
      <c r="E747" t="inlineStr">
        <is>
          <t>ORUST</t>
        </is>
      </c>
      <c r="G747" t="n">
        <v>1.9</v>
      </c>
      <c r="H747" t="n">
        <v>0</v>
      </c>
      <c r="I747" t="n">
        <v>0</v>
      </c>
      <c r="J747" t="n">
        <v>0</v>
      </c>
      <c r="K747" t="n">
        <v>0</v>
      </c>
      <c r="L747" t="n">
        <v>0</v>
      </c>
      <c r="M747" t="n">
        <v>0</v>
      </c>
      <c r="N747" t="n">
        <v>0</v>
      </c>
      <c r="O747" t="n">
        <v>0</v>
      </c>
      <c r="P747" t="n">
        <v>0</v>
      </c>
      <c r="Q747" t="n">
        <v>0</v>
      </c>
      <c r="R747" s="2" t="inlineStr"/>
    </row>
    <row r="748" ht="15" customHeight="1">
      <c r="A748" t="inlineStr">
        <is>
          <t>A 47983-2018</t>
        </is>
      </c>
      <c r="B748" s="1" t="n">
        <v>43369</v>
      </c>
      <c r="C748" s="1" t="n">
        <v>45212</v>
      </c>
      <c r="D748" t="inlineStr">
        <is>
          <t>VÄSTRA GÖTALANDS LÄN</t>
        </is>
      </c>
      <c r="E748" t="inlineStr">
        <is>
          <t>MUNKEDAL</t>
        </is>
      </c>
      <c r="G748" t="n">
        <v>1</v>
      </c>
      <c r="H748" t="n">
        <v>0</v>
      </c>
      <c r="I748" t="n">
        <v>0</v>
      </c>
      <c r="J748" t="n">
        <v>0</v>
      </c>
      <c r="K748" t="n">
        <v>0</v>
      </c>
      <c r="L748" t="n">
        <v>0</v>
      </c>
      <c r="M748" t="n">
        <v>0</v>
      </c>
      <c r="N748" t="n">
        <v>0</v>
      </c>
      <c r="O748" t="n">
        <v>0</v>
      </c>
      <c r="P748" t="n">
        <v>0</v>
      </c>
      <c r="Q748" t="n">
        <v>0</v>
      </c>
      <c r="R748" s="2" t="inlineStr"/>
    </row>
    <row r="749" ht="15" customHeight="1">
      <c r="A749" t="inlineStr">
        <is>
          <t>A 47977-2018</t>
        </is>
      </c>
      <c r="B749" s="1" t="n">
        <v>43370</v>
      </c>
      <c r="C749" s="1" t="n">
        <v>45212</v>
      </c>
      <c r="D749" t="inlineStr">
        <is>
          <t>VÄSTRA GÖTALANDS LÄN</t>
        </is>
      </c>
      <c r="E749" t="inlineStr">
        <is>
          <t>STRÖMSTAD</t>
        </is>
      </c>
      <c r="G749" t="n">
        <v>1.9</v>
      </c>
      <c r="H749" t="n">
        <v>0</v>
      </c>
      <c r="I749" t="n">
        <v>0</v>
      </c>
      <c r="J749" t="n">
        <v>0</v>
      </c>
      <c r="K749" t="n">
        <v>0</v>
      </c>
      <c r="L749" t="n">
        <v>0</v>
      </c>
      <c r="M749" t="n">
        <v>0</v>
      </c>
      <c r="N749" t="n">
        <v>0</v>
      </c>
      <c r="O749" t="n">
        <v>0</v>
      </c>
      <c r="P749" t="n">
        <v>0</v>
      </c>
      <c r="Q749" t="n">
        <v>0</v>
      </c>
      <c r="R749" s="2" t="inlineStr"/>
    </row>
    <row r="750" ht="15" customHeight="1">
      <c r="A750" t="inlineStr">
        <is>
          <t>A 48063-2018</t>
        </is>
      </c>
      <c r="B750" s="1" t="n">
        <v>43370</v>
      </c>
      <c r="C750" s="1" t="n">
        <v>45212</v>
      </c>
      <c r="D750" t="inlineStr">
        <is>
          <t>VÄSTRA GÖTALANDS LÄN</t>
        </is>
      </c>
      <c r="E750" t="inlineStr">
        <is>
          <t>FALKÖPING</t>
        </is>
      </c>
      <c r="G750" t="n">
        <v>2.6</v>
      </c>
      <c r="H750" t="n">
        <v>0</v>
      </c>
      <c r="I750" t="n">
        <v>0</v>
      </c>
      <c r="J750" t="n">
        <v>0</v>
      </c>
      <c r="K750" t="n">
        <v>0</v>
      </c>
      <c r="L750" t="n">
        <v>0</v>
      </c>
      <c r="M750" t="n">
        <v>0</v>
      </c>
      <c r="N750" t="n">
        <v>0</v>
      </c>
      <c r="O750" t="n">
        <v>0</v>
      </c>
      <c r="P750" t="n">
        <v>0</v>
      </c>
      <c r="Q750" t="n">
        <v>0</v>
      </c>
      <c r="R750" s="2" t="inlineStr"/>
    </row>
    <row r="751" ht="15" customHeight="1">
      <c r="A751" t="inlineStr">
        <is>
          <t>A 47576-2018</t>
        </is>
      </c>
      <c r="B751" s="1" t="n">
        <v>43370</v>
      </c>
      <c r="C751" s="1" t="n">
        <v>45212</v>
      </c>
      <c r="D751" t="inlineStr">
        <is>
          <t>VÄSTRA GÖTALANDS LÄN</t>
        </is>
      </c>
      <c r="E751" t="inlineStr">
        <is>
          <t>VÅRGÅRDA</t>
        </is>
      </c>
      <c r="F751" t="inlineStr">
        <is>
          <t>Allmännings- och besparingsskogar</t>
        </is>
      </c>
      <c r="G751" t="n">
        <v>5</v>
      </c>
      <c r="H751" t="n">
        <v>0</v>
      </c>
      <c r="I751" t="n">
        <v>0</v>
      </c>
      <c r="J751" t="n">
        <v>0</v>
      </c>
      <c r="K751" t="n">
        <v>0</v>
      </c>
      <c r="L751" t="n">
        <v>0</v>
      </c>
      <c r="M751" t="n">
        <v>0</v>
      </c>
      <c r="N751" t="n">
        <v>0</v>
      </c>
      <c r="O751" t="n">
        <v>0</v>
      </c>
      <c r="P751" t="n">
        <v>0</v>
      </c>
      <c r="Q751" t="n">
        <v>0</v>
      </c>
      <c r="R751" s="2" t="inlineStr"/>
    </row>
    <row r="752" ht="15" customHeight="1">
      <c r="A752" t="inlineStr">
        <is>
          <t>A 48057-2018</t>
        </is>
      </c>
      <c r="B752" s="1" t="n">
        <v>43370</v>
      </c>
      <c r="C752" s="1" t="n">
        <v>45212</v>
      </c>
      <c r="D752" t="inlineStr">
        <is>
          <t>VÄSTRA GÖTALANDS LÄN</t>
        </is>
      </c>
      <c r="E752" t="inlineStr">
        <is>
          <t>FALKÖPING</t>
        </is>
      </c>
      <c r="G752" t="n">
        <v>1</v>
      </c>
      <c r="H752" t="n">
        <v>0</v>
      </c>
      <c r="I752" t="n">
        <v>0</v>
      </c>
      <c r="J752" t="n">
        <v>0</v>
      </c>
      <c r="K752" t="n">
        <v>0</v>
      </c>
      <c r="L752" t="n">
        <v>0</v>
      </c>
      <c r="M752" t="n">
        <v>0</v>
      </c>
      <c r="N752" t="n">
        <v>0</v>
      </c>
      <c r="O752" t="n">
        <v>0</v>
      </c>
      <c r="P752" t="n">
        <v>0</v>
      </c>
      <c r="Q752" t="n">
        <v>0</v>
      </c>
      <c r="R752" s="2" t="inlineStr"/>
    </row>
    <row r="753" ht="15" customHeight="1">
      <c r="A753" t="inlineStr">
        <is>
          <t>A 48410-2018</t>
        </is>
      </c>
      <c r="B753" s="1" t="n">
        <v>43370</v>
      </c>
      <c r="C753" s="1" t="n">
        <v>45212</v>
      </c>
      <c r="D753" t="inlineStr">
        <is>
          <t>VÄSTRA GÖTALANDS LÄN</t>
        </is>
      </c>
      <c r="E753" t="inlineStr">
        <is>
          <t>BORÅS</t>
        </is>
      </c>
      <c r="F753" t="inlineStr">
        <is>
          <t>Kommuner</t>
        </is>
      </c>
      <c r="G753" t="n">
        <v>2.5</v>
      </c>
      <c r="H753" t="n">
        <v>0</v>
      </c>
      <c r="I753" t="n">
        <v>0</v>
      </c>
      <c r="J753" t="n">
        <v>0</v>
      </c>
      <c r="K753" t="n">
        <v>0</v>
      </c>
      <c r="L753" t="n">
        <v>0</v>
      </c>
      <c r="M753" t="n">
        <v>0</v>
      </c>
      <c r="N753" t="n">
        <v>0</v>
      </c>
      <c r="O753" t="n">
        <v>0</v>
      </c>
      <c r="P753" t="n">
        <v>0</v>
      </c>
      <c r="Q753" t="n">
        <v>0</v>
      </c>
      <c r="R753" s="2" t="inlineStr"/>
    </row>
    <row r="754" ht="15" customHeight="1">
      <c r="A754" t="inlineStr">
        <is>
          <t>A 48102-2018</t>
        </is>
      </c>
      <c r="B754" s="1" t="n">
        <v>43371</v>
      </c>
      <c r="C754" s="1" t="n">
        <v>45212</v>
      </c>
      <c r="D754" t="inlineStr">
        <is>
          <t>VÄSTRA GÖTALANDS LÄN</t>
        </is>
      </c>
      <c r="E754" t="inlineStr">
        <is>
          <t>MELLERUD</t>
        </is>
      </c>
      <c r="G754" t="n">
        <v>1.6</v>
      </c>
      <c r="H754" t="n">
        <v>0</v>
      </c>
      <c r="I754" t="n">
        <v>0</v>
      </c>
      <c r="J754" t="n">
        <v>0</v>
      </c>
      <c r="K754" t="n">
        <v>0</v>
      </c>
      <c r="L754" t="n">
        <v>0</v>
      </c>
      <c r="M754" t="n">
        <v>0</v>
      </c>
      <c r="N754" t="n">
        <v>0</v>
      </c>
      <c r="O754" t="n">
        <v>0</v>
      </c>
      <c r="P754" t="n">
        <v>0</v>
      </c>
      <c r="Q754" t="n">
        <v>0</v>
      </c>
      <c r="R754" s="2" t="inlineStr"/>
    </row>
    <row r="755" ht="15" customHeight="1">
      <c r="A755" t="inlineStr">
        <is>
          <t>A 48698-2018</t>
        </is>
      </c>
      <c r="B755" s="1" t="n">
        <v>43371</v>
      </c>
      <c r="C755" s="1" t="n">
        <v>45212</v>
      </c>
      <c r="D755" t="inlineStr">
        <is>
          <t>VÄSTRA GÖTALANDS LÄN</t>
        </is>
      </c>
      <c r="E755" t="inlineStr">
        <is>
          <t>VÄNERSBORG</t>
        </is>
      </c>
      <c r="G755" t="n">
        <v>1.1</v>
      </c>
      <c r="H755" t="n">
        <v>0</v>
      </c>
      <c r="I755" t="n">
        <v>0</v>
      </c>
      <c r="J755" t="n">
        <v>0</v>
      </c>
      <c r="K755" t="n">
        <v>0</v>
      </c>
      <c r="L755" t="n">
        <v>0</v>
      </c>
      <c r="M755" t="n">
        <v>0</v>
      </c>
      <c r="N755" t="n">
        <v>0</v>
      </c>
      <c r="O755" t="n">
        <v>0</v>
      </c>
      <c r="P755" t="n">
        <v>0</v>
      </c>
      <c r="Q755" t="n">
        <v>0</v>
      </c>
      <c r="R755" s="2" t="inlineStr"/>
    </row>
    <row r="756" ht="15" customHeight="1">
      <c r="A756" t="inlineStr">
        <is>
          <t>A 48710-2018</t>
        </is>
      </c>
      <c r="B756" s="1" t="n">
        <v>43372</v>
      </c>
      <c r="C756" s="1" t="n">
        <v>45212</v>
      </c>
      <c r="D756" t="inlineStr">
        <is>
          <t>VÄSTRA GÖTALANDS LÄN</t>
        </is>
      </c>
      <c r="E756" t="inlineStr">
        <is>
          <t>LIDKÖPING</t>
        </is>
      </c>
      <c r="G756" t="n">
        <v>4.5</v>
      </c>
      <c r="H756" t="n">
        <v>0</v>
      </c>
      <c r="I756" t="n">
        <v>0</v>
      </c>
      <c r="J756" t="n">
        <v>0</v>
      </c>
      <c r="K756" t="n">
        <v>0</v>
      </c>
      <c r="L756" t="n">
        <v>0</v>
      </c>
      <c r="M756" t="n">
        <v>0</v>
      </c>
      <c r="N756" t="n">
        <v>0</v>
      </c>
      <c r="O756" t="n">
        <v>0</v>
      </c>
      <c r="P756" t="n">
        <v>0</v>
      </c>
      <c r="Q756" t="n">
        <v>0</v>
      </c>
      <c r="R756" s="2" t="inlineStr"/>
    </row>
    <row r="757" ht="15" customHeight="1">
      <c r="A757" t="inlineStr">
        <is>
          <t>A 48721-2018</t>
        </is>
      </c>
      <c r="B757" s="1" t="n">
        <v>43372</v>
      </c>
      <c r="C757" s="1" t="n">
        <v>45212</v>
      </c>
      <c r="D757" t="inlineStr">
        <is>
          <t>VÄSTRA GÖTALANDS LÄN</t>
        </is>
      </c>
      <c r="E757" t="inlineStr">
        <is>
          <t>LIDKÖPING</t>
        </is>
      </c>
      <c r="G757" t="n">
        <v>7.1</v>
      </c>
      <c r="H757" t="n">
        <v>0</v>
      </c>
      <c r="I757" t="n">
        <v>0</v>
      </c>
      <c r="J757" t="n">
        <v>0</v>
      </c>
      <c r="K757" t="n">
        <v>0</v>
      </c>
      <c r="L757" t="n">
        <v>0</v>
      </c>
      <c r="M757" t="n">
        <v>0</v>
      </c>
      <c r="N757" t="n">
        <v>0</v>
      </c>
      <c r="O757" t="n">
        <v>0</v>
      </c>
      <c r="P757" t="n">
        <v>0</v>
      </c>
      <c r="Q757" t="n">
        <v>0</v>
      </c>
      <c r="R757" s="2" t="inlineStr"/>
    </row>
    <row r="758" ht="15" customHeight="1">
      <c r="A758" t="inlineStr">
        <is>
          <t>A 49426-2018</t>
        </is>
      </c>
      <c r="B758" s="1" t="n">
        <v>43374</v>
      </c>
      <c r="C758" s="1" t="n">
        <v>45212</v>
      </c>
      <c r="D758" t="inlineStr">
        <is>
          <t>VÄSTRA GÖTALANDS LÄN</t>
        </is>
      </c>
      <c r="E758" t="inlineStr">
        <is>
          <t>SVENLJUNGA</t>
        </is>
      </c>
      <c r="G758" t="n">
        <v>1.6</v>
      </c>
      <c r="H758" t="n">
        <v>0</v>
      </c>
      <c r="I758" t="n">
        <v>0</v>
      </c>
      <c r="J758" t="n">
        <v>0</v>
      </c>
      <c r="K758" t="n">
        <v>0</v>
      </c>
      <c r="L758" t="n">
        <v>0</v>
      </c>
      <c r="M758" t="n">
        <v>0</v>
      </c>
      <c r="N758" t="n">
        <v>0</v>
      </c>
      <c r="O758" t="n">
        <v>0</v>
      </c>
      <c r="P758" t="n">
        <v>0</v>
      </c>
      <c r="Q758" t="n">
        <v>0</v>
      </c>
      <c r="R758" s="2" t="inlineStr"/>
    </row>
    <row r="759" ht="15" customHeight="1">
      <c r="A759" t="inlineStr">
        <is>
          <t>A 50092-2018</t>
        </is>
      </c>
      <c r="B759" s="1" t="n">
        <v>43375</v>
      </c>
      <c r="C759" s="1" t="n">
        <v>45212</v>
      </c>
      <c r="D759" t="inlineStr">
        <is>
          <t>VÄSTRA GÖTALANDS LÄN</t>
        </is>
      </c>
      <c r="E759" t="inlineStr">
        <is>
          <t>HJO</t>
        </is>
      </c>
      <c r="G759" t="n">
        <v>5.5</v>
      </c>
      <c r="H759" t="n">
        <v>0</v>
      </c>
      <c r="I759" t="n">
        <v>0</v>
      </c>
      <c r="J759" t="n">
        <v>0</v>
      </c>
      <c r="K759" t="n">
        <v>0</v>
      </c>
      <c r="L759" t="n">
        <v>0</v>
      </c>
      <c r="M759" t="n">
        <v>0</v>
      </c>
      <c r="N759" t="n">
        <v>0</v>
      </c>
      <c r="O759" t="n">
        <v>0</v>
      </c>
      <c r="P759" t="n">
        <v>0</v>
      </c>
      <c r="Q759" t="n">
        <v>0</v>
      </c>
      <c r="R759" s="2" t="inlineStr"/>
    </row>
    <row r="760" ht="15" customHeight="1">
      <c r="A760" t="inlineStr">
        <is>
          <t>A 49745-2018</t>
        </is>
      </c>
      <c r="B760" s="1" t="n">
        <v>43375</v>
      </c>
      <c r="C760" s="1" t="n">
        <v>45212</v>
      </c>
      <c r="D760" t="inlineStr">
        <is>
          <t>VÄSTRA GÖTALANDS LÄN</t>
        </is>
      </c>
      <c r="E760" t="inlineStr">
        <is>
          <t>SKARA</t>
        </is>
      </c>
      <c r="G760" t="n">
        <v>1</v>
      </c>
      <c r="H760" t="n">
        <v>0</v>
      </c>
      <c r="I760" t="n">
        <v>0</v>
      </c>
      <c r="J760" t="n">
        <v>0</v>
      </c>
      <c r="K760" t="n">
        <v>0</v>
      </c>
      <c r="L760" t="n">
        <v>0</v>
      </c>
      <c r="M760" t="n">
        <v>0</v>
      </c>
      <c r="N760" t="n">
        <v>0</v>
      </c>
      <c r="O760" t="n">
        <v>0</v>
      </c>
      <c r="P760" t="n">
        <v>0</v>
      </c>
      <c r="Q760" t="n">
        <v>0</v>
      </c>
      <c r="R760" s="2" t="inlineStr"/>
    </row>
    <row r="761" ht="15" customHeight="1">
      <c r="A761" t="inlineStr">
        <is>
          <t>A 50063-2018</t>
        </is>
      </c>
      <c r="B761" s="1" t="n">
        <v>43375</v>
      </c>
      <c r="C761" s="1" t="n">
        <v>45212</v>
      </c>
      <c r="D761" t="inlineStr">
        <is>
          <t>VÄSTRA GÖTALANDS LÄN</t>
        </is>
      </c>
      <c r="E761" t="inlineStr">
        <is>
          <t>LIDKÖPING</t>
        </is>
      </c>
      <c r="G761" t="n">
        <v>1.6</v>
      </c>
      <c r="H761" t="n">
        <v>0</v>
      </c>
      <c r="I761" t="n">
        <v>0</v>
      </c>
      <c r="J761" t="n">
        <v>0</v>
      </c>
      <c r="K761" t="n">
        <v>0</v>
      </c>
      <c r="L761" t="n">
        <v>0</v>
      </c>
      <c r="M761" t="n">
        <v>0</v>
      </c>
      <c r="N761" t="n">
        <v>0</v>
      </c>
      <c r="O761" t="n">
        <v>0</v>
      </c>
      <c r="P761" t="n">
        <v>0</v>
      </c>
      <c r="Q761" t="n">
        <v>0</v>
      </c>
      <c r="R761" s="2" t="inlineStr"/>
    </row>
    <row r="762" ht="15" customHeight="1">
      <c r="A762" t="inlineStr">
        <is>
          <t>A 50780-2018</t>
        </is>
      </c>
      <c r="B762" s="1" t="n">
        <v>43376</v>
      </c>
      <c r="C762" s="1" t="n">
        <v>45212</v>
      </c>
      <c r="D762" t="inlineStr">
        <is>
          <t>VÄSTRA GÖTALANDS LÄN</t>
        </is>
      </c>
      <c r="E762" t="inlineStr">
        <is>
          <t>BENGTSFORS</t>
        </is>
      </c>
      <c r="F762" t="inlineStr">
        <is>
          <t>Kyrkan</t>
        </is>
      </c>
      <c r="G762" t="n">
        <v>7.7</v>
      </c>
      <c r="H762" t="n">
        <v>0</v>
      </c>
      <c r="I762" t="n">
        <v>0</v>
      </c>
      <c r="J762" t="n">
        <v>0</v>
      </c>
      <c r="K762" t="n">
        <v>0</v>
      </c>
      <c r="L762" t="n">
        <v>0</v>
      </c>
      <c r="M762" t="n">
        <v>0</v>
      </c>
      <c r="N762" t="n">
        <v>0</v>
      </c>
      <c r="O762" t="n">
        <v>0</v>
      </c>
      <c r="P762" t="n">
        <v>0</v>
      </c>
      <c r="Q762" t="n">
        <v>0</v>
      </c>
      <c r="R762" s="2" t="inlineStr"/>
    </row>
    <row r="763" ht="15" customHeight="1">
      <c r="A763" t="inlineStr">
        <is>
          <t>A 50796-2018</t>
        </is>
      </c>
      <c r="B763" s="1" t="n">
        <v>43376</v>
      </c>
      <c r="C763" s="1" t="n">
        <v>45212</v>
      </c>
      <c r="D763" t="inlineStr">
        <is>
          <t>VÄSTRA GÖTALANDS LÄN</t>
        </is>
      </c>
      <c r="E763" t="inlineStr">
        <is>
          <t>BENGTSFORS</t>
        </is>
      </c>
      <c r="F763" t="inlineStr">
        <is>
          <t>Kyrkan</t>
        </is>
      </c>
      <c r="G763" t="n">
        <v>19.7</v>
      </c>
      <c r="H763" t="n">
        <v>0</v>
      </c>
      <c r="I763" t="n">
        <v>0</v>
      </c>
      <c r="J763" t="n">
        <v>0</v>
      </c>
      <c r="K763" t="n">
        <v>0</v>
      </c>
      <c r="L763" t="n">
        <v>0</v>
      </c>
      <c r="M763" t="n">
        <v>0</v>
      </c>
      <c r="N763" t="n">
        <v>0</v>
      </c>
      <c r="O763" t="n">
        <v>0</v>
      </c>
      <c r="P763" t="n">
        <v>0</v>
      </c>
      <c r="Q763" t="n">
        <v>0</v>
      </c>
      <c r="R763" s="2" t="inlineStr"/>
    </row>
    <row r="764" ht="15" customHeight="1">
      <c r="A764" t="inlineStr">
        <is>
          <t>A 50806-2018</t>
        </is>
      </c>
      <c r="B764" s="1" t="n">
        <v>43376</v>
      </c>
      <c r="C764" s="1" t="n">
        <v>45212</v>
      </c>
      <c r="D764" t="inlineStr">
        <is>
          <t>VÄSTRA GÖTALANDS LÄN</t>
        </is>
      </c>
      <c r="E764" t="inlineStr">
        <is>
          <t>TIBRO</t>
        </is>
      </c>
      <c r="G764" t="n">
        <v>2.9</v>
      </c>
      <c r="H764" t="n">
        <v>0</v>
      </c>
      <c r="I764" t="n">
        <v>0</v>
      </c>
      <c r="J764" t="n">
        <v>0</v>
      </c>
      <c r="K764" t="n">
        <v>0</v>
      </c>
      <c r="L764" t="n">
        <v>0</v>
      </c>
      <c r="M764" t="n">
        <v>0</v>
      </c>
      <c r="N764" t="n">
        <v>0</v>
      </c>
      <c r="O764" t="n">
        <v>0</v>
      </c>
      <c r="P764" t="n">
        <v>0</v>
      </c>
      <c r="Q764" t="n">
        <v>0</v>
      </c>
      <c r="R764" s="2" t="inlineStr"/>
    </row>
    <row r="765" ht="15" customHeight="1">
      <c r="A765" t="inlineStr">
        <is>
          <t>A 50764-2018</t>
        </is>
      </c>
      <c r="B765" s="1" t="n">
        <v>43376</v>
      </c>
      <c r="C765" s="1" t="n">
        <v>45212</v>
      </c>
      <c r="D765" t="inlineStr">
        <is>
          <t>VÄSTRA GÖTALANDS LÄN</t>
        </is>
      </c>
      <c r="E765" t="inlineStr">
        <is>
          <t>TIBRO</t>
        </is>
      </c>
      <c r="G765" t="n">
        <v>0.7</v>
      </c>
      <c r="H765" t="n">
        <v>0</v>
      </c>
      <c r="I765" t="n">
        <v>0</v>
      </c>
      <c r="J765" t="n">
        <v>0</v>
      </c>
      <c r="K765" t="n">
        <v>0</v>
      </c>
      <c r="L765" t="n">
        <v>0</v>
      </c>
      <c r="M765" t="n">
        <v>0</v>
      </c>
      <c r="N765" t="n">
        <v>0</v>
      </c>
      <c r="O765" t="n">
        <v>0</v>
      </c>
      <c r="P765" t="n">
        <v>0</v>
      </c>
      <c r="Q765" t="n">
        <v>0</v>
      </c>
      <c r="R765" s="2" t="inlineStr"/>
    </row>
    <row r="766" ht="15" customHeight="1">
      <c r="A766" t="inlineStr">
        <is>
          <t>A 49800-2018</t>
        </is>
      </c>
      <c r="B766" s="1" t="n">
        <v>43377</v>
      </c>
      <c r="C766" s="1" t="n">
        <v>45212</v>
      </c>
      <c r="D766" t="inlineStr">
        <is>
          <t>VÄSTRA GÖTALANDS LÄN</t>
        </is>
      </c>
      <c r="E766" t="inlineStr">
        <is>
          <t>ULRICEHAMN</t>
        </is>
      </c>
      <c r="G766" t="n">
        <v>1.4</v>
      </c>
      <c r="H766" t="n">
        <v>0</v>
      </c>
      <c r="I766" t="n">
        <v>0</v>
      </c>
      <c r="J766" t="n">
        <v>0</v>
      </c>
      <c r="K766" t="n">
        <v>0</v>
      </c>
      <c r="L766" t="n">
        <v>0</v>
      </c>
      <c r="M766" t="n">
        <v>0</v>
      </c>
      <c r="N766" t="n">
        <v>0</v>
      </c>
      <c r="O766" t="n">
        <v>0</v>
      </c>
      <c r="P766" t="n">
        <v>0</v>
      </c>
      <c r="Q766" t="n">
        <v>0</v>
      </c>
      <c r="R766" s="2" t="inlineStr"/>
    </row>
    <row r="767" ht="15" customHeight="1">
      <c r="A767" t="inlineStr">
        <is>
          <t>A 51049-2018</t>
        </is>
      </c>
      <c r="B767" s="1" t="n">
        <v>43377</v>
      </c>
      <c r="C767" s="1" t="n">
        <v>45212</v>
      </c>
      <c r="D767" t="inlineStr">
        <is>
          <t>VÄSTRA GÖTALANDS LÄN</t>
        </is>
      </c>
      <c r="E767" t="inlineStr">
        <is>
          <t>BENGTSFORS</t>
        </is>
      </c>
      <c r="G767" t="n">
        <v>14.2</v>
      </c>
      <c r="H767" t="n">
        <v>0</v>
      </c>
      <c r="I767" t="n">
        <v>0</v>
      </c>
      <c r="J767" t="n">
        <v>0</v>
      </c>
      <c r="K767" t="n">
        <v>0</v>
      </c>
      <c r="L767" t="n">
        <v>0</v>
      </c>
      <c r="M767" t="n">
        <v>0</v>
      </c>
      <c r="N767" t="n">
        <v>0</v>
      </c>
      <c r="O767" t="n">
        <v>0</v>
      </c>
      <c r="P767" t="n">
        <v>0</v>
      </c>
      <c r="Q767" t="n">
        <v>0</v>
      </c>
      <c r="R767" s="2" t="inlineStr"/>
    </row>
    <row r="768" ht="15" customHeight="1">
      <c r="A768" t="inlineStr">
        <is>
          <t>A 50101-2018</t>
        </is>
      </c>
      <c r="B768" s="1" t="n">
        <v>43378</v>
      </c>
      <c r="C768" s="1" t="n">
        <v>45212</v>
      </c>
      <c r="D768" t="inlineStr">
        <is>
          <t>VÄSTRA GÖTALANDS LÄN</t>
        </is>
      </c>
      <c r="E768" t="inlineStr">
        <is>
          <t>HERRLJUNGA</t>
        </is>
      </c>
      <c r="G768" t="n">
        <v>3.9</v>
      </c>
      <c r="H768" t="n">
        <v>0</v>
      </c>
      <c r="I768" t="n">
        <v>0</v>
      </c>
      <c r="J768" t="n">
        <v>0</v>
      </c>
      <c r="K768" t="n">
        <v>0</v>
      </c>
      <c r="L768" t="n">
        <v>0</v>
      </c>
      <c r="M768" t="n">
        <v>0</v>
      </c>
      <c r="N768" t="n">
        <v>0</v>
      </c>
      <c r="O768" t="n">
        <v>0</v>
      </c>
      <c r="P768" t="n">
        <v>0</v>
      </c>
      <c r="Q768" t="n">
        <v>0</v>
      </c>
      <c r="R768" s="2" t="inlineStr"/>
    </row>
    <row r="769" ht="15" customHeight="1">
      <c r="A769" t="inlineStr">
        <is>
          <t>A 51782-2018</t>
        </is>
      </c>
      <c r="B769" s="1" t="n">
        <v>43381</v>
      </c>
      <c r="C769" s="1" t="n">
        <v>45212</v>
      </c>
      <c r="D769" t="inlineStr">
        <is>
          <t>VÄSTRA GÖTALANDS LÄN</t>
        </is>
      </c>
      <c r="E769" t="inlineStr">
        <is>
          <t>LYSEKIL</t>
        </is>
      </c>
      <c r="G769" t="n">
        <v>0.5</v>
      </c>
      <c r="H769" t="n">
        <v>0</v>
      </c>
      <c r="I769" t="n">
        <v>0</v>
      </c>
      <c r="J769" t="n">
        <v>0</v>
      </c>
      <c r="K769" t="n">
        <v>0</v>
      </c>
      <c r="L769" t="n">
        <v>0</v>
      </c>
      <c r="M769" t="n">
        <v>0</v>
      </c>
      <c r="N769" t="n">
        <v>0</v>
      </c>
      <c r="O769" t="n">
        <v>0</v>
      </c>
      <c r="P769" t="n">
        <v>0</v>
      </c>
      <c r="Q769" t="n">
        <v>0</v>
      </c>
      <c r="R769" s="2" t="inlineStr"/>
    </row>
    <row r="770" ht="15" customHeight="1">
      <c r="A770" t="inlineStr">
        <is>
          <t>A 50862-2018</t>
        </is>
      </c>
      <c r="B770" s="1" t="n">
        <v>43381</v>
      </c>
      <c r="C770" s="1" t="n">
        <v>45212</v>
      </c>
      <c r="D770" t="inlineStr">
        <is>
          <t>VÄSTRA GÖTALANDS LÄN</t>
        </is>
      </c>
      <c r="E770" t="inlineStr">
        <is>
          <t>UDDEVALLA</t>
        </is>
      </c>
      <c r="G770" t="n">
        <v>1.8</v>
      </c>
      <c r="H770" t="n">
        <v>0</v>
      </c>
      <c r="I770" t="n">
        <v>0</v>
      </c>
      <c r="J770" t="n">
        <v>0</v>
      </c>
      <c r="K770" t="n">
        <v>0</v>
      </c>
      <c r="L770" t="n">
        <v>0</v>
      </c>
      <c r="M770" t="n">
        <v>0</v>
      </c>
      <c r="N770" t="n">
        <v>0</v>
      </c>
      <c r="O770" t="n">
        <v>0</v>
      </c>
      <c r="P770" t="n">
        <v>0</v>
      </c>
      <c r="Q770" t="n">
        <v>0</v>
      </c>
      <c r="R770" s="2" t="inlineStr"/>
    </row>
    <row r="771" ht="15" customHeight="1">
      <c r="A771" t="inlineStr">
        <is>
          <t>A 51446-2018</t>
        </is>
      </c>
      <c r="B771" s="1" t="n">
        <v>43381</v>
      </c>
      <c r="C771" s="1" t="n">
        <v>45212</v>
      </c>
      <c r="D771" t="inlineStr">
        <is>
          <t>VÄSTRA GÖTALANDS LÄN</t>
        </is>
      </c>
      <c r="E771" t="inlineStr">
        <is>
          <t>BENGTSFORS</t>
        </is>
      </c>
      <c r="G771" t="n">
        <v>0.8</v>
      </c>
      <c r="H771" t="n">
        <v>0</v>
      </c>
      <c r="I771" t="n">
        <v>0</v>
      </c>
      <c r="J771" t="n">
        <v>0</v>
      </c>
      <c r="K771" t="n">
        <v>0</v>
      </c>
      <c r="L771" t="n">
        <v>0</v>
      </c>
      <c r="M771" t="n">
        <v>0</v>
      </c>
      <c r="N771" t="n">
        <v>0</v>
      </c>
      <c r="O771" t="n">
        <v>0</v>
      </c>
      <c r="P771" t="n">
        <v>0</v>
      </c>
      <c r="Q771" t="n">
        <v>0</v>
      </c>
      <c r="R771" s="2" t="inlineStr"/>
    </row>
    <row r="772" ht="15" customHeight="1">
      <c r="A772" t="inlineStr">
        <is>
          <t>A 51737-2018</t>
        </is>
      </c>
      <c r="B772" s="1" t="n">
        <v>43381</v>
      </c>
      <c r="C772" s="1" t="n">
        <v>45212</v>
      </c>
      <c r="D772" t="inlineStr">
        <is>
          <t>VÄSTRA GÖTALANDS LÄN</t>
        </is>
      </c>
      <c r="E772" t="inlineStr">
        <is>
          <t>SOTENÄS</t>
        </is>
      </c>
      <c r="G772" t="n">
        <v>0.6</v>
      </c>
      <c r="H772" t="n">
        <v>0</v>
      </c>
      <c r="I772" t="n">
        <v>0</v>
      </c>
      <c r="J772" t="n">
        <v>0</v>
      </c>
      <c r="K772" t="n">
        <v>0</v>
      </c>
      <c r="L772" t="n">
        <v>0</v>
      </c>
      <c r="M772" t="n">
        <v>0</v>
      </c>
      <c r="N772" t="n">
        <v>0</v>
      </c>
      <c r="O772" t="n">
        <v>0</v>
      </c>
      <c r="P772" t="n">
        <v>0</v>
      </c>
      <c r="Q772" t="n">
        <v>0</v>
      </c>
      <c r="R772" s="2" t="inlineStr"/>
    </row>
    <row r="773" ht="15" customHeight="1">
      <c r="A773" t="inlineStr">
        <is>
          <t>A 61723-2018</t>
        </is>
      </c>
      <c r="B773" s="1" t="n">
        <v>43381</v>
      </c>
      <c r="C773" s="1" t="n">
        <v>45212</v>
      </c>
      <c r="D773" t="inlineStr">
        <is>
          <t>VÄSTRA GÖTALANDS LÄN</t>
        </is>
      </c>
      <c r="E773" t="inlineStr">
        <is>
          <t>SVENLJUNGA</t>
        </is>
      </c>
      <c r="F773" t="inlineStr">
        <is>
          <t>Kommuner</t>
        </is>
      </c>
      <c r="G773" t="n">
        <v>1.6</v>
      </c>
      <c r="H773" t="n">
        <v>0</v>
      </c>
      <c r="I773" t="n">
        <v>0</v>
      </c>
      <c r="J773" t="n">
        <v>0</v>
      </c>
      <c r="K773" t="n">
        <v>0</v>
      </c>
      <c r="L773" t="n">
        <v>0</v>
      </c>
      <c r="M773" t="n">
        <v>0</v>
      </c>
      <c r="N773" t="n">
        <v>0</v>
      </c>
      <c r="O773" t="n">
        <v>0</v>
      </c>
      <c r="P773" t="n">
        <v>0</v>
      </c>
      <c r="Q773" t="n">
        <v>0</v>
      </c>
      <c r="R773" s="2" t="inlineStr"/>
    </row>
    <row r="774" ht="15" customHeight="1">
      <c r="A774" t="inlineStr">
        <is>
          <t>A 51916-2018</t>
        </is>
      </c>
      <c r="B774" s="1" t="n">
        <v>43382</v>
      </c>
      <c r="C774" s="1" t="n">
        <v>45212</v>
      </c>
      <c r="D774" t="inlineStr">
        <is>
          <t>VÄSTRA GÖTALANDS LÄN</t>
        </is>
      </c>
      <c r="E774" t="inlineStr">
        <is>
          <t>GÖTENE</t>
        </is>
      </c>
      <c r="G774" t="n">
        <v>0.5</v>
      </c>
      <c r="H774" t="n">
        <v>0</v>
      </c>
      <c r="I774" t="n">
        <v>0</v>
      </c>
      <c r="J774" t="n">
        <v>0</v>
      </c>
      <c r="K774" t="n">
        <v>0</v>
      </c>
      <c r="L774" t="n">
        <v>0</v>
      </c>
      <c r="M774" t="n">
        <v>0</v>
      </c>
      <c r="N774" t="n">
        <v>0</v>
      </c>
      <c r="O774" t="n">
        <v>0</v>
      </c>
      <c r="P774" t="n">
        <v>0</v>
      </c>
      <c r="Q774" t="n">
        <v>0</v>
      </c>
      <c r="R774" s="2" t="inlineStr"/>
    </row>
    <row r="775" ht="15" customHeight="1">
      <c r="A775" t="inlineStr">
        <is>
          <t>A 51918-2018</t>
        </is>
      </c>
      <c r="B775" s="1" t="n">
        <v>43382</v>
      </c>
      <c r="C775" s="1" t="n">
        <v>45212</v>
      </c>
      <c r="D775" t="inlineStr">
        <is>
          <t>VÄSTRA GÖTALANDS LÄN</t>
        </is>
      </c>
      <c r="E775" t="inlineStr">
        <is>
          <t>GÖTENE</t>
        </is>
      </c>
      <c r="G775" t="n">
        <v>1</v>
      </c>
      <c r="H775" t="n">
        <v>0</v>
      </c>
      <c r="I775" t="n">
        <v>0</v>
      </c>
      <c r="J775" t="n">
        <v>0</v>
      </c>
      <c r="K775" t="n">
        <v>0</v>
      </c>
      <c r="L775" t="n">
        <v>0</v>
      </c>
      <c r="M775" t="n">
        <v>0</v>
      </c>
      <c r="N775" t="n">
        <v>0</v>
      </c>
      <c r="O775" t="n">
        <v>0</v>
      </c>
      <c r="P775" t="n">
        <v>0</v>
      </c>
      <c r="Q775" t="n">
        <v>0</v>
      </c>
      <c r="R775" s="2" t="inlineStr"/>
    </row>
    <row r="776" ht="15" customHeight="1">
      <c r="A776" t="inlineStr">
        <is>
          <t>A 51800-2018</t>
        </is>
      </c>
      <c r="B776" s="1" t="n">
        <v>43382</v>
      </c>
      <c r="C776" s="1" t="n">
        <v>45212</v>
      </c>
      <c r="D776" t="inlineStr">
        <is>
          <t>VÄSTRA GÖTALANDS LÄN</t>
        </is>
      </c>
      <c r="E776" t="inlineStr">
        <is>
          <t>STRÖMSTAD</t>
        </is>
      </c>
      <c r="G776" t="n">
        <v>1.5</v>
      </c>
      <c r="H776" t="n">
        <v>0</v>
      </c>
      <c r="I776" t="n">
        <v>0</v>
      </c>
      <c r="J776" t="n">
        <v>0</v>
      </c>
      <c r="K776" t="n">
        <v>0</v>
      </c>
      <c r="L776" t="n">
        <v>0</v>
      </c>
      <c r="M776" t="n">
        <v>0</v>
      </c>
      <c r="N776" t="n">
        <v>0</v>
      </c>
      <c r="O776" t="n">
        <v>0</v>
      </c>
      <c r="P776" t="n">
        <v>0</v>
      </c>
      <c r="Q776" t="n">
        <v>0</v>
      </c>
      <c r="R776" s="2" t="inlineStr"/>
    </row>
    <row r="777" ht="15" customHeight="1">
      <c r="A777" t="inlineStr">
        <is>
          <t>A 61726-2018</t>
        </is>
      </c>
      <c r="B777" s="1" t="n">
        <v>43383</v>
      </c>
      <c r="C777" s="1" t="n">
        <v>45212</v>
      </c>
      <c r="D777" t="inlineStr">
        <is>
          <t>VÄSTRA GÖTALANDS LÄN</t>
        </is>
      </c>
      <c r="E777" t="inlineStr">
        <is>
          <t>HÄRRYDA</t>
        </is>
      </c>
      <c r="G777" t="n">
        <v>2.6</v>
      </c>
      <c r="H777" t="n">
        <v>0</v>
      </c>
      <c r="I777" t="n">
        <v>0</v>
      </c>
      <c r="J777" t="n">
        <v>0</v>
      </c>
      <c r="K777" t="n">
        <v>0</v>
      </c>
      <c r="L777" t="n">
        <v>0</v>
      </c>
      <c r="M777" t="n">
        <v>0</v>
      </c>
      <c r="N777" t="n">
        <v>0</v>
      </c>
      <c r="O777" t="n">
        <v>0</v>
      </c>
      <c r="P777" t="n">
        <v>0</v>
      </c>
      <c r="Q777" t="n">
        <v>0</v>
      </c>
      <c r="R777" s="2" t="inlineStr"/>
    </row>
    <row r="778" ht="15" customHeight="1">
      <c r="A778" t="inlineStr">
        <is>
          <t>A 51458-2018</t>
        </is>
      </c>
      <c r="B778" s="1" t="n">
        <v>43383</v>
      </c>
      <c r="C778" s="1" t="n">
        <v>45212</v>
      </c>
      <c r="D778" t="inlineStr">
        <is>
          <t>VÄSTRA GÖTALANDS LÄN</t>
        </is>
      </c>
      <c r="E778" t="inlineStr">
        <is>
          <t>ALE</t>
        </is>
      </c>
      <c r="G778" t="n">
        <v>13.9</v>
      </c>
      <c r="H778" t="n">
        <v>0</v>
      </c>
      <c r="I778" t="n">
        <v>0</v>
      </c>
      <c r="J778" t="n">
        <v>0</v>
      </c>
      <c r="K778" t="n">
        <v>0</v>
      </c>
      <c r="L778" t="n">
        <v>0</v>
      </c>
      <c r="M778" t="n">
        <v>0</v>
      </c>
      <c r="N778" t="n">
        <v>0</v>
      </c>
      <c r="O778" t="n">
        <v>0</v>
      </c>
      <c r="P778" t="n">
        <v>0</v>
      </c>
      <c r="Q778" t="n">
        <v>0</v>
      </c>
      <c r="R778" s="2" t="inlineStr"/>
    </row>
    <row r="779" ht="15" customHeight="1">
      <c r="A779" t="inlineStr">
        <is>
          <t>A 52647-2018</t>
        </is>
      </c>
      <c r="B779" s="1" t="n">
        <v>43383</v>
      </c>
      <c r="C779" s="1" t="n">
        <v>45212</v>
      </c>
      <c r="D779" t="inlineStr">
        <is>
          <t>VÄSTRA GÖTALANDS LÄN</t>
        </is>
      </c>
      <c r="E779" t="inlineStr">
        <is>
          <t>BENGTSFORS</t>
        </is>
      </c>
      <c r="F779" t="inlineStr">
        <is>
          <t>Kyrkan</t>
        </is>
      </c>
      <c r="G779" t="n">
        <v>3.3</v>
      </c>
      <c r="H779" t="n">
        <v>0</v>
      </c>
      <c r="I779" t="n">
        <v>0</v>
      </c>
      <c r="J779" t="n">
        <v>0</v>
      </c>
      <c r="K779" t="n">
        <v>0</v>
      </c>
      <c r="L779" t="n">
        <v>0</v>
      </c>
      <c r="M779" t="n">
        <v>0</v>
      </c>
      <c r="N779" t="n">
        <v>0</v>
      </c>
      <c r="O779" t="n">
        <v>0</v>
      </c>
      <c r="P779" t="n">
        <v>0</v>
      </c>
      <c r="Q779" t="n">
        <v>0</v>
      </c>
      <c r="R779" s="2" t="inlineStr"/>
    </row>
    <row r="780" ht="15" customHeight="1">
      <c r="A780" t="inlineStr">
        <is>
          <t>A 51454-2018</t>
        </is>
      </c>
      <c r="B780" s="1" t="n">
        <v>43383</v>
      </c>
      <c r="C780" s="1" t="n">
        <v>45212</v>
      </c>
      <c r="D780" t="inlineStr">
        <is>
          <t>VÄSTRA GÖTALANDS LÄN</t>
        </is>
      </c>
      <c r="E780" t="inlineStr">
        <is>
          <t>FÄRGELANDA</t>
        </is>
      </c>
      <c r="G780" t="n">
        <v>0.5</v>
      </c>
      <c r="H780" t="n">
        <v>0</v>
      </c>
      <c r="I780" t="n">
        <v>0</v>
      </c>
      <c r="J780" t="n">
        <v>0</v>
      </c>
      <c r="K780" t="n">
        <v>0</v>
      </c>
      <c r="L780" t="n">
        <v>0</v>
      </c>
      <c r="M780" t="n">
        <v>0</v>
      </c>
      <c r="N780" t="n">
        <v>0</v>
      </c>
      <c r="O780" t="n">
        <v>0</v>
      </c>
      <c r="P780" t="n">
        <v>0</v>
      </c>
      <c r="Q780" t="n">
        <v>0</v>
      </c>
      <c r="R780" s="2" t="inlineStr"/>
    </row>
    <row r="781" ht="15" customHeight="1">
      <c r="A781" t="inlineStr">
        <is>
          <t>A 52851-2018</t>
        </is>
      </c>
      <c r="B781" s="1" t="n">
        <v>43384</v>
      </c>
      <c r="C781" s="1" t="n">
        <v>45212</v>
      </c>
      <c r="D781" t="inlineStr">
        <is>
          <t>VÄSTRA GÖTALANDS LÄN</t>
        </is>
      </c>
      <c r="E781" t="inlineStr">
        <is>
          <t>DALS-ED</t>
        </is>
      </c>
      <c r="G781" t="n">
        <v>0.8</v>
      </c>
      <c r="H781" t="n">
        <v>0</v>
      </c>
      <c r="I781" t="n">
        <v>0</v>
      </c>
      <c r="J781" t="n">
        <v>0</v>
      </c>
      <c r="K781" t="n">
        <v>0</v>
      </c>
      <c r="L781" t="n">
        <v>0</v>
      </c>
      <c r="M781" t="n">
        <v>0</v>
      </c>
      <c r="N781" t="n">
        <v>0</v>
      </c>
      <c r="O781" t="n">
        <v>0</v>
      </c>
      <c r="P781" t="n">
        <v>0</v>
      </c>
      <c r="Q781" t="n">
        <v>0</v>
      </c>
      <c r="R781" s="2" t="inlineStr"/>
    </row>
    <row r="782" ht="15" customHeight="1">
      <c r="A782" t="inlineStr">
        <is>
          <t>A 51709-2018</t>
        </is>
      </c>
      <c r="B782" s="1" t="n">
        <v>43384</v>
      </c>
      <c r="C782" s="1" t="n">
        <v>45212</v>
      </c>
      <c r="D782" t="inlineStr">
        <is>
          <t>VÄSTRA GÖTALANDS LÄN</t>
        </is>
      </c>
      <c r="E782" t="inlineStr">
        <is>
          <t>MARIESTAD</t>
        </is>
      </c>
      <c r="G782" t="n">
        <v>1.6</v>
      </c>
      <c r="H782" t="n">
        <v>0</v>
      </c>
      <c r="I782" t="n">
        <v>0</v>
      </c>
      <c r="J782" t="n">
        <v>0</v>
      </c>
      <c r="K782" t="n">
        <v>0</v>
      </c>
      <c r="L782" t="n">
        <v>0</v>
      </c>
      <c r="M782" t="n">
        <v>0</v>
      </c>
      <c r="N782" t="n">
        <v>0</v>
      </c>
      <c r="O782" t="n">
        <v>0</v>
      </c>
      <c r="P782" t="n">
        <v>0</v>
      </c>
      <c r="Q782" t="n">
        <v>0</v>
      </c>
      <c r="R782" s="2" t="inlineStr"/>
    </row>
    <row r="783" ht="15" customHeight="1">
      <c r="A783" t="inlineStr">
        <is>
          <t>A 53490-2018</t>
        </is>
      </c>
      <c r="B783" s="1" t="n">
        <v>43385</v>
      </c>
      <c r="C783" s="1" t="n">
        <v>45212</v>
      </c>
      <c r="D783" t="inlineStr">
        <is>
          <t>VÄSTRA GÖTALANDS LÄN</t>
        </is>
      </c>
      <c r="E783" t="inlineStr">
        <is>
          <t>MUNKEDAL</t>
        </is>
      </c>
      <c r="G783" t="n">
        <v>0.5</v>
      </c>
      <c r="H783" t="n">
        <v>0</v>
      </c>
      <c r="I783" t="n">
        <v>0</v>
      </c>
      <c r="J783" t="n">
        <v>0</v>
      </c>
      <c r="K783" t="n">
        <v>0</v>
      </c>
      <c r="L783" t="n">
        <v>0</v>
      </c>
      <c r="M783" t="n">
        <v>0</v>
      </c>
      <c r="N783" t="n">
        <v>0</v>
      </c>
      <c r="O783" t="n">
        <v>0</v>
      </c>
      <c r="P783" t="n">
        <v>0</v>
      </c>
      <c r="Q783" t="n">
        <v>0</v>
      </c>
      <c r="R783" s="2" t="inlineStr"/>
    </row>
    <row r="784" ht="15" customHeight="1">
      <c r="A784" t="inlineStr">
        <is>
          <t>A 65003-2018</t>
        </is>
      </c>
      <c r="B784" s="1" t="n">
        <v>43385</v>
      </c>
      <c r="C784" s="1" t="n">
        <v>45212</v>
      </c>
      <c r="D784" t="inlineStr">
        <is>
          <t>VÄSTRA GÖTALANDS LÄN</t>
        </is>
      </c>
      <c r="E784" t="inlineStr">
        <is>
          <t>MUNKEDAL</t>
        </is>
      </c>
      <c r="F784" t="inlineStr">
        <is>
          <t>Kommuner</t>
        </is>
      </c>
      <c r="G784" t="n">
        <v>1</v>
      </c>
      <c r="H784" t="n">
        <v>0</v>
      </c>
      <c r="I784" t="n">
        <v>0</v>
      </c>
      <c r="J784" t="n">
        <v>0</v>
      </c>
      <c r="K784" t="n">
        <v>0</v>
      </c>
      <c r="L784" t="n">
        <v>0</v>
      </c>
      <c r="M784" t="n">
        <v>0</v>
      </c>
      <c r="N784" t="n">
        <v>0</v>
      </c>
      <c r="O784" t="n">
        <v>0</v>
      </c>
      <c r="P784" t="n">
        <v>0</v>
      </c>
      <c r="Q784" t="n">
        <v>0</v>
      </c>
      <c r="R784" s="2" t="inlineStr"/>
    </row>
    <row r="785" ht="15" customHeight="1">
      <c r="A785" t="inlineStr">
        <is>
          <t>A 51886-2018</t>
        </is>
      </c>
      <c r="B785" s="1" t="n">
        <v>43385</v>
      </c>
      <c r="C785" s="1" t="n">
        <v>45212</v>
      </c>
      <c r="D785" t="inlineStr">
        <is>
          <t>VÄSTRA GÖTALANDS LÄN</t>
        </is>
      </c>
      <c r="E785" t="inlineStr">
        <is>
          <t>UDDEVALLA</t>
        </is>
      </c>
      <c r="G785" t="n">
        <v>0.6</v>
      </c>
      <c r="H785" t="n">
        <v>0</v>
      </c>
      <c r="I785" t="n">
        <v>0</v>
      </c>
      <c r="J785" t="n">
        <v>0</v>
      </c>
      <c r="K785" t="n">
        <v>0</v>
      </c>
      <c r="L785" t="n">
        <v>0</v>
      </c>
      <c r="M785" t="n">
        <v>0</v>
      </c>
      <c r="N785" t="n">
        <v>0</v>
      </c>
      <c r="O785" t="n">
        <v>0</v>
      </c>
      <c r="P785" t="n">
        <v>0</v>
      </c>
      <c r="Q785" t="n">
        <v>0</v>
      </c>
      <c r="R785" s="2" t="inlineStr"/>
    </row>
    <row r="786" ht="15" customHeight="1">
      <c r="A786" t="inlineStr">
        <is>
          <t>A 52043-2018</t>
        </is>
      </c>
      <c r="B786" s="1" t="n">
        <v>43385</v>
      </c>
      <c r="C786" s="1" t="n">
        <v>45212</v>
      </c>
      <c r="D786" t="inlineStr">
        <is>
          <t>VÄSTRA GÖTALANDS LÄN</t>
        </is>
      </c>
      <c r="E786" t="inlineStr">
        <is>
          <t>ALE</t>
        </is>
      </c>
      <c r="G786" t="n">
        <v>0.4</v>
      </c>
      <c r="H786" t="n">
        <v>0</v>
      </c>
      <c r="I786" t="n">
        <v>0</v>
      </c>
      <c r="J786" t="n">
        <v>0</v>
      </c>
      <c r="K786" t="n">
        <v>0</v>
      </c>
      <c r="L786" t="n">
        <v>0</v>
      </c>
      <c r="M786" t="n">
        <v>0</v>
      </c>
      <c r="N786" t="n">
        <v>0</v>
      </c>
      <c r="O786" t="n">
        <v>0</v>
      </c>
      <c r="P786" t="n">
        <v>0</v>
      </c>
      <c r="Q786" t="n">
        <v>0</v>
      </c>
      <c r="R786" s="2" t="inlineStr"/>
    </row>
    <row r="787" ht="15" customHeight="1">
      <c r="A787" t="inlineStr">
        <is>
          <t>A 53666-2018</t>
        </is>
      </c>
      <c r="B787" s="1" t="n">
        <v>43385</v>
      </c>
      <c r="C787" s="1" t="n">
        <v>45212</v>
      </c>
      <c r="D787" t="inlineStr">
        <is>
          <t>VÄSTRA GÖTALANDS LÄN</t>
        </is>
      </c>
      <c r="E787" t="inlineStr">
        <is>
          <t>SKARA</t>
        </is>
      </c>
      <c r="G787" t="n">
        <v>10</v>
      </c>
      <c r="H787" t="n">
        <v>0</v>
      </c>
      <c r="I787" t="n">
        <v>0</v>
      </c>
      <c r="J787" t="n">
        <v>0</v>
      </c>
      <c r="K787" t="n">
        <v>0</v>
      </c>
      <c r="L787" t="n">
        <v>0</v>
      </c>
      <c r="M787" t="n">
        <v>0</v>
      </c>
      <c r="N787" t="n">
        <v>0</v>
      </c>
      <c r="O787" t="n">
        <v>0</v>
      </c>
      <c r="P787" t="n">
        <v>0</v>
      </c>
      <c r="Q787" t="n">
        <v>0</v>
      </c>
      <c r="R787" s="2" t="inlineStr"/>
    </row>
    <row r="788" ht="15" customHeight="1">
      <c r="A788" t="inlineStr">
        <is>
          <t>A 53481-2018</t>
        </is>
      </c>
      <c r="B788" s="1" t="n">
        <v>43385</v>
      </c>
      <c r="C788" s="1" t="n">
        <v>45212</v>
      </c>
      <c r="D788" t="inlineStr">
        <is>
          <t>VÄSTRA GÖTALANDS LÄN</t>
        </is>
      </c>
      <c r="E788" t="inlineStr">
        <is>
          <t>MUNKEDAL</t>
        </is>
      </c>
      <c r="G788" t="n">
        <v>3.1</v>
      </c>
      <c r="H788" t="n">
        <v>0</v>
      </c>
      <c r="I788" t="n">
        <v>0</v>
      </c>
      <c r="J788" t="n">
        <v>0</v>
      </c>
      <c r="K788" t="n">
        <v>0</v>
      </c>
      <c r="L788" t="n">
        <v>0</v>
      </c>
      <c r="M788" t="n">
        <v>0</v>
      </c>
      <c r="N788" t="n">
        <v>0</v>
      </c>
      <c r="O788" t="n">
        <v>0</v>
      </c>
      <c r="P788" t="n">
        <v>0</v>
      </c>
      <c r="Q788" t="n">
        <v>0</v>
      </c>
      <c r="R788" s="2" t="inlineStr"/>
    </row>
    <row r="789" ht="15" customHeight="1">
      <c r="A789" t="inlineStr">
        <is>
          <t>A 63938-2018</t>
        </is>
      </c>
      <c r="B789" s="1" t="n">
        <v>43388</v>
      </c>
      <c r="C789" s="1" t="n">
        <v>45212</v>
      </c>
      <c r="D789" t="inlineStr">
        <is>
          <t>VÄSTRA GÖTALANDS LÄN</t>
        </is>
      </c>
      <c r="E789" t="inlineStr">
        <is>
          <t>MUNKEDAL</t>
        </is>
      </c>
      <c r="F789" t="inlineStr">
        <is>
          <t>Kommuner</t>
        </is>
      </c>
      <c r="G789" t="n">
        <v>2.2</v>
      </c>
      <c r="H789" t="n">
        <v>0</v>
      </c>
      <c r="I789" t="n">
        <v>0</v>
      </c>
      <c r="J789" t="n">
        <v>0</v>
      </c>
      <c r="K789" t="n">
        <v>0</v>
      </c>
      <c r="L789" t="n">
        <v>0</v>
      </c>
      <c r="M789" t="n">
        <v>0</v>
      </c>
      <c r="N789" t="n">
        <v>0</v>
      </c>
      <c r="O789" t="n">
        <v>0</v>
      </c>
      <c r="P789" t="n">
        <v>0</v>
      </c>
      <c r="Q789" t="n">
        <v>0</v>
      </c>
      <c r="R789" s="2" t="inlineStr"/>
    </row>
    <row r="790" ht="15" customHeight="1">
      <c r="A790" t="inlineStr">
        <is>
          <t>A 52234-2018</t>
        </is>
      </c>
      <c r="B790" s="1" t="n">
        <v>43388</v>
      </c>
      <c r="C790" s="1" t="n">
        <v>45212</v>
      </c>
      <c r="D790" t="inlineStr">
        <is>
          <t>VÄSTRA GÖTALANDS LÄN</t>
        </is>
      </c>
      <c r="E790" t="inlineStr">
        <is>
          <t>ALINGSÅS</t>
        </is>
      </c>
      <c r="G790" t="n">
        <v>1.3</v>
      </c>
      <c r="H790" t="n">
        <v>0</v>
      </c>
      <c r="I790" t="n">
        <v>0</v>
      </c>
      <c r="J790" t="n">
        <v>0</v>
      </c>
      <c r="K790" t="n">
        <v>0</v>
      </c>
      <c r="L790" t="n">
        <v>0</v>
      </c>
      <c r="M790" t="n">
        <v>0</v>
      </c>
      <c r="N790" t="n">
        <v>0</v>
      </c>
      <c r="O790" t="n">
        <v>0</v>
      </c>
      <c r="P790" t="n">
        <v>0</v>
      </c>
      <c r="Q790" t="n">
        <v>0</v>
      </c>
      <c r="R790" s="2" t="inlineStr"/>
    </row>
    <row r="791" ht="15" customHeight="1">
      <c r="A791" t="inlineStr">
        <is>
          <t>A 54060-2018</t>
        </is>
      </c>
      <c r="B791" s="1" t="n">
        <v>43388</v>
      </c>
      <c r="C791" s="1" t="n">
        <v>45212</v>
      </c>
      <c r="D791" t="inlineStr">
        <is>
          <t>VÄSTRA GÖTALANDS LÄN</t>
        </is>
      </c>
      <c r="E791" t="inlineStr">
        <is>
          <t>ÅMÅL</t>
        </is>
      </c>
      <c r="F791" t="inlineStr">
        <is>
          <t>Bergvik skog väst AB</t>
        </is>
      </c>
      <c r="G791" t="n">
        <v>10</v>
      </c>
      <c r="H791" t="n">
        <v>0</v>
      </c>
      <c r="I791" t="n">
        <v>0</v>
      </c>
      <c r="J791" t="n">
        <v>0</v>
      </c>
      <c r="K791" t="n">
        <v>0</v>
      </c>
      <c r="L791" t="n">
        <v>0</v>
      </c>
      <c r="M791" t="n">
        <v>0</v>
      </c>
      <c r="N791" t="n">
        <v>0</v>
      </c>
      <c r="O791" t="n">
        <v>0</v>
      </c>
      <c r="P791" t="n">
        <v>0</v>
      </c>
      <c r="Q791" t="n">
        <v>0</v>
      </c>
      <c r="R791" s="2" t="inlineStr"/>
    </row>
    <row r="792" ht="15" customHeight="1">
      <c r="A792" t="inlineStr">
        <is>
          <t>A 52332-2018</t>
        </is>
      </c>
      <c r="B792" s="1" t="n">
        <v>43388</v>
      </c>
      <c r="C792" s="1" t="n">
        <v>45212</v>
      </c>
      <c r="D792" t="inlineStr">
        <is>
          <t>VÄSTRA GÖTALANDS LÄN</t>
        </is>
      </c>
      <c r="E792" t="inlineStr">
        <is>
          <t>BOLLEBYGD</t>
        </is>
      </c>
      <c r="G792" t="n">
        <v>0.6</v>
      </c>
      <c r="H792" t="n">
        <v>0</v>
      </c>
      <c r="I792" t="n">
        <v>0</v>
      </c>
      <c r="J792" t="n">
        <v>0</v>
      </c>
      <c r="K792" t="n">
        <v>0</v>
      </c>
      <c r="L792" t="n">
        <v>0</v>
      </c>
      <c r="M792" t="n">
        <v>0</v>
      </c>
      <c r="N792" t="n">
        <v>0</v>
      </c>
      <c r="O792" t="n">
        <v>0</v>
      </c>
      <c r="P792" t="n">
        <v>0</v>
      </c>
      <c r="Q792" t="n">
        <v>0</v>
      </c>
      <c r="R792" s="2" t="inlineStr"/>
    </row>
    <row r="793" ht="15" customHeight="1">
      <c r="A793" t="inlineStr">
        <is>
          <t>A 52501-2018</t>
        </is>
      </c>
      <c r="B793" s="1" t="n">
        <v>43388</v>
      </c>
      <c r="C793" s="1" t="n">
        <v>45212</v>
      </c>
      <c r="D793" t="inlineStr">
        <is>
          <t>VÄSTRA GÖTALANDS LÄN</t>
        </is>
      </c>
      <c r="E793" t="inlineStr">
        <is>
          <t>UDDEVALLA</t>
        </is>
      </c>
      <c r="G793" t="n">
        <v>4.3</v>
      </c>
      <c r="H793" t="n">
        <v>0</v>
      </c>
      <c r="I793" t="n">
        <v>0</v>
      </c>
      <c r="J793" t="n">
        <v>0</v>
      </c>
      <c r="K793" t="n">
        <v>0</v>
      </c>
      <c r="L793" t="n">
        <v>0</v>
      </c>
      <c r="M793" t="n">
        <v>0</v>
      </c>
      <c r="N793" t="n">
        <v>0</v>
      </c>
      <c r="O793" t="n">
        <v>0</v>
      </c>
      <c r="P793" t="n">
        <v>0</v>
      </c>
      <c r="Q793" t="n">
        <v>0</v>
      </c>
      <c r="R793" s="2" t="inlineStr"/>
    </row>
    <row r="794" ht="15" customHeight="1">
      <c r="A794" t="inlineStr">
        <is>
          <t>A 53796-2018</t>
        </is>
      </c>
      <c r="B794" s="1" t="n">
        <v>43388</v>
      </c>
      <c r="C794" s="1" t="n">
        <v>45212</v>
      </c>
      <c r="D794" t="inlineStr">
        <is>
          <t>VÄSTRA GÖTALANDS LÄN</t>
        </is>
      </c>
      <c r="E794" t="inlineStr">
        <is>
          <t>BENGTSFORS</t>
        </is>
      </c>
      <c r="G794" t="n">
        <v>1.1</v>
      </c>
      <c r="H794" t="n">
        <v>0</v>
      </c>
      <c r="I794" t="n">
        <v>0</v>
      </c>
      <c r="J794" t="n">
        <v>0</v>
      </c>
      <c r="K794" t="n">
        <v>0</v>
      </c>
      <c r="L794" t="n">
        <v>0</v>
      </c>
      <c r="M794" t="n">
        <v>0</v>
      </c>
      <c r="N794" t="n">
        <v>0</v>
      </c>
      <c r="O794" t="n">
        <v>0</v>
      </c>
      <c r="P794" t="n">
        <v>0</v>
      </c>
      <c r="Q794" t="n">
        <v>0</v>
      </c>
      <c r="R794" s="2" t="inlineStr"/>
    </row>
    <row r="795" ht="15" customHeight="1">
      <c r="A795" t="inlineStr">
        <is>
          <t>A 53815-2018</t>
        </is>
      </c>
      <c r="B795" s="1" t="n">
        <v>43388</v>
      </c>
      <c r="C795" s="1" t="n">
        <v>45212</v>
      </c>
      <c r="D795" t="inlineStr">
        <is>
          <t>VÄSTRA GÖTALANDS LÄN</t>
        </is>
      </c>
      <c r="E795" t="inlineStr">
        <is>
          <t>SOTENÄS</t>
        </is>
      </c>
      <c r="G795" t="n">
        <v>4.5</v>
      </c>
      <c r="H795" t="n">
        <v>0</v>
      </c>
      <c r="I795" t="n">
        <v>0</v>
      </c>
      <c r="J795" t="n">
        <v>0</v>
      </c>
      <c r="K795" t="n">
        <v>0</v>
      </c>
      <c r="L795" t="n">
        <v>0</v>
      </c>
      <c r="M795" t="n">
        <v>0</v>
      </c>
      <c r="N795" t="n">
        <v>0</v>
      </c>
      <c r="O795" t="n">
        <v>0</v>
      </c>
      <c r="P795" t="n">
        <v>0</v>
      </c>
      <c r="Q795" t="n">
        <v>0</v>
      </c>
      <c r="R795" s="2" t="inlineStr"/>
    </row>
    <row r="796" ht="15" customHeight="1">
      <c r="A796" t="inlineStr">
        <is>
          <t>A 52235-2018</t>
        </is>
      </c>
      <c r="B796" s="1" t="n">
        <v>43388</v>
      </c>
      <c r="C796" s="1" t="n">
        <v>45212</v>
      </c>
      <c r="D796" t="inlineStr">
        <is>
          <t>VÄSTRA GÖTALANDS LÄN</t>
        </is>
      </c>
      <c r="E796" t="inlineStr">
        <is>
          <t>VÄNERSBORG</t>
        </is>
      </c>
      <c r="G796" t="n">
        <v>4</v>
      </c>
      <c r="H796" t="n">
        <v>0</v>
      </c>
      <c r="I796" t="n">
        <v>0</v>
      </c>
      <c r="J796" t="n">
        <v>0</v>
      </c>
      <c r="K796" t="n">
        <v>0</v>
      </c>
      <c r="L796" t="n">
        <v>0</v>
      </c>
      <c r="M796" t="n">
        <v>0</v>
      </c>
      <c r="N796" t="n">
        <v>0</v>
      </c>
      <c r="O796" t="n">
        <v>0</v>
      </c>
      <c r="P796" t="n">
        <v>0</v>
      </c>
      <c r="Q796" t="n">
        <v>0</v>
      </c>
      <c r="R796" s="2" t="inlineStr"/>
    </row>
    <row r="797" ht="15" customHeight="1">
      <c r="A797" t="inlineStr">
        <is>
          <t>A 52387-2018</t>
        </is>
      </c>
      <c r="B797" s="1" t="n">
        <v>43388</v>
      </c>
      <c r="C797" s="1" t="n">
        <v>45212</v>
      </c>
      <c r="D797" t="inlineStr">
        <is>
          <t>VÄSTRA GÖTALANDS LÄN</t>
        </is>
      </c>
      <c r="E797" t="inlineStr">
        <is>
          <t>ULRICEHAMN</t>
        </is>
      </c>
      <c r="G797" t="n">
        <v>7.5</v>
      </c>
      <c r="H797" t="n">
        <v>0</v>
      </c>
      <c r="I797" t="n">
        <v>0</v>
      </c>
      <c r="J797" t="n">
        <v>0</v>
      </c>
      <c r="K797" t="n">
        <v>0</v>
      </c>
      <c r="L797" t="n">
        <v>0</v>
      </c>
      <c r="M797" t="n">
        <v>0</v>
      </c>
      <c r="N797" t="n">
        <v>0</v>
      </c>
      <c r="O797" t="n">
        <v>0</v>
      </c>
      <c r="P797" t="n">
        <v>0</v>
      </c>
      <c r="Q797" t="n">
        <v>0</v>
      </c>
      <c r="R797" s="2" t="inlineStr"/>
    </row>
    <row r="798" ht="15" customHeight="1">
      <c r="A798" t="inlineStr">
        <is>
          <t>A 52309-2018</t>
        </is>
      </c>
      <c r="B798" s="1" t="n">
        <v>43388</v>
      </c>
      <c r="C798" s="1" t="n">
        <v>45212</v>
      </c>
      <c r="D798" t="inlineStr">
        <is>
          <t>VÄSTRA GÖTALANDS LÄN</t>
        </is>
      </c>
      <c r="E798" t="inlineStr">
        <is>
          <t>GULLSPÅNG</t>
        </is>
      </c>
      <c r="G798" t="n">
        <v>3.8</v>
      </c>
      <c r="H798" t="n">
        <v>0</v>
      </c>
      <c r="I798" t="n">
        <v>0</v>
      </c>
      <c r="J798" t="n">
        <v>0</v>
      </c>
      <c r="K798" t="n">
        <v>0</v>
      </c>
      <c r="L798" t="n">
        <v>0</v>
      </c>
      <c r="M798" t="n">
        <v>0</v>
      </c>
      <c r="N798" t="n">
        <v>0</v>
      </c>
      <c r="O798" t="n">
        <v>0</v>
      </c>
      <c r="P798" t="n">
        <v>0</v>
      </c>
      <c r="Q798" t="n">
        <v>0</v>
      </c>
      <c r="R798" s="2" t="inlineStr"/>
    </row>
    <row r="799" ht="15" customHeight="1">
      <c r="A799" t="inlineStr">
        <is>
          <t>A 52827-2018</t>
        </is>
      </c>
      <c r="B799" s="1" t="n">
        <v>43389</v>
      </c>
      <c r="C799" s="1" t="n">
        <v>45212</v>
      </c>
      <c r="D799" t="inlineStr">
        <is>
          <t>VÄSTRA GÖTALANDS LÄN</t>
        </is>
      </c>
      <c r="E799" t="inlineStr">
        <is>
          <t>TRANEMO</t>
        </is>
      </c>
      <c r="G799" t="n">
        <v>3.2</v>
      </c>
      <c r="H799" t="n">
        <v>0</v>
      </c>
      <c r="I799" t="n">
        <v>0</v>
      </c>
      <c r="J799" t="n">
        <v>0</v>
      </c>
      <c r="K799" t="n">
        <v>0</v>
      </c>
      <c r="L799" t="n">
        <v>0</v>
      </c>
      <c r="M799" t="n">
        <v>0</v>
      </c>
      <c r="N799" t="n">
        <v>0</v>
      </c>
      <c r="O799" t="n">
        <v>0</v>
      </c>
      <c r="P799" t="n">
        <v>0</v>
      </c>
      <c r="Q799" t="n">
        <v>0</v>
      </c>
      <c r="R799" s="2" t="inlineStr"/>
    </row>
    <row r="800" ht="15" customHeight="1">
      <c r="A800" t="inlineStr">
        <is>
          <t>A 54401-2018</t>
        </is>
      </c>
      <c r="B800" s="1" t="n">
        <v>43389</v>
      </c>
      <c r="C800" s="1" t="n">
        <v>45212</v>
      </c>
      <c r="D800" t="inlineStr">
        <is>
          <t>VÄSTRA GÖTALANDS LÄN</t>
        </is>
      </c>
      <c r="E800" t="inlineStr">
        <is>
          <t>KARLSBORG</t>
        </is>
      </c>
      <c r="F800" t="inlineStr">
        <is>
          <t>Kommuner</t>
        </is>
      </c>
      <c r="G800" t="n">
        <v>6.3</v>
      </c>
      <c r="H800" t="n">
        <v>0</v>
      </c>
      <c r="I800" t="n">
        <v>0</v>
      </c>
      <c r="J800" t="n">
        <v>0</v>
      </c>
      <c r="K800" t="n">
        <v>0</v>
      </c>
      <c r="L800" t="n">
        <v>0</v>
      </c>
      <c r="M800" t="n">
        <v>0</v>
      </c>
      <c r="N800" t="n">
        <v>0</v>
      </c>
      <c r="O800" t="n">
        <v>0</v>
      </c>
      <c r="P800" t="n">
        <v>0</v>
      </c>
      <c r="Q800" t="n">
        <v>0</v>
      </c>
      <c r="R800" s="2" t="inlineStr"/>
    </row>
    <row r="801" ht="15" customHeight="1">
      <c r="A801" t="inlineStr">
        <is>
          <t>A 52712-2018</t>
        </is>
      </c>
      <c r="B801" s="1" t="n">
        <v>43389</v>
      </c>
      <c r="C801" s="1" t="n">
        <v>45212</v>
      </c>
      <c r="D801" t="inlineStr">
        <is>
          <t>VÄSTRA GÖTALANDS LÄN</t>
        </is>
      </c>
      <c r="E801" t="inlineStr">
        <is>
          <t>TANUM</t>
        </is>
      </c>
      <c r="G801" t="n">
        <v>1.6</v>
      </c>
      <c r="H801" t="n">
        <v>0</v>
      </c>
      <c r="I801" t="n">
        <v>0</v>
      </c>
      <c r="J801" t="n">
        <v>0</v>
      </c>
      <c r="K801" t="n">
        <v>0</v>
      </c>
      <c r="L801" t="n">
        <v>0</v>
      </c>
      <c r="M801" t="n">
        <v>0</v>
      </c>
      <c r="N801" t="n">
        <v>0</v>
      </c>
      <c r="O801" t="n">
        <v>0</v>
      </c>
      <c r="P801" t="n">
        <v>0</v>
      </c>
      <c r="Q801" t="n">
        <v>0</v>
      </c>
      <c r="R801" s="2" t="inlineStr"/>
    </row>
    <row r="802" ht="15" customHeight="1">
      <c r="A802" t="inlineStr">
        <is>
          <t>A 52980-2018</t>
        </is>
      </c>
      <c r="B802" s="1" t="n">
        <v>43389</v>
      </c>
      <c r="C802" s="1" t="n">
        <v>45212</v>
      </c>
      <c r="D802" t="inlineStr">
        <is>
          <t>VÄSTRA GÖTALANDS LÄN</t>
        </is>
      </c>
      <c r="E802" t="inlineStr">
        <is>
          <t>STENUNGSUND</t>
        </is>
      </c>
      <c r="G802" t="n">
        <v>7.3</v>
      </c>
      <c r="H802" t="n">
        <v>0</v>
      </c>
      <c r="I802" t="n">
        <v>0</v>
      </c>
      <c r="J802" t="n">
        <v>0</v>
      </c>
      <c r="K802" t="n">
        <v>0</v>
      </c>
      <c r="L802" t="n">
        <v>0</v>
      </c>
      <c r="M802" t="n">
        <v>0</v>
      </c>
      <c r="N802" t="n">
        <v>0</v>
      </c>
      <c r="O802" t="n">
        <v>0</v>
      </c>
      <c r="P802" t="n">
        <v>0</v>
      </c>
      <c r="Q802" t="n">
        <v>0</v>
      </c>
      <c r="R802" s="2" t="inlineStr"/>
    </row>
    <row r="803" ht="15" customHeight="1">
      <c r="A803" t="inlineStr">
        <is>
          <t>A 53131-2018</t>
        </is>
      </c>
      <c r="B803" s="1" t="n">
        <v>43390</v>
      </c>
      <c r="C803" s="1" t="n">
        <v>45212</v>
      </c>
      <c r="D803" t="inlineStr">
        <is>
          <t>VÄSTRA GÖTALANDS LÄN</t>
        </is>
      </c>
      <c r="E803" t="inlineStr">
        <is>
          <t>ORUST</t>
        </is>
      </c>
      <c r="G803" t="n">
        <v>5</v>
      </c>
      <c r="H803" t="n">
        <v>0</v>
      </c>
      <c r="I803" t="n">
        <v>0</v>
      </c>
      <c r="J803" t="n">
        <v>0</v>
      </c>
      <c r="K803" t="n">
        <v>0</v>
      </c>
      <c r="L803" t="n">
        <v>0</v>
      </c>
      <c r="M803" t="n">
        <v>0</v>
      </c>
      <c r="N803" t="n">
        <v>0</v>
      </c>
      <c r="O803" t="n">
        <v>0</v>
      </c>
      <c r="P803" t="n">
        <v>0</v>
      </c>
      <c r="Q803" t="n">
        <v>0</v>
      </c>
      <c r="R803" s="2" t="inlineStr"/>
    </row>
    <row r="804" ht="15" customHeight="1">
      <c r="A804" t="inlineStr">
        <is>
          <t>A 53253-2018</t>
        </is>
      </c>
      <c r="B804" s="1" t="n">
        <v>43390</v>
      </c>
      <c r="C804" s="1" t="n">
        <v>45212</v>
      </c>
      <c r="D804" t="inlineStr">
        <is>
          <t>VÄSTRA GÖTALANDS LÄN</t>
        </is>
      </c>
      <c r="E804" t="inlineStr">
        <is>
          <t>BENGTSFORS</t>
        </is>
      </c>
      <c r="G804" t="n">
        <v>1.1</v>
      </c>
      <c r="H804" t="n">
        <v>0</v>
      </c>
      <c r="I804" t="n">
        <v>0</v>
      </c>
      <c r="J804" t="n">
        <v>0</v>
      </c>
      <c r="K804" t="n">
        <v>0</v>
      </c>
      <c r="L804" t="n">
        <v>0</v>
      </c>
      <c r="M804" t="n">
        <v>0</v>
      </c>
      <c r="N804" t="n">
        <v>0</v>
      </c>
      <c r="O804" t="n">
        <v>0</v>
      </c>
      <c r="P804" t="n">
        <v>0</v>
      </c>
      <c r="Q804" t="n">
        <v>0</v>
      </c>
      <c r="R804" s="2" t="inlineStr"/>
    </row>
    <row r="805" ht="15" customHeight="1">
      <c r="A805" t="inlineStr">
        <is>
          <t>A 53471-2018</t>
        </is>
      </c>
      <c r="B805" s="1" t="n">
        <v>43390</v>
      </c>
      <c r="C805" s="1" t="n">
        <v>45212</v>
      </c>
      <c r="D805" t="inlineStr">
        <is>
          <t>VÄSTRA GÖTALANDS LÄN</t>
        </is>
      </c>
      <c r="E805" t="inlineStr">
        <is>
          <t>TIDAHOLM</t>
        </is>
      </c>
      <c r="G805" t="n">
        <v>6.4</v>
      </c>
      <c r="H805" t="n">
        <v>0</v>
      </c>
      <c r="I805" t="n">
        <v>0</v>
      </c>
      <c r="J805" t="n">
        <v>0</v>
      </c>
      <c r="K805" t="n">
        <v>0</v>
      </c>
      <c r="L805" t="n">
        <v>0</v>
      </c>
      <c r="M805" t="n">
        <v>0</v>
      </c>
      <c r="N805" t="n">
        <v>0</v>
      </c>
      <c r="O805" t="n">
        <v>0</v>
      </c>
      <c r="P805" t="n">
        <v>0</v>
      </c>
      <c r="Q805" t="n">
        <v>0</v>
      </c>
      <c r="R805" s="2" t="inlineStr"/>
    </row>
    <row r="806" ht="15" customHeight="1">
      <c r="A806" t="inlineStr">
        <is>
          <t>A 53104-2018</t>
        </is>
      </c>
      <c r="B806" s="1" t="n">
        <v>43390</v>
      </c>
      <c r="C806" s="1" t="n">
        <v>45212</v>
      </c>
      <c r="D806" t="inlineStr">
        <is>
          <t>VÄSTRA GÖTALANDS LÄN</t>
        </is>
      </c>
      <c r="E806" t="inlineStr">
        <is>
          <t>SKARA</t>
        </is>
      </c>
      <c r="G806" t="n">
        <v>0.8</v>
      </c>
      <c r="H806" t="n">
        <v>0</v>
      </c>
      <c r="I806" t="n">
        <v>0</v>
      </c>
      <c r="J806" t="n">
        <v>0</v>
      </c>
      <c r="K806" t="n">
        <v>0</v>
      </c>
      <c r="L806" t="n">
        <v>0</v>
      </c>
      <c r="M806" t="n">
        <v>0</v>
      </c>
      <c r="N806" t="n">
        <v>0</v>
      </c>
      <c r="O806" t="n">
        <v>0</v>
      </c>
      <c r="P806" t="n">
        <v>0</v>
      </c>
      <c r="Q806" t="n">
        <v>0</v>
      </c>
      <c r="R806" s="2" t="inlineStr"/>
    </row>
    <row r="807" ht="15" customHeight="1">
      <c r="A807" t="inlineStr">
        <is>
          <t>A 53332-2018</t>
        </is>
      </c>
      <c r="B807" s="1" t="n">
        <v>43390</v>
      </c>
      <c r="C807" s="1" t="n">
        <v>45212</v>
      </c>
      <c r="D807" t="inlineStr">
        <is>
          <t>VÄSTRA GÖTALANDS LÄN</t>
        </is>
      </c>
      <c r="E807" t="inlineStr">
        <is>
          <t>FÄRGELANDA</t>
        </is>
      </c>
      <c r="G807" t="n">
        <v>0.8</v>
      </c>
      <c r="H807" t="n">
        <v>0</v>
      </c>
      <c r="I807" t="n">
        <v>0</v>
      </c>
      <c r="J807" t="n">
        <v>0</v>
      </c>
      <c r="K807" t="n">
        <v>0</v>
      </c>
      <c r="L807" t="n">
        <v>0</v>
      </c>
      <c r="M807" t="n">
        <v>0</v>
      </c>
      <c r="N807" t="n">
        <v>0</v>
      </c>
      <c r="O807" t="n">
        <v>0</v>
      </c>
      <c r="P807" t="n">
        <v>0</v>
      </c>
      <c r="Q807" t="n">
        <v>0</v>
      </c>
      <c r="R807" s="2" t="inlineStr"/>
    </row>
    <row r="808" ht="15" customHeight="1">
      <c r="A808" t="inlineStr">
        <is>
          <t>A 53068-2018</t>
        </is>
      </c>
      <c r="B808" s="1" t="n">
        <v>43390</v>
      </c>
      <c r="C808" s="1" t="n">
        <v>45212</v>
      </c>
      <c r="D808" t="inlineStr">
        <is>
          <t>VÄSTRA GÖTALANDS LÄN</t>
        </is>
      </c>
      <c r="E808" t="inlineStr">
        <is>
          <t>SVENLJUNGA</t>
        </is>
      </c>
      <c r="F808" t="inlineStr">
        <is>
          <t>Kommuner</t>
        </is>
      </c>
      <c r="G808" t="n">
        <v>2.9</v>
      </c>
      <c r="H808" t="n">
        <v>0</v>
      </c>
      <c r="I808" t="n">
        <v>0</v>
      </c>
      <c r="J808" t="n">
        <v>0</v>
      </c>
      <c r="K808" t="n">
        <v>0</v>
      </c>
      <c r="L808" t="n">
        <v>0</v>
      </c>
      <c r="M808" t="n">
        <v>0</v>
      </c>
      <c r="N808" t="n">
        <v>0</v>
      </c>
      <c r="O808" t="n">
        <v>0</v>
      </c>
      <c r="P808" t="n">
        <v>0</v>
      </c>
      <c r="Q808" t="n">
        <v>0</v>
      </c>
      <c r="R808" s="2" t="inlineStr"/>
    </row>
    <row r="809" ht="15" customHeight="1">
      <c r="A809" t="inlineStr">
        <is>
          <t>A 53213-2018</t>
        </is>
      </c>
      <c r="B809" s="1" t="n">
        <v>43390</v>
      </c>
      <c r="C809" s="1" t="n">
        <v>45212</v>
      </c>
      <c r="D809" t="inlineStr">
        <is>
          <t>VÄSTRA GÖTALANDS LÄN</t>
        </is>
      </c>
      <c r="E809" t="inlineStr">
        <is>
          <t>LILLA EDET</t>
        </is>
      </c>
      <c r="G809" t="n">
        <v>1</v>
      </c>
      <c r="H809" t="n">
        <v>0</v>
      </c>
      <c r="I809" t="n">
        <v>0</v>
      </c>
      <c r="J809" t="n">
        <v>0</v>
      </c>
      <c r="K809" t="n">
        <v>0</v>
      </c>
      <c r="L809" t="n">
        <v>0</v>
      </c>
      <c r="M809" t="n">
        <v>0</v>
      </c>
      <c r="N809" t="n">
        <v>0</v>
      </c>
      <c r="O809" t="n">
        <v>0</v>
      </c>
      <c r="P809" t="n">
        <v>0</v>
      </c>
      <c r="Q809" t="n">
        <v>0</v>
      </c>
      <c r="R809" s="2" t="inlineStr"/>
    </row>
    <row r="810" ht="15" customHeight="1">
      <c r="A810" t="inlineStr">
        <is>
          <t>A 53465-2018</t>
        </is>
      </c>
      <c r="B810" s="1" t="n">
        <v>43390</v>
      </c>
      <c r="C810" s="1" t="n">
        <v>45212</v>
      </c>
      <c r="D810" t="inlineStr">
        <is>
          <t>VÄSTRA GÖTALANDS LÄN</t>
        </is>
      </c>
      <c r="E810" t="inlineStr">
        <is>
          <t>ULRICEHAMN</t>
        </is>
      </c>
      <c r="G810" t="n">
        <v>1.8</v>
      </c>
      <c r="H810" t="n">
        <v>0</v>
      </c>
      <c r="I810" t="n">
        <v>0</v>
      </c>
      <c r="J810" t="n">
        <v>0</v>
      </c>
      <c r="K810" t="n">
        <v>0</v>
      </c>
      <c r="L810" t="n">
        <v>0</v>
      </c>
      <c r="M810" t="n">
        <v>0</v>
      </c>
      <c r="N810" t="n">
        <v>0</v>
      </c>
      <c r="O810" t="n">
        <v>0</v>
      </c>
      <c r="P810" t="n">
        <v>0</v>
      </c>
      <c r="Q810" t="n">
        <v>0</v>
      </c>
      <c r="R810" s="2" t="inlineStr"/>
    </row>
    <row r="811" ht="15" customHeight="1">
      <c r="A811" t="inlineStr">
        <is>
          <t>A 54519-2018</t>
        </is>
      </c>
      <c r="B811" s="1" t="n">
        <v>43390</v>
      </c>
      <c r="C811" s="1" t="n">
        <v>45212</v>
      </c>
      <c r="D811" t="inlineStr">
        <is>
          <t>VÄSTRA GÖTALANDS LÄN</t>
        </is>
      </c>
      <c r="E811" t="inlineStr">
        <is>
          <t>MELLERUD</t>
        </is>
      </c>
      <c r="G811" t="n">
        <v>4</v>
      </c>
      <c r="H811" t="n">
        <v>0</v>
      </c>
      <c r="I811" t="n">
        <v>0</v>
      </c>
      <c r="J811" t="n">
        <v>0</v>
      </c>
      <c r="K811" t="n">
        <v>0</v>
      </c>
      <c r="L811" t="n">
        <v>0</v>
      </c>
      <c r="M811" t="n">
        <v>0</v>
      </c>
      <c r="N811" t="n">
        <v>0</v>
      </c>
      <c r="O811" t="n">
        <v>0</v>
      </c>
      <c r="P811" t="n">
        <v>0</v>
      </c>
      <c r="Q811" t="n">
        <v>0</v>
      </c>
      <c r="R811" s="2" t="inlineStr"/>
    </row>
    <row r="812" ht="15" customHeight="1">
      <c r="A812" t="inlineStr">
        <is>
          <t>A 53648-2018</t>
        </is>
      </c>
      <c r="B812" s="1" t="n">
        <v>43391</v>
      </c>
      <c r="C812" s="1" t="n">
        <v>45212</v>
      </c>
      <c r="D812" t="inlineStr">
        <is>
          <t>VÄSTRA GÖTALANDS LÄN</t>
        </is>
      </c>
      <c r="E812" t="inlineStr">
        <is>
          <t>FÄRGELANDA</t>
        </is>
      </c>
      <c r="G812" t="n">
        <v>1</v>
      </c>
      <c r="H812" t="n">
        <v>0</v>
      </c>
      <c r="I812" t="n">
        <v>0</v>
      </c>
      <c r="J812" t="n">
        <v>0</v>
      </c>
      <c r="K812" t="n">
        <v>0</v>
      </c>
      <c r="L812" t="n">
        <v>0</v>
      </c>
      <c r="M812" t="n">
        <v>0</v>
      </c>
      <c r="N812" t="n">
        <v>0</v>
      </c>
      <c r="O812" t="n">
        <v>0</v>
      </c>
      <c r="P812" t="n">
        <v>0</v>
      </c>
      <c r="Q812" t="n">
        <v>0</v>
      </c>
      <c r="R812" s="2" t="inlineStr"/>
    </row>
    <row r="813" ht="15" customHeight="1">
      <c r="A813" t="inlineStr">
        <is>
          <t>A 53552-2018</t>
        </is>
      </c>
      <c r="B813" s="1" t="n">
        <v>43391</v>
      </c>
      <c r="C813" s="1" t="n">
        <v>45212</v>
      </c>
      <c r="D813" t="inlineStr">
        <is>
          <t>VÄSTRA GÖTALANDS LÄN</t>
        </is>
      </c>
      <c r="E813" t="inlineStr">
        <is>
          <t>LERUM</t>
        </is>
      </c>
      <c r="G813" t="n">
        <v>1.6</v>
      </c>
      <c r="H813" t="n">
        <v>0</v>
      </c>
      <c r="I813" t="n">
        <v>0</v>
      </c>
      <c r="J813" t="n">
        <v>0</v>
      </c>
      <c r="K813" t="n">
        <v>0</v>
      </c>
      <c r="L813" t="n">
        <v>0</v>
      </c>
      <c r="M813" t="n">
        <v>0</v>
      </c>
      <c r="N813" t="n">
        <v>0</v>
      </c>
      <c r="O813" t="n">
        <v>0</v>
      </c>
      <c r="P813" t="n">
        <v>0</v>
      </c>
      <c r="Q813" t="n">
        <v>0</v>
      </c>
      <c r="R813" s="2" t="inlineStr"/>
    </row>
    <row r="814" ht="15" customHeight="1">
      <c r="A814" t="inlineStr">
        <is>
          <t>A 53673-2018</t>
        </is>
      </c>
      <c r="B814" s="1" t="n">
        <v>43391</v>
      </c>
      <c r="C814" s="1" t="n">
        <v>45212</v>
      </c>
      <c r="D814" t="inlineStr">
        <is>
          <t>VÄSTRA GÖTALANDS LÄN</t>
        </is>
      </c>
      <c r="E814" t="inlineStr">
        <is>
          <t>MUNKEDAL</t>
        </is>
      </c>
      <c r="G814" t="n">
        <v>0.8</v>
      </c>
      <c r="H814" t="n">
        <v>0</v>
      </c>
      <c r="I814" t="n">
        <v>0</v>
      </c>
      <c r="J814" t="n">
        <v>0</v>
      </c>
      <c r="K814" t="n">
        <v>0</v>
      </c>
      <c r="L814" t="n">
        <v>0</v>
      </c>
      <c r="M814" t="n">
        <v>0</v>
      </c>
      <c r="N814" t="n">
        <v>0</v>
      </c>
      <c r="O814" t="n">
        <v>0</v>
      </c>
      <c r="P814" t="n">
        <v>0</v>
      </c>
      <c r="Q814" t="n">
        <v>0</v>
      </c>
      <c r="R814" s="2" t="inlineStr"/>
    </row>
    <row r="815" ht="15" customHeight="1">
      <c r="A815" t="inlineStr">
        <is>
          <t>A 53742-2018</t>
        </is>
      </c>
      <c r="B815" s="1" t="n">
        <v>43391</v>
      </c>
      <c r="C815" s="1" t="n">
        <v>45212</v>
      </c>
      <c r="D815" t="inlineStr">
        <is>
          <t>VÄSTRA GÖTALANDS LÄN</t>
        </is>
      </c>
      <c r="E815" t="inlineStr">
        <is>
          <t>MARK</t>
        </is>
      </c>
      <c r="G815" t="n">
        <v>3.4</v>
      </c>
      <c r="H815" t="n">
        <v>0</v>
      </c>
      <c r="I815" t="n">
        <v>0</v>
      </c>
      <c r="J815" t="n">
        <v>0</v>
      </c>
      <c r="K815" t="n">
        <v>0</v>
      </c>
      <c r="L815" t="n">
        <v>0</v>
      </c>
      <c r="M815" t="n">
        <v>0</v>
      </c>
      <c r="N815" t="n">
        <v>0</v>
      </c>
      <c r="O815" t="n">
        <v>0</v>
      </c>
      <c r="P815" t="n">
        <v>0</v>
      </c>
      <c r="Q815" t="n">
        <v>0</v>
      </c>
      <c r="R815" s="2" t="inlineStr"/>
    </row>
    <row r="816" ht="15" customHeight="1">
      <c r="A816" t="inlineStr">
        <is>
          <t>A 53554-2018</t>
        </is>
      </c>
      <c r="B816" s="1" t="n">
        <v>43391</v>
      </c>
      <c r="C816" s="1" t="n">
        <v>45212</v>
      </c>
      <c r="D816" t="inlineStr">
        <is>
          <t>VÄSTRA GÖTALANDS LÄN</t>
        </is>
      </c>
      <c r="E816" t="inlineStr">
        <is>
          <t>LERUM</t>
        </is>
      </c>
      <c r="G816" t="n">
        <v>4.3</v>
      </c>
      <c r="H816" t="n">
        <v>0</v>
      </c>
      <c r="I816" t="n">
        <v>0</v>
      </c>
      <c r="J816" t="n">
        <v>0</v>
      </c>
      <c r="K816" t="n">
        <v>0</v>
      </c>
      <c r="L816" t="n">
        <v>0</v>
      </c>
      <c r="M816" t="n">
        <v>0</v>
      </c>
      <c r="N816" t="n">
        <v>0</v>
      </c>
      <c r="O816" t="n">
        <v>0</v>
      </c>
      <c r="P816" t="n">
        <v>0</v>
      </c>
      <c r="Q816" t="n">
        <v>0</v>
      </c>
      <c r="R816" s="2" t="inlineStr"/>
    </row>
    <row r="817" ht="15" customHeight="1">
      <c r="A817" t="inlineStr">
        <is>
          <t>A 53743-2018</t>
        </is>
      </c>
      <c r="B817" s="1" t="n">
        <v>43391</v>
      </c>
      <c r="C817" s="1" t="n">
        <v>45212</v>
      </c>
      <c r="D817" t="inlineStr">
        <is>
          <t>VÄSTRA GÖTALANDS LÄN</t>
        </is>
      </c>
      <c r="E817" t="inlineStr">
        <is>
          <t>BORÅS</t>
        </is>
      </c>
      <c r="G817" t="n">
        <v>1.3</v>
      </c>
      <c r="H817" t="n">
        <v>0</v>
      </c>
      <c r="I817" t="n">
        <v>0</v>
      </c>
      <c r="J817" t="n">
        <v>0</v>
      </c>
      <c r="K817" t="n">
        <v>0</v>
      </c>
      <c r="L817" t="n">
        <v>0</v>
      </c>
      <c r="M817" t="n">
        <v>0</v>
      </c>
      <c r="N817" t="n">
        <v>0</v>
      </c>
      <c r="O817" t="n">
        <v>0</v>
      </c>
      <c r="P817" t="n">
        <v>0</v>
      </c>
      <c r="Q817" t="n">
        <v>0</v>
      </c>
      <c r="R817" s="2" t="inlineStr"/>
    </row>
    <row r="818" ht="15" customHeight="1">
      <c r="A818" t="inlineStr">
        <is>
          <t>A 55879-2018</t>
        </is>
      </c>
      <c r="B818" s="1" t="n">
        <v>43392</v>
      </c>
      <c r="C818" s="1" t="n">
        <v>45212</v>
      </c>
      <c r="D818" t="inlineStr">
        <is>
          <t>VÄSTRA GÖTALANDS LÄN</t>
        </is>
      </c>
      <c r="E818" t="inlineStr">
        <is>
          <t>VARA</t>
        </is>
      </c>
      <c r="G818" t="n">
        <v>1.5</v>
      </c>
      <c r="H818" t="n">
        <v>0</v>
      </c>
      <c r="I818" t="n">
        <v>0</v>
      </c>
      <c r="J818" t="n">
        <v>0</v>
      </c>
      <c r="K818" t="n">
        <v>0</v>
      </c>
      <c r="L818" t="n">
        <v>0</v>
      </c>
      <c r="M818" t="n">
        <v>0</v>
      </c>
      <c r="N818" t="n">
        <v>0</v>
      </c>
      <c r="O818" t="n">
        <v>0</v>
      </c>
      <c r="P818" t="n">
        <v>0</v>
      </c>
      <c r="Q818" t="n">
        <v>0</v>
      </c>
      <c r="R818" s="2" t="inlineStr"/>
    </row>
    <row r="819" ht="15" customHeight="1">
      <c r="A819" t="inlineStr">
        <is>
          <t>A 55891-2018</t>
        </is>
      </c>
      <c r="B819" s="1" t="n">
        <v>43392</v>
      </c>
      <c r="C819" s="1" t="n">
        <v>45212</v>
      </c>
      <c r="D819" t="inlineStr">
        <is>
          <t>VÄSTRA GÖTALANDS LÄN</t>
        </is>
      </c>
      <c r="E819" t="inlineStr">
        <is>
          <t>GULLSPÅNG</t>
        </is>
      </c>
      <c r="G819" t="n">
        <v>2.9</v>
      </c>
      <c r="H819" t="n">
        <v>0</v>
      </c>
      <c r="I819" t="n">
        <v>0</v>
      </c>
      <c r="J819" t="n">
        <v>0</v>
      </c>
      <c r="K819" t="n">
        <v>0</v>
      </c>
      <c r="L819" t="n">
        <v>0</v>
      </c>
      <c r="M819" t="n">
        <v>0</v>
      </c>
      <c r="N819" t="n">
        <v>0</v>
      </c>
      <c r="O819" t="n">
        <v>0</v>
      </c>
      <c r="P819" t="n">
        <v>0</v>
      </c>
      <c r="Q819" t="n">
        <v>0</v>
      </c>
      <c r="R819" s="2" t="inlineStr"/>
    </row>
    <row r="820" ht="15" customHeight="1">
      <c r="A820" t="inlineStr">
        <is>
          <t>A 55526-2018</t>
        </is>
      </c>
      <c r="B820" s="1" t="n">
        <v>43392</v>
      </c>
      <c r="C820" s="1" t="n">
        <v>45212</v>
      </c>
      <c r="D820" t="inlineStr">
        <is>
          <t>VÄSTRA GÖTALANDS LÄN</t>
        </is>
      </c>
      <c r="E820" t="inlineStr">
        <is>
          <t>FALKÖPING</t>
        </is>
      </c>
      <c r="G820" t="n">
        <v>1.2</v>
      </c>
      <c r="H820" t="n">
        <v>0</v>
      </c>
      <c r="I820" t="n">
        <v>0</v>
      </c>
      <c r="J820" t="n">
        <v>0</v>
      </c>
      <c r="K820" t="n">
        <v>0</v>
      </c>
      <c r="L820" t="n">
        <v>0</v>
      </c>
      <c r="M820" t="n">
        <v>0</v>
      </c>
      <c r="N820" t="n">
        <v>0</v>
      </c>
      <c r="O820" t="n">
        <v>0</v>
      </c>
      <c r="P820" t="n">
        <v>0</v>
      </c>
      <c r="Q820" t="n">
        <v>0</v>
      </c>
      <c r="R820" s="2" t="inlineStr"/>
    </row>
    <row r="821" ht="15" customHeight="1">
      <c r="A821" t="inlineStr">
        <is>
          <t>A 54238-2018</t>
        </is>
      </c>
      <c r="B821" s="1" t="n">
        <v>43393</v>
      </c>
      <c r="C821" s="1" t="n">
        <v>45212</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54239-2018</t>
        </is>
      </c>
      <c r="B822" s="1" t="n">
        <v>43393</v>
      </c>
      <c r="C822" s="1" t="n">
        <v>45212</v>
      </c>
      <c r="D822" t="inlineStr">
        <is>
          <t>VÄSTRA GÖTALANDS LÄN</t>
        </is>
      </c>
      <c r="E822" t="inlineStr">
        <is>
          <t>ULRICEHAMN</t>
        </is>
      </c>
      <c r="G822" t="n">
        <v>13.7</v>
      </c>
      <c r="H822" t="n">
        <v>0</v>
      </c>
      <c r="I822" t="n">
        <v>0</v>
      </c>
      <c r="J822" t="n">
        <v>0</v>
      </c>
      <c r="K822" t="n">
        <v>0</v>
      </c>
      <c r="L822" t="n">
        <v>0</v>
      </c>
      <c r="M822" t="n">
        <v>0</v>
      </c>
      <c r="N822" t="n">
        <v>0</v>
      </c>
      <c r="O822" t="n">
        <v>0</v>
      </c>
      <c r="P822" t="n">
        <v>0</v>
      </c>
      <c r="Q822" t="n">
        <v>0</v>
      </c>
      <c r="R822" s="2" t="inlineStr"/>
    </row>
    <row r="823" ht="15" customHeight="1">
      <c r="A823" t="inlineStr">
        <is>
          <t>A 54431-2018</t>
        </is>
      </c>
      <c r="B823" s="1" t="n">
        <v>43395</v>
      </c>
      <c r="C823" s="1" t="n">
        <v>45212</v>
      </c>
      <c r="D823" t="inlineStr">
        <is>
          <t>VÄSTRA GÖTALANDS LÄN</t>
        </is>
      </c>
      <c r="E823" t="inlineStr">
        <is>
          <t>ALINGSÅS</t>
        </is>
      </c>
      <c r="G823" t="n">
        <v>2.2</v>
      </c>
      <c r="H823" t="n">
        <v>0</v>
      </c>
      <c r="I823" t="n">
        <v>0</v>
      </c>
      <c r="J823" t="n">
        <v>0</v>
      </c>
      <c r="K823" t="n">
        <v>0</v>
      </c>
      <c r="L823" t="n">
        <v>0</v>
      </c>
      <c r="M823" t="n">
        <v>0</v>
      </c>
      <c r="N823" t="n">
        <v>0</v>
      </c>
      <c r="O823" t="n">
        <v>0</v>
      </c>
      <c r="P823" t="n">
        <v>0</v>
      </c>
      <c r="Q823" t="n">
        <v>0</v>
      </c>
      <c r="R823" s="2" t="inlineStr"/>
    </row>
    <row r="824" ht="15" customHeight="1">
      <c r="A824" t="inlineStr">
        <is>
          <t>A 54640-2018</t>
        </is>
      </c>
      <c r="B824" s="1" t="n">
        <v>43395</v>
      </c>
      <c r="C824" s="1" t="n">
        <v>45212</v>
      </c>
      <c r="D824" t="inlineStr">
        <is>
          <t>VÄSTRA GÖTALANDS LÄN</t>
        </is>
      </c>
      <c r="E824" t="inlineStr">
        <is>
          <t>MARK</t>
        </is>
      </c>
      <c r="G824" t="n">
        <v>5.3</v>
      </c>
      <c r="H824" t="n">
        <v>0</v>
      </c>
      <c r="I824" t="n">
        <v>0</v>
      </c>
      <c r="J824" t="n">
        <v>0</v>
      </c>
      <c r="K824" t="n">
        <v>0</v>
      </c>
      <c r="L824" t="n">
        <v>0</v>
      </c>
      <c r="M824" t="n">
        <v>0</v>
      </c>
      <c r="N824" t="n">
        <v>0</v>
      </c>
      <c r="O824" t="n">
        <v>0</v>
      </c>
      <c r="P824" t="n">
        <v>0</v>
      </c>
      <c r="Q824" t="n">
        <v>0</v>
      </c>
      <c r="R824" s="2" t="inlineStr"/>
    </row>
    <row r="825" ht="15" customHeight="1">
      <c r="A825" t="inlineStr">
        <is>
          <t>A 55905-2018</t>
        </is>
      </c>
      <c r="B825" s="1" t="n">
        <v>43395</v>
      </c>
      <c r="C825" s="1" t="n">
        <v>45212</v>
      </c>
      <c r="D825" t="inlineStr">
        <is>
          <t>VÄSTRA GÖTALANDS LÄN</t>
        </is>
      </c>
      <c r="E825" t="inlineStr">
        <is>
          <t>TÖREBODA</t>
        </is>
      </c>
      <c r="G825" t="n">
        <v>1.8</v>
      </c>
      <c r="H825" t="n">
        <v>0</v>
      </c>
      <c r="I825" t="n">
        <v>0</v>
      </c>
      <c r="J825" t="n">
        <v>0</v>
      </c>
      <c r="K825" t="n">
        <v>0</v>
      </c>
      <c r="L825" t="n">
        <v>0</v>
      </c>
      <c r="M825" t="n">
        <v>0</v>
      </c>
      <c r="N825" t="n">
        <v>0</v>
      </c>
      <c r="O825" t="n">
        <v>0</v>
      </c>
      <c r="P825" t="n">
        <v>0</v>
      </c>
      <c r="Q825" t="n">
        <v>0</v>
      </c>
      <c r="R825" s="2" t="inlineStr"/>
    </row>
    <row r="826" ht="15" customHeight="1">
      <c r="A826" t="inlineStr">
        <is>
          <t>A 56879-2018</t>
        </is>
      </c>
      <c r="B826" s="1" t="n">
        <v>43395</v>
      </c>
      <c r="C826" s="1" t="n">
        <v>45212</v>
      </c>
      <c r="D826" t="inlineStr">
        <is>
          <t>VÄSTRA GÖTALANDS LÄN</t>
        </is>
      </c>
      <c r="E826" t="inlineStr">
        <is>
          <t>SKARA</t>
        </is>
      </c>
      <c r="G826" t="n">
        <v>3</v>
      </c>
      <c r="H826" t="n">
        <v>0</v>
      </c>
      <c r="I826" t="n">
        <v>0</v>
      </c>
      <c r="J826" t="n">
        <v>0</v>
      </c>
      <c r="K826" t="n">
        <v>0</v>
      </c>
      <c r="L826" t="n">
        <v>0</v>
      </c>
      <c r="M826" t="n">
        <v>0</v>
      </c>
      <c r="N826" t="n">
        <v>0</v>
      </c>
      <c r="O826" t="n">
        <v>0</v>
      </c>
      <c r="P826" t="n">
        <v>0</v>
      </c>
      <c r="Q826" t="n">
        <v>0</v>
      </c>
      <c r="R826" s="2" t="inlineStr"/>
    </row>
    <row r="827" ht="15" customHeight="1">
      <c r="A827" t="inlineStr">
        <is>
          <t>A 55917-2018</t>
        </is>
      </c>
      <c r="B827" s="1" t="n">
        <v>43395</v>
      </c>
      <c r="C827" s="1" t="n">
        <v>45212</v>
      </c>
      <c r="D827" t="inlineStr">
        <is>
          <t>VÄSTRA GÖTALANDS LÄN</t>
        </is>
      </c>
      <c r="E827" t="inlineStr">
        <is>
          <t>TÖREBODA</t>
        </is>
      </c>
      <c r="G827" t="n">
        <v>3.2</v>
      </c>
      <c r="H827" t="n">
        <v>0</v>
      </c>
      <c r="I827" t="n">
        <v>0</v>
      </c>
      <c r="J827" t="n">
        <v>0</v>
      </c>
      <c r="K827" t="n">
        <v>0</v>
      </c>
      <c r="L827" t="n">
        <v>0</v>
      </c>
      <c r="M827" t="n">
        <v>0</v>
      </c>
      <c r="N827" t="n">
        <v>0</v>
      </c>
      <c r="O827" t="n">
        <v>0</v>
      </c>
      <c r="P827" t="n">
        <v>0</v>
      </c>
      <c r="Q827" t="n">
        <v>0</v>
      </c>
      <c r="R827" s="2" t="inlineStr"/>
    </row>
    <row r="828" ht="15" customHeight="1">
      <c r="A828" t="inlineStr">
        <is>
          <t>A 54471-2018</t>
        </is>
      </c>
      <c r="B828" s="1" t="n">
        <v>43395</v>
      </c>
      <c r="C828" s="1" t="n">
        <v>45212</v>
      </c>
      <c r="D828" t="inlineStr">
        <is>
          <t>VÄSTRA GÖTALANDS LÄN</t>
        </is>
      </c>
      <c r="E828" t="inlineStr">
        <is>
          <t>ULRICEHAMN</t>
        </is>
      </c>
      <c r="G828" t="n">
        <v>6</v>
      </c>
      <c r="H828" t="n">
        <v>0</v>
      </c>
      <c r="I828" t="n">
        <v>0</v>
      </c>
      <c r="J828" t="n">
        <v>0</v>
      </c>
      <c r="K828" t="n">
        <v>0</v>
      </c>
      <c r="L828" t="n">
        <v>0</v>
      </c>
      <c r="M828" t="n">
        <v>0</v>
      </c>
      <c r="N828" t="n">
        <v>0</v>
      </c>
      <c r="O828" t="n">
        <v>0</v>
      </c>
      <c r="P828" t="n">
        <v>0</v>
      </c>
      <c r="Q828" t="n">
        <v>0</v>
      </c>
      <c r="R828" s="2" t="inlineStr"/>
    </row>
    <row r="829" ht="15" customHeight="1">
      <c r="A829" t="inlineStr">
        <is>
          <t>A 55936-2018</t>
        </is>
      </c>
      <c r="B829" s="1" t="n">
        <v>43395</v>
      </c>
      <c r="C829" s="1" t="n">
        <v>45212</v>
      </c>
      <c r="D829" t="inlineStr">
        <is>
          <t>VÄSTRA GÖTALANDS LÄN</t>
        </is>
      </c>
      <c r="E829" t="inlineStr">
        <is>
          <t>TÖREBODA</t>
        </is>
      </c>
      <c r="G829" t="n">
        <v>11.5</v>
      </c>
      <c r="H829" t="n">
        <v>0</v>
      </c>
      <c r="I829" t="n">
        <v>0</v>
      </c>
      <c r="J829" t="n">
        <v>0</v>
      </c>
      <c r="K829" t="n">
        <v>0</v>
      </c>
      <c r="L829" t="n">
        <v>0</v>
      </c>
      <c r="M829" t="n">
        <v>0</v>
      </c>
      <c r="N829" t="n">
        <v>0</v>
      </c>
      <c r="O829" t="n">
        <v>0</v>
      </c>
      <c r="P829" t="n">
        <v>0</v>
      </c>
      <c r="Q829" t="n">
        <v>0</v>
      </c>
      <c r="R829" s="2" t="inlineStr"/>
    </row>
    <row r="830" ht="15" customHeight="1">
      <c r="A830" t="inlineStr">
        <is>
          <t>A 55191-2018</t>
        </is>
      </c>
      <c r="B830" s="1" t="n">
        <v>43396</v>
      </c>
      <c r="C830" s="1" t="n">
        <v>45212</v>
      </c>
      <c r="D830" t="inlineStr">
        <is>
          <t>VÄSTRA GÖTALANDS LÄN</t>
        </is>
      </c>
      <c r="E830" t="inlineStr">
        <is>
          <t>DALS-ED</t>
        </is>
      </c>
      <c r="G830" t="n">
        <v>2.8</v>
      </c>
      <c r="H830" t="n">
        <v>0</v>
      </c>
      <c r="I830" t="n">
        <v>0</v>
      </c>
      <c r="J830" t="n">
        <v>0</v>
      </c>
      <c r="K830" t="n">
        <v>0</v>
      </c>
      <c r="L830" t="n">
        <v>0</v>
      </c>
      <c r="M830" t="n">
        <v>0</v>
      </c>
      <c r="N830" t="n">
        <v>0</v>
      </c>
      <c r="O830" t="n">
        <v>0</v>
      </c>
      <c r="P830" t="n">
        <v>0</v>
      </c>
      <c r="Q830" t="n">
        <v>0</v>
      </c>
      <c r="R830" s="2" t="inlineStr"/>
    </row>
    <row r="831" ht="15" customHeight="1">
      <c r="A831" t="inlineStr">
        <is>
          <t>A 57139-2018</t>
        </is>
      </c>
      <c r="B831" s="1" t="n">
        <v>43396</v>
      </c>
      <c r="C831" s="1" t="n">
        <v>45212</v>
      </c>
      <c r="D831" t="inlineStr">
        <is>
          <t>VÄSTRA GÖTALANDS LÄN</t>
        </is>
      </c>
      <c r="E831" t="inlineStr">
        <is>
          <t>HJO</t>
        </is>
      </c>
      <c r="G831" t="n">
        <v>1.1</v>
      </c>
      <c r="H831" t="n">
        <v>0</v>
      </c>
      <c r="I831" t="n">
        <v>0</v>
      </c>
      <c r="J831" t="n">
        <v>0</v>
      </c>
      <c r="K831" t="n">
        <v>0</v>
      </c>
      <c r="L831" t="n">
        <v>0</v>
      </c>
      <c r="M831" t="n">
        <v>0</v>
      </c>
      <c r="N831" t="n">
        <v>0</v>
      </c>
      <c r="O831" t="n">
        <v>0</v>
      </c>
      <c r="P831" t="n">
        <v>0</v>
      </c>
      <c r="Q831" t="n">
        <v>0</v>
      </c>
      <c r="R831" s="2" t="inlineStr"/>
    </row>
    <row r="832" ht="15" customHeight="1">
      <c r="A832" t="inlineStr">
        <is>
          <t>A 54846-2018</t>
        </is>
      </c>
      <c r="B832" s="1" t="n">
        <v>43396</v>
      </c>
      <c r="C832" s="1" t="n">
        <v>45212</v>
      </c>
      <c r="D832" t="inlineStr">
        <is>
          <t>VÄSTRA GÖTALANDS LÄN</t>
        </is>
      </c>
      <c r="E832" t="inlineStr">
        <is>
          <t>BORÅS</t>
        </is>
      </c>
      <c r="G832" t="n">
        <v>3.9</v>
      </c>
      <c r="H832" t="n">
        <v>0</v>
      </c>
      <c r="I832" t="n">
        <v>0</v>
      </c>
      <c r="J832" t="n">
        <v>0</v>
      </c>
      <c r="K832" t="n">
        <v>0</v>
      </c>
      <c r="L832" t="n">
        <v>0</v>
      </c>
      <c r="M832" t="n">
        <v>0</v>
      </c>
      <c r="N832" t="n">
        <v>0</v>
      </c>
      <c r="O832" t="n">
        <v>0</v>
      </c>
      <c r="P832" t="n">
        <v>0</v>
      </c>
      <c r="Q832" t="n">
        <v>0</v>
      </c>
      <c r="R832" s="2" t="inlineStr"/>
    </row>
    <row r="833" ht="15" customHeight="1">
      <c r="A833" t="inlineStr">
        <is>
          <t>A 55045-2018</t>
        </is>
      </c>
      <c r="B833" s="1" t="n">
        <v>43396</v>
      </c>
      <c r="C833" s="1" t="n">
        <v>45212</v>
      </c>
      <c r="D833" t="inlineStr">
        <is>
          <t>VÄSTRA GÖTALANDS LÄN</t>
        </is>
      </c>
      <c r="E833" t="inlineStr">
        <is>
          <t>TROLLHÄTTAN</t>
        </is>
      </c>
      <c r="G833" t="n">
        <v>3.2</v>
      </c>
      <c r="H833" t="n">
        <v>0</v>
      </c>
      <c r="I833" t="n">
        <v>0</v>
      </c>
      <c r="J833" t="n">
        <v>0</v>
      </c>
      <c r="K833" t="n">
        <v>0</v>
      </c>
      <c r="L833" t="n">
        <v>0</v>
      </c>
      <c r="M833" t="n">
        <v>0</v>
      </c>
      <c r="N833" t="n">
        <v>0</v>
      </c>
      <c r="O833" t="n">
        <v>0</v>
      </c>
      <c r="P833" t="n">
        <v>0</v>
      </c>
      <c r="Q833" t="n">
        <v>0</v>
      </c>
      <c r="R833" s="2" t="inlineStr"/>
    </row>
    <row r="834" ht="15" customHeight="1">
      <c r="A834" t="inlineStr">
        <is>
          <t>A 55074-2018</t>
        </is>
      </c>
      <c r="B834" s="1" t="n">
        <v>43396</v>
      </c>
      <c r="C834" s="1" t="n">
        <v>45212</v>
      </c>
      <c r="D834" t="inlineStr">
        <is>
          <t>VÄSTRA GÖTALANDS LÄN</t>
        </is>
      </c>
      <c r="E834" t="inlineStr">
        <is>
          <t>UDDEVALLA</t>
        </is>
      </c>
      <c r="G834" t="n">
        <v>3.2</v>
      </c>
      <c r="H834" t="n">
        <v>0</v>
      </c>
      <c r="I834" t="n">
        <v>0</v>
      </c>
      <c r="J834" t="n">
        <v>0</v>
      </c>
      <c r="K834" t="n">
        <v>0</v>
      </c>
      <c r="L834" t="n">
        <v>0</v>
      </c>
      <c r="M834" t="n">
        <v>0</v>
      </c>
      <c r="N834" t="n">
        <v>0</v>
      </c>
      <c r="O834" t="n">
        <v>0</v>
      </c>
      <c r="P834" t="n">
        <v>0</v>
      </c>
      <c r="Q834" t="n">
        <v>0</v>
      </c>
      <c r="R834" s="2" t="inlineStr"/>
    </row>
    <row r="835" ht="15" customHeight="1">
      <c r="A835" t="inlineStr">
        <is>
          <t>A 54896-2018</t>
        </is>
      </c>
      <c r="B835" s="1" t="n">
        <v>43396</v>
      </c>
      <c r="C835" s="1" t="n">
        <v>45212</v>
      </c>
      <c r="D835" t="inlineStr">
        <is>
          <t>VÄSTRA GÖTALANDS LÄN</t>
        </is>
      </c>
      <c r="E835" t="inlineStr">
        <is>
          <t>MUNKEDAL</t>
        </is>
      </c>
      <c r="G835" t="n">
        <v>2.7</v>
      </c>
      <c r="H835" t="n">
        <v>0</v>
      </c>
      <c r="I835" t="n">
        <v>0</v>
      </c>
      <c r="J835" t="n">
        <v>0</v>
      </c>
      <c r="K835" t="n">
        <v>0</v>
      </c>
      <c r="L835" t="n">
        <v>0</v>
      </c>
      <c r="M835" t="n">
        <v>0</v>
      </c>
      <c r="N835" t="n">
        <v>0</v>
      </c>
      <c r="O835" t="n">
        <v>0</v>
      </c>
      <c r="P835" t="n">
        <v>0</v>
      </c>
      <c r="Q835" t="n">
        <v>0</v>
      </c>
      <c r="R835" s="2" t="inlineStr"/>
    </row>
    <row r="836" ht="15" customHeight="1">
      <c r="A836" t="inlineStr">
        <is>
          <t>A 55071-2018</t>
        </is>
      </c>
      <c r="B836" s="1" t="n">
        <v>43396</v>
      </c>
      <c r="C836" s="1" t="n">
        <v>45212</v>
      </c>
      <c r="D836" t="inlineStr">
        <is>
          <t>VÄSTRA GÖTALANDS LÄN</t>
        </is>
      </c>
      <c r="E836" t="inlineStr">
        <is>
          <t>UDDEVALLA</t>
        </is>
      </c>
      <c r="G836" t="n">
        <v>1.8</v>
      </c>
      <c r="H836" t="n">
        <v>0</v>
      </c>
      <c r="I836" t="n">
        <v>0</v>
      </c>
      <c r="J836" t="n">
        <v>0</v>
      </c>
      <c r="K836" t="n">
        <v>0</v>
      </c>
      <c r="L836" t="n">
        <v>0</v>
      </c>
      <c r="M836" t="n">
        <v>0</v>
      </c>
      <c r="N836" t="n">
        <v>0</v>
      </c>
      <c r="O836" t="n">
        <v>0</v>
      </c>
      <c r="P836" t="n">
        <v>0</v>
      </c>
      <c r="Q836" t="n">
        <v>0</v>
      </c>
      <c r="R836" s="2" t="inlineStr"/>
    </row>
    <row r="837" ht="15" customHeight="1">
      <c r="A837" t="inlineStr">
        <is>
          <t>A 57393-2018</t>
        </is>
      </c>
      <c r="B837" s="1" t="n">
        <v>43396</v>
      </c>
      <c r="C837" s="1" t="n">
        <v>45212</v>
      </c>
      <c r="D837" t="inlineStr">
        <is>
          <t>VÄSTRA GÖTALANDS LÄN</t>
        </is>
      </c>
      <c r="E837" t="inlineStr">
        <is>
          <t>TANUM</t>
        </is>
      </c>
      <c r="G837" t="n">
        <v>0.5</v>
      </c>
      <c r="H837" t="n">
        <v>0</v>
      </c>
      <c r="I837" t="n">
        <v>0</v>
      </c>
      <c r="J837" t="n">
        <v>0</v>
      </c>
      <c r="K837" t="n">
        <v>0</v>
      </c>
      <c r="L837" t="n">
        <v>0</v>
      </c>
      <c r="M837" t="n">
        <v>0</v>
      </c>
      <c r="N837" t="n">
        <v>0</v>
      </c>
      <c r="O837" t="n">
        <v>0</v>
      </c>
      <c r="P837" t="n">
        <v>0</v>
      </c>
      <c r="Q837" t="n">
        <v>0</v>
      </c>
      <c r="R837" s="2" t="inlineStr"/>
    </row>
    <row r="838" ht="15" customHeight="1">
      <c r="A838" t="inlineStr">
        <is>
          <t>A 55443-2018</t>
        </is>
      </c>
      <c r="B838" s="1" t="n">
        <v>43397</v>
      </c>
      <c r="C838" s="1" t="n">
        <v>45212</v>
      </c>
      <c r="D838" t="inlineStr">
        <is>
          <t>VÄSTRA GÖTALANDS LÄN</t>
        </is>
      </c>
      <c r="E838" t="inlineStr">
        <is>
          <t>KUNGÄLV</t>
        </is>
      </c>
      <c r="G838" t="n">
        <v>12.8</v>
      </c>
      <c r="H838" t="n">
        <v>0</v>
      </c>
      <c r="I838" t="n">
        <v>0</v>
      </c>
      <c r="J838" t="n">
        <v>0</v>
      </c>
      <c r="K838" t="n">
        <v>0</v>
      </c>
      <c r="L838" t="n">
        <v>0</v>
      </c>
      <c r="M838" t="n">
        <v>0</v>
      </c>
      <c r="N838" t="n">
        <v>0</v>
      </c>
      <c r="O838" t="n">
        <v>0</v>
      </c>
      <c r="P838" t="n">
        <v>0</v>
      </c>
      <c r="Q838" t="n">
        <v>0</v>
      </c>
      <c r="R838" s="2" t="inlineStr"/>
    </row>
    <row r="839" ht="15" customHeight="1">
      <c r="A839" t="inlineStr">
        <is>
          <t>A 57376-2018</t>
        </is>
      </c>
      <c r="B839" s="1" t="n">
        <v>43397</v>
      </c>
      <c r="C839" s="1" t="n">
        <v>45212</v>
      </c>
      <c r="D839" t="inlineStr">
        <is>
          <t>VÄSTRA GÖTALANDS LÄN</t>
        </is>
      </c>
      <c r="E839" t="inlineStr">
        <is>
          <t>VÄNERSBORG</t>
        </is>
      </c>
      <c r="G839" t="n">
        <v>4.4</v>
      </c>
      <c r="H839" t="n">
        <v>0</v>
      </c>
      <c r="I839" t="n">
        <v>0</v>
      </c>
      <c r="J839" t="n">
        <v>0</v>
      </c>
      <c r="K839" t="n">
        <v>0</v>
      </c>
      <c r="L839" t="n">
        <v>0</v>
      </c>
      <c r="M839" t="n">
        <v>0</v>
      </c>
      <c r="N839" t="n">
        <v>0</v>
      </c>
      <c r="O839" t="n">
        <v>0</v>
      </c>
      <c r="P839" t="n">
        <v>0</v>
      </c>
      <c r="Q839" t="n">
        <v>0</v>
      </c>
      <c r="R839" s="2" t="inlineStr"/>
    </row>
    <row r="840" ht="15" customHeight="1">
      <c r="A840" t="inlineStr">
        <is>
          <t>A 57542-2018</t>
        </is>
      </c>
      <c r="B840" s="1" t="n">
        <v>43397</v>
      </c>
      <c r="C840" s="1" t="n">
        <v>45212</v>
      </c>
      <c r="D840" t="inlineStr">
        <is>
          <t>VÄSTRA GÖTALANDS LÄN</t>
        </is>
      </c>
      <c r="E840" t="inlineStr">
        <is>
          <t>TROLLHÄTTAN</t>
        </is>
      </c>
      <c r="G840" t="n">
        <v>0.5</v>
      </c>
      <c r="H840" t="n">
        <v>0</v>
      </c>
      <c r="I840" t="n">
        <v>0</v>
      </c>
      <c r="J840" t="n">
        <v>0</v>
      </c>
      <c r="K840" t="n">
        <v>0</v>
      </c>
      <c r="L840" t="n">
        <v>0</v>
      </c>
      <c r="M840" t="n">
        <v>0</v>
      </c>
      <c r="N840" t="n">
        <v>0</v>
      </c>
      <c r="O840" t="n">
        <v>0</v>
      </c>
      <c r="P840" t="n">
        <v>0</v>
      </c>
      <c r="Q840" t="n">
        <v>0</v>
      </c>
      <c r="R840" s="2" t="inlineStr"/>
    </row>
    <row r="841" ht="15" customHeight="1">
      <c r="A841" t="inlineStr">
        <is>
          <t>A 55450-2018</t>
        </is>
      </c>
      <c r="B841" s="1" t="n">
        <v>43397</v>
      </c>
      <c r="C841" s="1" t="n">
        <v>45212</v>
      </c>
      <c r="D841" t="inlineStr">
        <is>
          <t>VÄSTRA GÖTALANDS LÄN</t>
        </is>
      </c>
      <c r="E841" t="inlineStr">
        <is>
          <t>KUNGÄLV</t>
        </is>
      </c>
      <c r="G841" t="n">
        <v>22.5</v>
      </c>
      <c r="H841" t="n">
        <v>0</v>
      </c>
      <c r="I841" t="n">
        <v>0</v>
      </c>
      <c r="J841" t="n">
        <v>0</v>
      </c>
      <c r="K841" t="n">
        <v>0</v>
      </c>
      <c r="L841" t="n">
        <v>0</v>
      </c>
      <c r="M841" t="n">
        <v>0</v>
      </c>
      <c r="N841" t="n">
        <v>0</v>
      </c>
      <c r="O841" t="n">
        <v>0</v>
      </c>
      <c r="P841" t="n">
        <v>0</v>
      </c>
      <c r="Q841" t="n">
        <v>0</v>
      </c>
      <c r="R841" s="2" t="inlineStr"/>
    </row>
    <row r="842" ht="15" customHeight="1">
      <c r="A842" t="inlineStr">
        <is>
          <t>A 55498-2018</t>
        </is>
      </c>
      <c r="B842" s="1" t="n">
        <v>43397</v>
      </c>
      <c r="C842" s="1" t="n">
        <v>45212</v>
      </c>
      <c r="D842" t="inlineStr">
        <is>
          <t>VÄSTRA GÖTALANDS LÄN</t>
        </is>
      </c>
      <c r="E842" t="inlineStr">
        <is>
          <t>VÅRGÅRDA</t>
        </is>
      </c>
      <c r="G842" t="n">
        <v>2.1</v>
      </c>
      <c r="H842" t="n">
        <v>0</v>
      </c>
      <c r="I842" t="n">
        <v>0</v>
      </c>
      <c r="J842" t="n">
        <v>0</v>
      </c>
      <c r="K842" t="n">
        <v>0</v>
      </c>
      <c r="L842" t="n">
        <v>0</v>
      </c>
      <c r="M842" t="n">
        <v>0</v>
      </c>
      <c r="N842" t="n">
        <v>0</v>
      </c>
      <c r="O842" t="n">
        <v>0</v>
      </c>
      <c r="P842" t="n">
        <v>0</v>
      </c>
      <c r="Q842" t="n">
        <v>0</v>
      </c>
      <c r="R842" s="2" t="inlineStr"/>
    </row>
    <row r="843" ht="15" customHeight="1">
      <c r="A843" t="inlineStr">
        <is>
          <t>A 57543-2018</t>
        </is>
      </c>
      <c r="B843" s="1" t="n">
        <v>43397</v>
      </c>
      <c r="C843" s="1" t="n">
        <v>45212</v>
      </c>
      <c r="D843" t="inlineStr">
        <is>
          <t>VÄSTRA GÖTALANDS LÄN</t>
        </is>
      </c>
      <c r="E843" t="inlineStr">
        <is>
          <t>TROLLHÄTTAN</t>
        </is>
      </c>
      <c r="G843" t="n">
        <v>0.5</v>
      </c>
      <c r="H843" t="n">
        <v>0</v>
      </c>
      <c r="I843" t="n">
        <v>0</v>
      </c>
      <c r="J843" t="n">
        <v>0</v>
      </c>
      <c r="K843" t="n">
        <v>0</v>
      </c>
      <c r="L843" t="n">
        <v>0</v>
      </c>
      <c r="M843" t="n">
        <v>0</v>
      </c>
      <c r="N843" t="n">
        <v>0</v>
      </c>
      <c r="O843" t="n">
        <v>0</v>
      </c>
      <c r="P843" t="n">
        <v>0</v>
      </c>
      <c r="Q843" t="n">
        <v>0</v>
      </c>
      <c r="R843" s="2" t="inlineStr"/>
    </row>
    <row r="844" ht="15" customHeight="1">
      <c r="A844" t="inlineStr">
        <is>
          <t>A 58074-2018</t>
        </is>
      </c>
      <c r="B844" s="1" t="n">
        <v>43397</v>
      </c>
      <c r="C844" s="1" t="n">
        <v>45212</v>
      </c>
      <c r="D844" t="inlineStr">
        <is>
          <t>VÄSTRA GÖTALANDS LÄN</t>
        </is>
      </c>
      <c r="E844" t="inlineStr">
        <is>
          <t>TANUM</t>
        </is>
      </c>
      <c r="G844" t="n">
        <v>4.4</v>
      </c>
      <c r="H844" t="n">
        <v>0</v>
      </c>
      <c r="I844" t="n">
        <v>0</v>
      </c>
      <c r="J844" t="n">
        <v>0</v>
      </c>
      <c r="K844" t="n">
        <v>0</v>
      </c>
      <c r="L844" t="n">
        <v>0</v>
      </c>
      <c r="M844" t="n">
        <v>0</v>
      </c>
      <c r="N844" t="n">
        <v>0</v>
      </c>
      <c r="O844" t="n">
        <v>0</v>
      </c>
      <c r="P844" t="n">
        <v>0</v>
      </c>
      <c r="Q844" t="n">
        <v>0</v>
      </c>
      <c r="R844" s="2" t="inlineStr"/>
    </row>
    <row r="845" ht="15" customHeight="1">
      <c r="A845" t="inlineStr">
        <is>
          <t>A 55389-2018</t>
        </is>
      </c>
      <c r="B845" s="1" t="n">
        <v>43397</v>
      </c>
      <c r="C845" s="1" t="n">
        <v>45212</v>
      </c>
      <c r="D845" t="inlineStr">
        <is>
          <t>VÄSTRA GÖTALANDS LÄN</t>
        </is>
      </c>
      <c r="E845" t="inlineStr">
        <is>
          <t>ORUST</t>
        </is>
      </c>
      <c r="G845" t="n">
        <v>1.6</v>
      </c>
      <c r="H845" t="n">
        <v>0</v>
      </c>
      <c r="I845" t="n">
        <v>0</v>
      </c>
      <c r="J845" t="n">
        <v>0</v>
      </c>
      <c r="K845" t="n">
        <v>0</v>
      </c>
      <c r="L845" t="n">
        <v>0</v>
      </c>
      <c r="M845" t="n">
        <v>0</v>
      </c>
      <c r="N845" t="n">
        <v>0</v>
      </c>
      <c r="O845" t="n">
        <v>0</v>
      </c>
      <c r="P845" t="n">
        <v>0</v>
      </c>
      <c r="Q845" t="n">
        <v>0</v>
      </c>
      <c r="R845" s="2" t="inlineStr"/>
    </row>
    <row r="846" ht="15" customHeight="1">
      <c r="A846" t="inlineStr">
        <is>
          <t>A 57368-2018</t>
        </is>
      </c>
      <c r="B846" s="1" t="n">
        <v>43397</v>
      </c>
      <c r="C846" s="1" t="n">
        <v>45212</v>
      </c>
      <c r="D846" t="inlineStr">
        <is>
          <t>VÄSTRA GÖTALANDS LÄN</t>
        </is>
      </c>
      <c r="E846" t="inlineStr">
        <is>
          <t>VÄNERSBORG</t>
        </is>
      </c>
      <c r="G846" t="n">
        <v>3</v>
      </c>
      <c r="H846" t="n">
        <v>0</v>
      </c>
      <c r="I846" t="n">
        <v>0</v>
      </c>
      <c r="J846" t="n">
        <v>0</v>
      </c>
      <c r="K846" t="n">
        <v>0</v>
      </c>
      <c r="L846" t="n">
        <v>0</v>
      </c>
      <c r="M846" t="n">
        <v>0</v>
      </c>
      <c r="N846" t="n">
        <v>0</v>
      </c>
      <c r="O846" t="n">
        <v>0</v>
      </c>
      <c r="P846" t="n">
        <v>0</v>
      </c>
      <c r="Q846" t="n">
        <v>0</v>
      </c>
      <c r="R846" s="2" t="inlineStr"/>
    </row>
    <row r="847" ht="15" customHeight="1">
      <c r="A847" t="inlineStr">
        <is>
          <t>A 57888-2018</t>
        </is>
      </c>
      <c r="B847" s="1" t="n">
        <v>43398</v>
      </c>
      <c r="C847" s="1" t="n">
        <v>45212</v>
      </c>
      <c r="D847" t="inlineStr">
        <is>
          <t>VÄSTRA GÖTALANDS LÄN</t>
        </is>
      </c>
      <c r="E847" t="inlineStr">
        <is>
          <t>TÖREBODA</t>
        </is>
      </c>
      <c r="G847" t="n">
        <v>4</v>
      </c>
      <c r="H847" t="n">
        <v>0</v>
      </c>
      <c r="I847" t="n">
        <v>0</v>
      </c>
      <c r="J847" t="n">
        <v>0</v>
      </c>
      <c r="K847" t="n">
        <v>0</v>
      </c>
      <c r="L847" t="n">
        <v>0</v>
      </c>
      <c r="M847" t="n">
        <v>0</v>
      </c>
      <c r="N847" t="n">
        <v>0</v>
      </c>
      <c r="O847" t="n">
        <v>0</v>
      </c>
      <c r="P847" t="n">
        <v>0</v>
      </c>
      <c r="Q847" t="n">
        <v>0</v>
      </c>
      <c r="R847" s="2" t="inlineStr"/>
    </row>
    <row r="848" ht="15" customHeight="1">
      <c r="A848" t="inlineStr">
        <is>
          <t>A 55964-2018</t>
        </is>
      </c>
      <c r="B848" s="1" t="n">
        <v>43398</v>
      </c>
      <c r="C848" s="1" t="n">
        <v>45212</v>
      </c>
      <c r="D848" t="inlineStr">
        <is>
          <t>VÄSTRA GÖTALANDS LÄN</t>
        </is>
      </c>
      <c r="E848" t="inlineStr">
        <is>
          <t>ULRICEHAMN</t>
        </is>
      </c>
      <c r="G848" t="n">
        <v>1.9</v>
      </c>
      <c r="H848" t="n">
        <v>0</v>
      </c>
      <c r="I848" t="n">
        <v>0</v>
      </c>
      <c r="J848" t="n">
        <v>0</v>
      </c>
      <c r="K848" t="n">
        <v>0</v>
      </c>
      <c r="L848" t="n">
        <v>0</v>
      </c>
      <c r="M848" t="n">
        <v>0</v>
      </c>
      <c r="N848" t="n">
        <v>0</v>
      </c>
      <c r="O848" t="n">
        <v>0</v>
      </c>
      <c r="P848" t="n">
        <v>0</v>
      </c>
      <c r="Q848" t="n">
        <v>0</v>
      </c>
      <c r="R848" s="2" t="inlineStr"/>
    </row>
    <row r="849" ht="15" customHeight="1">
      <c r="A849" t="inlineStr">
        <is>
          <t>A 56217-2018</t>
        </is>
      </c>
      <c r="B849" s="1" t="n">
        <v>43398</v>
      </c>
      <c r="C849" s="1" t="n">
        <v>45212</v>
      </c>
      <c r="D849" t="inlineStr">
        <is>
          <t>VÄSTRA GÖTALANDS LÄN</t>
        </is>
      </c>
      <c r="E849" t="inlineStr">
        <is>
          <t>SKÖVDE</t>
        </is>
      </c>
      <c r="G849" t="n">
        <v>2.3</v>
      </c>
      <c r="H849" t="n">
        <v>0</v>
      </c>
      <c r="I849" t="n">
        <v>0</v>
      </c>
      <c r="J849" t="n">
        <v>0</v>
      </c>
      <c r="K849" t="n">
        <v>0</v>
      </c>
      <c r="L849" t="n">
        <v>0</v>
      </c>
      <c r="M849" t="n">
        <v>0</v>
      </c>
      <c r="N849" t="n">
        <v>0</v>
      </c>
      <c r="O849" t="n">
        <v>0</v>
      </c>
      <c r="P849" t="n">
        <v>0</v>
      </c>
      <c r="Q849" t="n">
        <v>0</v>
      </c>
      <c r="R849" s="2" t="inlineStr"/>
    </row>
    <row r="850" ht="15" customHeight="1">
      <c r="A850" t="inlineStr">
        <is>
          <t>A 55997-2018</t>
        </is>
      </c>
      <c r="B850" s="1" t="n">
        <v>43398</v>
      </c>
      <c r="C850" s="1" t="n">
        <v>45212</v>
      </c>
      <c r="D850" t="inlineStr">
        <is>
          <t>VÄSTRA GÖTALANDS LÄN</t>
        </is>
      </c>
      <c r="E850" t="inlineStr">
        <is>
          <t>BORÅS</t>
        </is>
      </c>
      <c r="G850" t="n">
        <v>4.6</v>
      </c>
      <c r="H850" t="n">
        <v>0</v>
      </c>
      <c r="I850" t="n">
        <v>0</v>
      </c>
      <c r="J850" t="n">
        <v>0</v>
      </c>
      <c r="K850" t="n">
        <v>0</v>
      </c>
      <c r="L850" t="n">
        <v>0</v>
      </c>
      <c r="M850" t="n">
        <v>0</v>
      </c>
      <c r="N850" t="n">
        <v>0</v>
      </c>
      <c r="O850" t="n">
        <v>0</v>
      </c>
      <c r="P850" t="n">
        <v>0</v>
      </c>
      <c r="Q850" t="n">
        <v>0</v>
      </c>
      <c r="R850" s="2" t="inlineStr"/>
    </row>
    <row r="851" ht="15" customHeight="1">
      <c r="A851" t="inlineStr">
        <is>
          <t>A 56124-2018</t>
        </is>
      </c>
      <c r="B851" s="1" t="n">
        <v>43398</v>
      </c>
      <c r="C851" s="1" t="n">
        <v>45212</v>
      </c>
      <c r="D851" t="inlineStr">
        <is>
          <t>VÄSTRA GÖTALANDS LÄN</t>
        </is>
      </c>
      <c r="E851" t="inlineStr">
        <is>
          <t>SVENLJUNGA</t>
        </is>
      </c>
      <c r="G851" t="n">
        <v>1.1</v>
      </c>
      <c r="H851" t="n">
        <v>0</v>
      </c>
      <c r="I851" t="n">
        <v>0</v>
      </c>
      <c r="J851" t="n">
        <v>0</v>
      </c>
      <c r="K851" t="n">
        <v>0</v>
      </c>
      <c r="L851" t="n">
        <v>0</v>
      </c>
      <c r="M851" t="n">
        <v>0</v>
      </c>
      <c r="N851" t="n">
        <v>0</v>
      </c>
      <c r="O851" t="n">
        <v>0</v>
      </c>
      <c r="P851" t="n">
        <v>0</v>
      </c>
      <c r="Q851" t="n">
        <v>0</v>
      </c>
      <c r="R851" s="2" t="inlineStr"/>
    </row>
    <row r="852" ht="15" customHeight="1">
      <c r="A852" t="inlineStr">
        <is>
          <t>A 56415-2018</t>
        </is>
      </c>
      <c r="B852" s="1" t="n">
        <v>43399</v>
      </c>
      <c r="C852" s="1" t="n">
        <v>45212</v>
      </c>
      <c r="D852" t="inlineStr">
        <is>
          <t>VÄSTRA GÖTALANDS LÄN</t>
        </is>
      </c>
      <c r="E852" t="inlineStr">
        <is>
          <t>KUNGÄLV</t>
        </is>
      </c>
      <c r="G852" t="n">
        <v>8.300000000000001</v>
      </c>
      <c r="H852" t="n">
        <v>0</v>
      </c>
      <c r="I852" t="n">
        <v>0</v>
      </c>
      <c r="J852" t="n">
        <v>0</v>
      </c>
      <c r="K852" t="n">
        <v>0</v>
      </c>
      <c r="L852" t="n">
        <v>0</v>
      </c>
      <c r="M852" t="n">
        <v>0</v>
      </c>
      <c r="N852" t="n">
        <v>0</v>
      </c>
      <c r="O852" t="n">
        <v>0</v>
      </c>
      <c r="P852" t="n">
        <v>0</v>
      </c>
      <c r="Q852" t="n">
        <v>0</v>
      </c>
      <c r="R852" s="2" t="inlineStr"/>
    </row>
    <row r="853" ht="15" customHeight="1">
      <c r="A853" t="inlineStr">
        <is>
          <t>A 56544-2018</t>
        </is>
      </c>
      <c r="B853" s="1" t="n">
        <v>43402</v>
      </c>
      <c r="C853" s="1" t="n">
        <v>45212</v>
      </c>
      <c r="D853" t="inlineStr">
        <is>
          <t>VÄSTRA GÖTALANDS LÄN</t>
        </is>
      </c>
      <c r="E853" t="inlineStr">
        <is>
          <t>HÄRRYDA</t>
        </is>
      </c>
      <c r="G853" t="n">
        <v>2</v>
      </c>
      <c r="H853" t="n">
        <v>0</v>
      </c>
      <c r="I853" t="n">
        <v>0</v>
      </c>
      <c r="J853" t="n">
        <v>0</v>
      </c>
      <c r="K853" t="n">
        <v>0</v>
      </c>
      <c r="L853" t="n">
        <v>0</v>
      </c>
      <c r="M853" t="n">
        <v>0</v>
      </c>
      <c r="N853" t="n">
        <v>0</v>
      </c>
      <c r="O853" t="n">
        <v>0</v>
      </c>
      <c r="P853" t="n">
        <v>0</v>
      </c>
      <c r="Q853" t="n">
        <v>0</v>
      </c>
      <c r="R853" s="2" t="inlineStr"/>
    </row>
    <row r="854" ht="15" customHeight="1">
      <c r="A854" t="inlineStr">
        <is>
          <t>A 58874-2018</t>
        </is>
      </c>
      <c r="B854" s="1" t="n">
        <v>43402</v>
      </c>
      <c r="C854" s="1" t="n">
        <v>45212</v>
      </c>
      <c r="D854" t="inlineStr">
        <is>
          <t>VÄSTRA GÖTALANDS LÄN</t>
        </is>
      </c>
      <c r="E854" t="inlineStr">
        <is>
          <t>SKÖVDE</t>
        </is>
      </c>
      <c r="G854" t="n">
        <v>1.4</v>
      </c>
      <c r="H854" t="n">
        <v>0</v>
      </c>
      <c r="I854" t="n">
        <v>0</v>
      </c>
      <c r="J854" t="n">
        <v>0</v>
      </c>
      <c r="K854" t="n">
        <v>0</v>
      </c>
      <c r="L854" t="n">
        <v>0</v>
      </c>
      <c r="M854" t="n">
        <v>0</v>
      </c>
      <c r="N854" t="n">
        <v>0</v>
      </c>
      <c r="O854" t="n">
        <v>0</v>
      </c>
      <c r="P854" t="n">
        <v>0</v>
      </c>
      <c r="Q854" t="n">
        <v>0</v>
      </c>
      <c r="R854" s="2" t="inlineStr"/>
    </row>
    <row r="855" ht="15" customHeight="1">
      <c r="A855" t="inlineStr">
        <is>
          <t>A 59044-2018</t>
        </is>
      </c>
      <c r="B855" s="1" t="n">
        <v>43402</v>
      </c>
      <c r="C855" s="1" t="n">
        <v>45212</v>
      </c>
      <c r="D855" t="inlineStr">
        <is>
          <t>VÄSTRA GÖTALANDS LÄN</t>
        </is>
      </c>
      <c r="E855" t="inlineStr">
        <is>
          <t>TANUM</t>
        </is>
      </c>
      <c r="G855" t="n">
        <v>5.2</v>
      </c>
      <c r="H855" t="n">
        <v>0</v>
      </c>
      <c r="I855" t="n">
        <v>0</v>
      </c>
      <c r="J855" t="n">
        <v>0</v>
      </c>
      <c r="K855" t="n">
        <v>0</v>
      </c>
      <c r="L855" t="n">
        <v>0</v>
      </c>
      <c r="M855" t="n">
        <v>0</v>
      </c>
      <c r="N855" t="n">
        <v>0</v>
      </c>
      <c r="O855" t="n">
        <v>0</v>
      </c>
      <c r="P855" t="n">
        <v>0</v>
      </c>
      <c r="Q855" t="n">
        <v>0</v>
      </c>
      <c r="R855" s="2" t="inlineStr"/>
    </row>
    <row r="856" ht="15" customHeight="1">
      <c r="A856" t="inlineStr">
        <is>
          <t>A 56549-2018</t>
        </is>
      </c>
      <c r="B856" s="1" t="n">
        <v>43402</v>
      </c>
      <c r="C856" s="1" t="n">
        <v>45212</v>
      </c>
      <c r="D856" t="inlineStr">
        <is>
          <t>VÄSTRA GÖTALANDS LÄN</t>
        </is>
      </c>
      <c r="E856" t="inlineStr">
        <is>
          <t>SVENLJUNGA</t>
        </is>
      </c>
      <c r="G856" t="n">
        <v>1.5</v>
      </c>
      <c r="H856" t="n">
        <v>0</v>
      </c>
      <c r="I856" t="n">
        <v>0</v>
      </c>
      <c r="J856" t="n">
        <v>0</v>
      </c>
      <c r="K856" t="n">
        <v>0</v>
      </c>
      <c r="L856" t="n">
        <v>0</v>
      </c>
      <c r="M856" t="n">
        <v>0</v>
      </c>
      <c r="N856" t="n">
        <v>0</v>
      </c>
      <c r="O856" t="n">
        <v>0</v>
      </c>
      <c r="P856" t="n">
        <v>0</v>
      </c>
      <c r="Q856" t="n">
        <v>0</v>
      </c>
      <c r="R856" s="2" t="inlineStr"/>
    </row>
    <row r="857" ht="15" customHeight="1">
      <c r="A857" t="inlineStr">
        <is>
          <t>A 56815-2018</t>
        </is>
      </c>
      <c r="B857" s="1" t="n">
        <v>43402</v>
      </c>
      <c r="C857" s="1" t="n">
        <v>45212</v>
      </c>
      <c r="D857" t="inlineStr">
        <is>
          <t>VÄSTRA GÖTALANDS LÄN</t>
        </is>
      </c>
      <c r="E857" t="inlineStr">
        <is>
          <t>TRANEMO</t>
        </is>
      </c>
      <c r="G857" t="n">
        <v>1.3</v>
      </c>
      <c r="H857" t="n">
        <v>0</v>
      </c>
      <c r="I857" t="n">
        <v>0</v>
      </c>
      <c r="J857" t="n">
        <v>0</v>
      </c>
      <c r="K857" t="n">
        <v>0</v>
      </c>
      <c r="L857" t="n">
        <v>0</v>
      </c>
      <c r="M857" t="n">
        <v>0</v>
      </c>
      <c r="N857" t="n">
        <v>0</v>
      </c>
      <c r="O857" t="n">
        <v>0</v>
      </c>
      <c r="P857" t="n">
        <v>0</v>
      </c>
      <c r="Q857" t="n">
        <v>0</v>
      </c>
      <c r="R857" s="2" t="inlineStr"/>
    </row>
    <row r="858" ht="15" customHeight="1">
      <c r="A858" t="inlineStr">
        <is>
          <t>A 58876-2018</t>
        </is>
      </c>
      <c r="B858" s="1" t="n">
        <v>43402</v>
      </c>
      <c r="C858" s="1" t="n">
        <v>45212</v>
      </c>
      <c r="D858" t="inlineStr">
        <is>
          <t>VÄSTRA GÖTALANDS LÄN</t>
        </is>
      </c>
      <c r="E858" t="inlineStr">
        <is>
          <t>HJO</t>
        </is>
      </c>
      <c r="G858" t="n">
        <v>1.9</v>
      </c>
      <c r="H858" t="n">
        <v>0</v>
      </c>
      <c r="I858" t="n">
        <v>0</v>
      </c>
      <c r="J858" t="n">
        <v>0</v>
      </c>
      <c r="K858" t="n">
        <v>0</v>
      </c>
      <c r="L858" t="n">
        <v>0</v>
      </c>
      <c r="M858" t="n">
        <v>0</v>
      </c>
      <c r="N858" t="n">
        <v>0</v>
      </c>
      <c r="O858" t="n">
        <v>0</v>
      </c>
      <c r="P858" t="n">
        <v>0</v>
      </c>
      <c r="Q858" t="n">
        <v>0</v>
      </c>
      <c r="R858" s="2" t="inlineStr"/>
    </row>
    <row r="859" ht="15" customHeight="1">
      <c r="A859" t="inlineStr">
        <is>
          <t>A 56831-2018</t>
        </is>
      </c>
      <c r="B859" s="1" t="n">
        <v>43402</v>
      </c>
      <c r="C859" s="1" t="n">
        <v>45212</v>
      </c>
      <c r="D859" t="inlineStr">
        <is>
          <t>VÄSTRA GÖTALANDS LÄN</t>
        </is>
      </c>
      <c r="E859" t="inlineStr">
        <is>
          <t>BORÅS</t>
        </is>
      </c>
      <c r="G859" t="n">
        <v>0.9</v>
      </c>
      <c r="H859" t="n">
        <v>0</v>
      </c>
      <c r="I859" t="n">
        <v>0</v>
      </c>
      <c r="J859" t="n">
        <v>0</v>
      </c>
      <c r="K859" t="n">
        <v>0</v>
      </c>
      <c r="L859" t="n">
        <v>0</v>
      </c>
      <c r="M859" t="n">
        <v>0</v>
      </c>
      <c r="N859" t="n">
        <v>0</v>
      </c>
      <c r="O859" t="n">
        <v>0</v>
      </c>
      <c r="P859" t="n">
        <v>0</v>
      </c>
      <c r="Q859" t="n">
        <v>0</v>
      </c>
      <c r="R859" s="2" t="inlineStr"/>
    </row>
    <row r="860" ht="15" customHeight="1">
      <c r="A860" t="inlineStr">
        <is>
          <t>A 58870-2018</t>
        </is>
      </c>
      <c r="B860" s="1" t="n">
        <v>43402</v>
      </c>
      <c r="C860" s="1" t="n">
        <v>45212</v>
      </c>
      <c r="D860" t="inlineStr">
        <is>
          <t>VÄSTRA GÖTALANDS LÄN</t>
        </is>
      </c>
      <c r="E860" t="inlineStr">
        <is>
          <t>SKÖVDE</t>
        </is>
      </c>
      <c r="G860" t="n">
        <v>0.8</v>
      </c>
      <c r="H860" t="n">
        <v>0</v>
      </c>
      <c r="I860" t="n">
        <v>0</v>
      </c>
      <c r="J860" t="n">
        <v>0</v>
      </c>
      <c r="K860" t="n">
        <v>0</v>
      </c>
      <c r="L860" t="n">
        <v>0</v>
      </c>
      <c r="M860" t="n">
        <v>0</v>
      </c>
      <c r="N860" t="n">
        <v>0</v>
      </c>
      <c r="O860" t="n">
        <v>0</v>
      </c>
      <c r="P860" t="n">
        <v>0</v>
      </c>
      <c r="Q860" t="n">
        <v>0</v>
      </c>
      <c r="R860" s="2" t="inlineStr"/>
    </row>
    <row r="861" ht="15" customHeight="1">
      <c r="A861" t="inlineStr">
        <is>
          <t>A 58880-2018</t>
        </is>
      </c>
      <c r="B861" s="1" t="n">
        <v>43402</v>
      </c>
      <c r="C861" s="1" t="n">
        <v>45212</v>
      </c>
      <c r="D861" t="inlineStr">
        <is>
          <t>VÄSTRA GÖTALANDS LÄN</t>
        </is>
      </c>
      <c r="E861" t="inlineStr">
        <is>
          <t>HERRLJUNGA</t>
        </is>
      </c>
      <c r="G861" t="n">
        <v>11.8</v>
      </c>
      <c r="H861" t="n">
        <v>0</v>
      </c>
      <c r="I861" t="n">
        <v>0</v>
      </c>
      <c r="J861" t="n">
        <v>0</v>
      </c>
      <c r="K861" t="n">
        <v>0</v>
      </c>
      <c r="L861" t="n">
        <v>0</v>
      </c>
      <c r="M861" t="n">
        <v>0</v>
      </c>
      <c r="N861" t="n">
        <v>0</v>
      </c>
      <c r="O861" t="n">
        <v>0</v>
      </c>
      <c r="P861" t="n">
        <v>0</v>
      </c>
      <c r="Q861" t="n">
        <v>0</v>
      </c>
      <c r="R861" s="2" t="inlineStr"/>
    </row>
    <row r="862" ht="15" customHeight="1">
      <c r="A862" t="inlineStr">
        <is>
          <t>A 59051-2018</t>
        </is>
      </c>
      <c r="B862" s="1" t="n">
        <v>43402</v>
      </c>
      <c r="C862" s="1" t="n">
        <v>45212</v>
      </c>
      <c r="D862" t="inlineStr">
        <is>
          <t>VÄSTRA GÖTALANDS LÄN</t>
        </is>
      </c>
      <c r="E862" t="inlineStr">
        <is>
          <t>TANUM</t>
        </is>
      </c>
      <c r="G862" t="n">
        <v>0.9</v>
      </c>
      <c r="H862" t="n">
        <v>0</v>
      </c>
      <c r="I862" t="n">
        <v>0</v>
      </c>
      <c r="J862" t="n">
        <v>0</v>
      </c>
      <c r="K862" t="n">
        <v>0</v>
      </c>
      <c r="L862" t="n">
        <v>0</v>
      </c>
      <c r="M862" t="n">
        <v>0</v>
      </c>
      <c r="N862" t="n">
        <v>0</v>
      </c>
      <c r="O862" t="n">
        <v>0</v>
      </c>
      <c r="P862" t="n">
        <v>0</v>
      </c>
      <c r="Q862" t="n">
        <v>0</v>
      </c>
      <c r="R862" s="2" t="inlineStr"/>
    </row>
    <row r="863" ht="15" customHeight="1">
      <c r="A863" t="inlineStr">
        <is>
          <t>A 57111-2018</t>
        </is>
      </c>
      <c r="B863" s="1" t="n">
        <v>43403</v>
      </c>
      <c r="C863" s="1" t="n">
        <v>45212</v>
      </c>
      <c r="D863" t="inlineStr">
        <is>
          <t>VÄSTRA GÖTALANDS LÄN</t>
        </is>
      </c>
      <c r="E863" t="inlineStr">
        <is>
          <t>LIDKÖPING</t>
        </is>
      </c>
      <c r="G863" t="n">
        <v>0.3</v>
      </c>
      <c r="H863" t="n">
        <v>0</v>
      </c>
      <c r="I863" t="n">
        <v>0</v>
      </c>
      <c r="J863" t="n">
        <v>0</v>
      </c>
      <c r="K863" t="n">
        <v>0</v>
      </c>
      <c r="L863" t="n">
        <v>0</v>
      </c>
      <c r="M863" t="n">
        <v>0</v>
      </c>
      <c r="N863" t="n">
        <v>0</v>
      </c>
      <c r="O863" t="n">
        <v>0</v>
      </c>
      <c r="P863" t="n">
        <v>0</v>
      </c>
      <c r="Q863" t="n">
        <v>0</v>
      </c>
      <c r="R863" s="2" t="inlineStr"/>
    </row>
    <row r="864" ht="15" customHeight="1">
      <c r="A864" t="inlineStr">
        <is>
          <t>A 59069-2018</t>
        </is>
      </c>
      <c r="B864" s="1" t="n">
        <v>43403</v>
      </c>
      <c r="C864" s="1" t="n">
        <v>45212</v>
      </c>
      <c r="D864" t="inlineStr">
        <is>
          <t>VÄSTRA GÖTALANDS LÄN</t>
        </is>
      </c>
      <c r="E864" t="inlineStr">
        <is>
          <t>KARLSBORG</t>
        </is>
      </c>
      <c r="G864" t="n">
        <v>5</v>
      </c>
      <c r="H864" t="n">
        <v>0</v>
      </c>
      <c r="I864" t="n">
        <v>0</v>
      </c>
      <c r="J864" t="n">
        <v>0</v>
      </c>
      <c r="K864" t="n">
        <v>0</v>
      </c>
      <c r="L864" t="n">
        <v>0</v>
      </c>
      <c r="M864" t="n">
        <v>0</v>
      </c>
      <c r="N864" t="n">
        <v>0</v>
      </c>
      <c r="O864" t="n">
        <v>0</v>
      </c>
      <c r="P864" t="n">
        <v>0</v>
      </c>
      <c r="Q864" t="n">
        <v>0</v>
      </c>
      <c r="R864" s="2" t="inlineStr"/>
    </row>
    <row r="865" ht="15" customHeight="1">
      <c r="A865" t="inlineStr">
        <is>
          <t>A 59168-2018</t>
        </is>
      </c>
      <c r="B865" s="1" t="n">
        <v>43403</v>
      </c>
      <c r="C865" s="1" t="n">
        <v>45212</v>
      </c>
      <c r="D865" t="inlineStr">
        <is>
          <t>VÄSTRA GÖTALANDS LÄN</t>
        </is>
      </c>
      <c r="E865" t="inlineStr">
        <is>
          <t>ÅMÅL</t>
        </is>
      </c>
      <c r="G865" t="n">
        <v>11.1</v>
      </c>
      <c r="H865" t="n">
        <v>0</v>
      </c>
      <c r="I865" t="n">
        <v>0</v>
      </c>
      <c r="J865" t="n">
        <v>0</v>
      </c>
      <c r="K865" t="n">
        <v>0</v>
      </c>
      <c r="L865" t="n">
        <v>0</v>
      </c>
      <c r="M865" t="n">
        <v>0</v>
      </c>
      <c r="N865" t="n">
        <v>0</v>
      </c>
      <c r="O865" t="n">
        <v>0</v>
      </c>
      <c r="P865" t="n">
        <v>0</v>
      </c>
      <c r="Q865" t="n">
        <v>0</v>
      </c>
      <c r="R865" s="2" t="inlineStr"/>
    </row>
    <row r="866" ht="15" customHeight="1">
      <c r="A866" t="inlineStr">
        <is>
          <t>A 57174-2018</t>
        </is>
      </c>
      <c r="B866" s="1" t="n">
        <v>43403</v>
      </c>
      <c r="C866" s="1" t="n">
        <v>45212</v>
      </c>
      <c r="D866" t="inlineStr">
        <is>
          <t>VÄSTRA GÖTALANDS LÄN</t>
        </is>
      </c>
      <c r="E866" t="inlineStr">
        <is>
          <t>FÄRGELANDA</t>
        </is>
      </c>
      <c r="G866" t="n">
        <v>1.3</v>
      </c>
      <c r="H866" t="n">
        <v>0</v>
      </c>
      <c r="I866" t="n">
        <v>0</v>
      </c>
      <c r="J866" t="n">
        <v>0</v>
      </c>
      <c r="K866" t="n">
        <v>0</v>
      </c>
      <c r="L866" t="n">
        <v>0</v>
      </c>
      <c r="M866" t="n">
        <v>0</v>
      </c>
      <c r="N866" t="n">
        <v>0</v>
      </c>
      <c r="O866" t="n">
        <v>0</v>
      </c>
      <c r="P866" t="n">
        <v>0</v>
      </c>
      <c r="Q866" t="n">
        <v>0</v>
      </c>
      <c r="R866" s="2" t="inlineStr"/>
    </row>
    <row r="867" ht="15" customHeight="1">
      <c r="A867" t="inlineStr">
        <is>
          <t>A 57010-2018</t>
        </is>
      </c>
      <c r="B867" s="1" t="n">
        <v>43403</v>
      </c>
      <c r="C867" s="1" t="n">
        <v>45212</v>
      </c>
      <c r="D867" t="inlineStr">
        <is>
          <t>VÄSTRA GÖTALANDS LÄN</t>
        </is>
      </c>
      <c r="E867" t="inlineStr">
        <is>
          <t>TRANEMO</t>
        </is>
      </c>
      <c r="G867" t="n">
        <v>1.1</v>
      </c>
      <c r="H867" t="n">
        <v>0</v>
      </c>
      <c r="I867" t="n">
        <v>0</v>
      </c>
      <c r="J867" t="n">
        <v>0</v>
      </c>
      <c r="K867" t="n">
        <v>0</v>
      </c>
      <c r="L867" t="n">
        <v>0</v>
      </c>
      <c r="M867" t="n">
        <v>0</v>
      </c>
      <c r="N867" t="n">
        <v>0</v>
      </c>
      <c r="O867" t="n">
        <v>0</v>
      </c>
      <c r="P867" t="n">
        <v>0</v>
      </c>
      <c r="Q867" t="n">
        <v>0</v>
      </c>
      <c r="R867" s="2" t="inlineStr"/>
    </row>
    <row r="868" ht="15" customHeight="1">
      <c r="A868" t="inlineStr">
        <is>
          <t>A 57185-2018</t>
        </is>
      </c>
      <c r="B868" s="1" t="n">
        <v>43403</v>
      </c>
      <c r="C868" s="1" t="n">
        <v>45212</v>
      </c>
      <c r="D868" t="inlineStr">
        <is>
          <t>VÄSTRA GÖTALANDS LÄN</t>
        </is>
      </c>
      <c r="E868" t="inlineStr">
        <is>
          <t>FÄRGELANDA</t>
        </is>
      </c>
      <c r="G868" t="n">
        <v>1.7</v>
      </c>
      <c r="H868" t="n">
        <v>0</v>
      </c>
      <c r="I868" t="n">
        <v>0</v>
      </c>
      <c r="J868" t="n">
        <v>0</v>
      </c>
      <c r="K868" t="n">
        <v>0</v>
      </c>
      <c r="L868" t="n">
        <v>0</v>
      </c>
      <c r="M868" t="n">
        <v>0</v>
      </c>
      <c r="N868" t="n">
        <v>0</v>
      </c>
      <c r="O868" t="n">
        <v>0</v>
      </c>
      <c r="P868" t="n">
        <v>0</v>
      </c>
      <c r="Q868" t="n">
        <v>0</v>
      </c>
      <c r="R868" s="2" t="inlineStr"/>
    </row>
    <row r="869" ht="15" customHeight="1">
      <c r="A869" t="inlineStr">
        <is>
          <t>A 59032-2018</t>
        </is>
      </c>
      <c r="B869" s="1" t="n">
        <v>43403</v>
      </c>
      <c r="C869" s="1" t="n">
        <v>45212</v>
      </c>
      <c r="D869" t="inlineStr">
        <is>
          <t>VÄSTRA GÖTALANDS LÄN</t>
        </is>
      </c>
      <c r="E869" t="inlineStr">
        <is>
          <t>TRANEMO</t>
        </is>
      </c>
      <c r="G869" t="n">
        <v>4.6</v>
      </c>
      <c r="H869" t="n">
        <v>0</v>
      </c>
      <c r="I869" t="n">
        <v>0</v>
      </c>
      <c r="J869" t="n">
        <v>0</v>
      </c>
      <c r="K869" t="n">
        <v>0</v>
      </c>
      <c r="L869" t="n">
        <v>0</v>
      </c>
      <c r="M869" t="n">
        <v>0</v>
      </c>
      <c r="N869" t="n">
        <v>0</v>
      </c>
      <c r="O869" t="n">
        <v>0</v>
      </c>
      <c r="P869" t="n">
        <v>0</v>
      </c>
      <c r="Q869" t="n">
        <v>0</v>
      </c>
      <c r="R869" s="2" t="inlineStr"/>
    </row>
    <row r="870" ht="15" customHeight="1">
      <c r="A870" t="inlineStr">
        <is>
          <t>A 59186-2018</t>
        </is>
      </c>
      <c r="B870" s="1" t="n">
        <v>43403</v>
      </c>
      <c r="C870" s="1" t="n">
        <v>45212</v>
      </c>
      <c r="D870" t="inlineStr">
        <is>
          <t>VÄSTRA GÖTALANDS LÄN</t>
        </is>
      </c>
      <c r="E870" t="inlineStr">
        <is>
          <t>BORÅS</t>
        </is>
      </c>
      <c r="F870" t="inlineStr">
        <is>
          <t>Kommuner</t>
        </is>
      </c>
      <c r="G870" t="n">
        <v>5.7</v>
      </c>
      <c r="H870" t="n">
        <v>0</v>
      </c>
      <c r="I870" t="n">
        <v>0</v>
      </c>
      <c r="J870" t="n">
        <v>0</v>
      </c>
      <c r="K870" t="n">
        <v>0</v>
      </c>
      <c r="L870" t="n">
        <v>0</v>
      </c>
      <c r="M870" t="n">
        <v>0</v>
      </c>
      <c r="N870" t="n">
        <v>0</v>
      </c>
      <c r="O870" t="n">
        <v>0</v>
      </c>
      <c r="P870" t="n">
        <v>0</v>
      </c>
      <c r="Q870" t="n">
        <v>0</v>
      </c>
      <c r="R870" s="2" t="inlineStr"/>
    </row>
    <row r="871" ht="15" customHeight="1">
      <c r="A871" t="inlineStr">
        <is>
          <t>A 59252-2018</t>
        </is>
      </c>
      <c r="B871" s="1" t="n">
        <v>43403</v>
      </c>
      <c r="C871" s="1" t="n">
        <v>45212</v>
      </c>
      <c r="D871" t="inlineStr">
        <is>
          <t>VÄSTRA GÖTALANDS LÄN</t>
        </is>
      </c>
      <c r="E871" t="inlineStr">
        <is>
          <t>HJO</t>
        </is>
      </c>
      <c r="G871" t="n">
        <v>1</v>
      </c>
      <c r="H871" t="n">
        <v>0</v>
      </c>
      <c r="I871" t="n">
        <v>0</v>
      </c>
      <c r="J871" t="n">
        <v>0</v>
      </c>
      <c r="K871" t="n">
        <v>0</v>
      </c>
      <c r="L871" t="n">
        <v>0</v>
      </c>
      <c r="M871" t="n">
        <v>0</v>
      </c>
      <c r="N871" t="n">
        <v>0</v>
      </c>
      <c r="O871" t="n">
        <v>0</v>
      </c>
      <c r="P871" t="n">
        <v>0</v>
      </c>
      <c r="Q871" t="n">
        <v>0</v>
      </c>
      <c r="R871" s="2" t="inlineStr"/>
    </row>
    <row r="872" ht="15" customHeight="1">
      <c r="A872" t="inlineStr">
        <is>
          <t>A 59073-2018</t>
        </is>
      </c>
      <c r="B872" s="1" t="n">
        <v>43403</v>
      </c>
      <c r="C872" s="1" t="n">
        <v>45212</v>
      </c>
      <c r="D872" t="inlineStr">
        <is>
          <t>VÄSTRA GÖTALANDS LÄN</t>
        </is>
      </c>
      <c r="E872" t="inlineStr">
        <is>
          <t>KARLSBORG</t>
        </is>
      </c>
      <c r="G872" t="n">
        <v>0.6</v>
      </c>
      <c r="H872" t="n">
        <v>0</v>
      </c>
      <c r="I872" t="n">
        <v>0</v>
      </c>
      <c r="J872" t="n">
        <v>0</v>
      </c>
      <c r="K872" t="n">
        <v>0</v>
      </c>
      <c r="L872" t="n">
        <v>0</v>
      </c>
      <c r="M872" t="n">
        <v>0</v>
      </c>
      <c r="N872" t="n">
        <v>0</v>
      </c>
      <c r="O872" t="n">
        <v>0</v>
      </c>
      <c r="P872" t="n">
        <v>0</v>
      </c>
      <c r="Q872" t="n">
        <v>0</v>
      </c>
      <c r="R872" s="2" t="inlineStr"/>
    </row>
    <row r="873" ht="15" customHeight="1">
      <c r="A873" t="inlineStr">
        <is>
          <t>A 57370-2018</t>
        </is>
      </c>
      <c r="B873" s="1" t="n">
        <v>43404</v>
      </c>
      <c r="C873" s="1" t="n">
        <v>45212</v>
      </c>
      <c r="D873" t="inlineStr">
        <is>
          <t>VÄSTRA GÖTALANDS LÄN</t>
        </is>
      </c>
      <c r="E873" t="inlineStr">
        <is>
          <t>HJO</t>
        </is>
      </c>
      <c r="G873" t="n">
        <v>1.5</v>
      </c>
      <c r="H873" t="n">
        <v>0</v>
      </c>
      <c r="I873" t="n">
        <v>0</v>
      </c>
      <c r="J873" t="n">
        <v>0</v>
      </c>
      <c r="K873" t="n">
        <v>0</v>
      </c>
      <c r="L873" t="n">
        <v>0</v>
      </c>
      <c r="M873" t="n">
        <v>0</v>
      </c>
      <c r="N873" t="n">
        <v>0</v>
      </c>
      <c r="O873" t="n">
        <v>0</v>
      </c>
      <c r="P873" t="n">
        <v>0</v>
      </c>
      <c r="Q873" t="n">
        <v>0</v>
      </c>
      <c r="R873" s="2" t="inlineStr"/>
    </row>
    <row r="874" ht="15" customHeight="1">
      <c r="A874" t="inlineStr">
        <is>
          <t>A 57587-2018</t>
        </is>
      </c>
      <c r="B874" s="1" t="n">
        <v>43404</v>
      </c>
      <c r="C874" s="1" t="n">
        <v>45212</v>
      </c>
      <c r="D874" t="inlineStr">
        <is>
          <t>VÄSTRA GÖTALANDS LÄN</t>
        </is>
      </c>
      <c r="E874" t="inlineStr">
        <is>
          <t>TRANEMO</t>
        </is>
      </c>
      <c r="G874" t="n">
        <v>7</v>
      </c>
      <c r="H874" t="n">
        <v>0</v>
      </c>
      <c r="I874" t="n">
        <v>0</v>
      </c>
      <c r="J874" t="n">
        <v>0</v>
      </c>
      <c r="K874" t="n">
        <v>0</v>
      </c>
      <c r="L874" t="n">
        <v>0</v>
      </c>
      <c r="M874" t="n">
        <v>0</v>
      </c>
      <c r="N874" t="n">
        <v>0</v>
      </c>
      <c r="O874" t="n">
        <v>0</v>
      </c>
      <c r="P874" t="n">
        <v>0</v>
      </c>
      <c r="Q874" t="n">
        <v>0</v>
      </c>
      <c r="R874" s="2" t="inlineStr"/>
    </row>
    <row r="875" ht="15" customHeight="1">
      <c r="A875" t="inlineStr">
        <is>
          <t>A 59379-2018</t>
        </is>
      </c>
      <c r="B875" s="1" t="n">
        <v>43404</v>
      </c>
      <c r="C875" s="1" t="n">
        <v>45212</v>
      </c>
      <c r="D875" t="inlineStr">
        <is>
          <t>VÄSTRA GÖTALANDS LÄN</t>
        </is>
      </c>
      <c r="E875" t="inlineStr">
        <is>
          <t>TANUM</t>
        </is>
      </c>
      <c r="G875" t="n">
        <v>14.7</v>
      </c>
      <c r="H875" t="n">
        <v>0</v>
      </c>
      <c r="I875" t="n">
        <v>0</v>
      </c>
      <c r="J875" t="n">
        <v>0</v>
      </c>
      <c r="K875" t="n">
        <v>0</v>
      </c>
      <c r="L875" t="n">
        <v>0</v>
      </c>
      <c r="M875" t="n">
        <v>0</v>
      </c>
      <c r="N875" t="n">
        <v>0</v>
      </c>
      <c r="O875" t="n">
        <v>0</v>
      </c>
      <c r="P875" t="n">
        <v>0</v>
      </c>
      <c r="Q875" t="n">
        <v>0</v>
      </c>
      <c r="R875" s="2" t="inlineStr"/>
    </row>
    <row r="876" ht="15" customHeight="1">
      <c r="A876" t="inlineStr">
        <is>
          <t>A 57490-2018</t>
        </is>
      </c>
      <c r="B876" s="1" t="n">
        <v>43404</v>
      </c>
      <c r="C876" s="1" t="n">
        <v>45212</v>
      </c>
      <c r="D876" t="inlineStr">
        <is>
          <t>VÄSTRA GÖTALANDS LÄN</t>
        </is>
      </c>
      <c r="E876" t="inlineStr">
        <is>
          <t>FÄRGELANDA</t>
        </is>
      </c>
      <c r="G876" t="n">
        <v>0.9</v>
      </c>
      <c r="H876" t="n">
        <v>0</v>
      </c>
      <c r="I876" t="n">
        <v>0</v>
      </c>
      <c r="J876" t="n">
        <v>0</v>
      </c>
      <c r="K876" t="n">
        <v>0</v>
      </c>
      <c r="L876" t="n">
        <v>0</v>
      </c>
      <c r="M876" t="n">
        <v>0</v>
      </c>
      <c r="N876" t="n">
        <v>0</v>
      </c>
      <c r="O876" t="n">
        <v>0</v>
      </c>
      <c r="P876" t="n">
        <v>0</v>
      </c>
      <c r="Q876" t="n">
        <v>0</v>
      </c>
      <c r="R876" s="2" t="inlineStr"/>
    </row>
    <row r="877" ht="15" customHeight="1">
      <c r="A877" t="inlineStr">
        <is>
          <t>A 57836-2018</t>
        </is>
      </c>
      <c r="B877" s="1" t="n">
        <v>43405</v>
      </c>
      <c r="C877" s="1" t="n">
        <v>45212</v>
      </c>
      <c r="D877" t="inlineStr">
        <is>
          <t>VÄSTRA GÖTALANDS LÄN</t>
        </is>
      </c>
      <c r="E877" t="inlineStr">
        <is>
          <t>HÄRRYDA</t>
        </is>
      </c>
      <c r="G877" t="n">
        <v>2</v>
      </c>
      <c r="H877" t="n">
        <v>0</v>
      </c>
      <c r="I877" t="n">
        <v>0</v>
      </c>
      <c r="J877" t="n">
        <v>0</v>
      </c>
      <c r="K877" t="n">
        <v>0</v>
      </c>
      <c r="L877" t="n">
        <v>0</v>
      </c>
      <c r="M877" t="n">
        <v>0</v>
      </c>
      <c r="N877" t="n">
        <v>0</v>
      </c>
      <c r="O877" t="n">
        <v>0</v>
      </c>
      <c r="P877" t="n">
        <v>0</v>
      </c>
      <c r="Q877" t="n">
        <v>0</v>
      </c>
      <c r="R877" s="2" t="inlineStr"/>
    </row>
    <row r="878" ht="15" customHeight="1">
      <c r="A878" t="inlineStr">
        <is>
          <t>A 60447-2018</t>
        </is>
      </c>
      <c r="B878" s="1" t="n">
        <v>43405</v>
      </c>
      <c r="C878" s="1" t="n">
        <v>45212</v>
      </c>
      <c r="D878" t="inlineStr">
        <is>
          <t>VÄSTRA GÖTALANDS LÄN</t>
        </is>
      </c>
      <c r="E878" t="inlineStr">
        <is>
          <t>VARA</t>
        </is>
      </c>
      <c r="G878" t="n">
        <v>4.3</v>
      </c>
      <c r="H878" t="n">
        <v>0</v>
      </c>
      <c r="I878" t="n">
        <v>0</v>
      </c>
      <c r="J878" t="n">
        <v>0</v>
      </c>
      <c r="K878" t="n">
        <v>0</v>
      </c>
      <c r="L878" t="n">
        <v>0</v>
      </c>
      <c r="M878" t="n">
        <v>0</v>
      </c>
      <c r="N878" t="n">
        <v>0</v>
      </c>
      <c r="O878" t="n">
        <v>0</v>
      </c>
      <c r="P878" t="n">
        <v>0</v>
      </c>
      <c r="Q878" t="n">
        <v>0</v>
      </c>
      <c r="R878" s="2" t="inlineStr"/>
    </row>
    <row r="879" ht="15" customHeight="1">
      <c r="A879" t="inlineStr">
        <is>
          <t>A 60501-2018</t>
        </is>
      </c>
      <c r="B879" s="1" t="n">
        <v>43405</v>
      </c>
      <c r="C879" s="1" t="n">
        <v>45212</v>
      </c>
      <c r="D879" t="inlineStr">
        <is>
          <t>VÄSTRA GÖTALANDS LÄN</t>
        </is>
      </c>
      <c r="E879" t="inlineStr">
        <is>
          <t>VARA</t>
        </is>
      </c>
      <c r="G879" t="n">
        <v>3.5</v>
      </c>
      <c r="H879" t="n">
        <v>0</v>
      </c>
      <c r="I879" t="n">
        <v>0</v>
      </c>
      <c r="J879" t="n">
        <v>0</v>
      </c>
      <c r="K879" t="n">
        <v>0</v>
      </c>
      <c r="L879" t="n">
        <v>0</v>
      </c>
      <c r="M879" t="n">
        <v>0</v>
      </c>
      <c r="N879" t="n">
        <v>0</v>
      </c>
      <c r="O879" t="n">
        <v>0</v>
      </c>
      <c r="P879" t="n">
        <v>0</v>
      </c>
      <c r="Q879" t="n">
        <v>0</v>
      </c>
      <c r="R879" s="2" t="inlineStr"/>
    </row>
    <row r="880" ht="15" customHeight="1">
      <c r="A880" t="inlineStr">
        <is>
          <t>A 57952-2018</t>
        </is>
      </c>
      <c r="B880" s="1" t="n">
        <v>43405</v>
      </c>
      <c r="C880" s="1" t="n">
        <v>45212</v>
      </c>
      <c r="D880" t="inlineStr">
        <is>
          <t>VÄSTRA GÖTALANDS LÄN</t>
        </is>
      </c>
      <c r="E880" t="inlineStr">
        <is>
          <t>TRANEMO</t>
        </is>
      </c>
      <c r="G880" t="n">
        <v>0.9</v>
      </c>
      <c r="H880" t="n">
        <v>0</v>
      </c>
      <c r="I880" t="n">
        <v>0</v>
      </c>
      <c r="J880" t="n">
        <v>0</v>
      </c>
      <c r="K880" t="n">
        <v>0</v>
      </c>
      <c r="L880" t="n">
        <v>0</v>
      </c>
      <c r="M880" t="n">
        <v>0</v>
      </c>
      <c r="N880" t="n">
        <v>0</v>
      </c>
      <c r="O880" t="n">
        <v>0</v>
      </c>
      <c r="P880" t="n">
        <v>0</v>
      </c>
      <c r="Q880" t="n">
        <v>0</v>
      </c>
      <c r="R880" s="2" t="inlineStr"/>
    </row>
    <row r="881" ht="15" customHeight="1">
      <c r="A881" t="inlineStr">
        <is>
          <t>A 59616-2018</t>
        </is>
      </c>
      <c r="B881" s="1" t="n">
        <v>43405</v>
      </c>
      <c r="C881" s="1" t="n">
        <v>45212</v>
      </c>
      <c r="D881" t="inlineStr">
        <is>
          <t>VÄSTRA GÖTALANDS LÄN</t>
        </is>
      </c>
      <c r="E881" t="inlineStr">
        <is>
          <t>FALKÖPING</t>
        </is>
      </c>
      <c r="G881" t="n">
        <v>4.3</v>
      </c>
      <c r="H881" t="n">
        <v>0</v>
      </c>
      <c r="I881" t="n">
        <v>0</v>
      </c>
      <c r="J881" t="n">
        <v>0</v>
      </c>
      <c r="K881" t="n">
        <v>0</v>
      </c>
      <c r="L881" t="n">
        <v>0</v>
      </c>
      <c r="M881" t="n">
        <v>0</v>
      </c>
      <c r="N881" t="n">
        <v>0</v>
      </c>
      <c r="O881" t="n">
        <v>0</v>
      </c>
      <c r="P881" t="n">
        <v>0</v>
      </c>
      <c r="Q881" t="n">
        <v>0</v>
      </c>
      <c r="R881" s="2" t="inlineStr"/>
    </row>
    <row r="882" ht="15" customHeight="1">
      <c r="A882" t="inlineStr">
        <is>
          <t>A 60453-2018</t>
        </is>
      </c>
      <c r="B882" s="1" t="n">
        <v>43405</v>
      </c>
      <c r="C882" s="1" t="n">
        <v>45212</v>
      </c>
      <c r="D882" t="inlineStr">
        <is>
          <t>VÄSTRA GÖTALANDS LÄN</t>
        </is>
      </c>
      <c r="E882" t="inlineStr">
        <is>
          <t>VARA</t>
        </is>
      </c>
      <c r="G882" t="n">
        <v>4.1</v>
      </c>
      <c r="H882" t="n">
        <v>0</v>
      </c>
      <c r="I882" t="n">
        <v>0</v>
      </c>
      <c r="J882" t="n">
        <v>0</v>
      </c>
      <c r="K882" t="n">
        <v>0</v>
      </c>
      <c r="L882" t="n">
        <v>0</v>
      </c>
      <c r="M882" t="n">
        <v>0</v>
      </c>
      <c r="N882" t="n">
        <v>0</v>
      </c>
      <c r="O882" t="n">
        <v>0</v>
      </c>
      <c r="P882" t="n">
        <v>0</v>
      </c>
      <c r="Q882" t="n">
        <v>0</v>
      </c>
      <c r="R882" s="2" t="inlineStr"/>
    </row>
    <row r="883" ht="15" customHeight="1">
      <c r="A883" t="inlineStr">
        <is>
          <t>A 57834-2018</t>
        </is>
      </c>
      <c r="B883" s="1" t="n">
        <v>43405</v>
      </c>
      <c r="C883" s="1" t="n">
        <v>45212</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58052-2018</t>
        </is>
      </c>
      <c r="B884" s="1" t="n">
        <v>43406</v>
      </c>
      <c r="C884" s="1" t="n">
        <v>45212</v>
      </c>
      <c r="D884" t="inlineStr">
        <is>
          <t>VÄSTRA GÖTALANDS LÄN</t>
        </is>
      </c>
      <c r="E884" t="inlineStr">
        <is>
          <t>MUNKEDAL</t>
        </is>
      </c>
      <c r="G884" t="n">
        <v>1.9</v>
      </c>
      <c r="H884" t="n">
        <v>0</v>
      </c>
      <c r="I884" t="n">
        <v>0</v>
      </c>
      <c r="J884" t="n">
        <v>0</v>
      </c>
      <c r="K884" t="n">
        <v>0</v>
      </c>
      <c r="L884" t="n">
        <v>0</v>
      </c>
      <c r="M884" t="n">
        <v>0</v>
      </c>
      <c r="N884" t="n">
        <v>0</v>
      </c>
      <c r="O884" t="n">
        <v>0</v>
      </c>
      <c r="P884" t="n">
        <v>0</v>
      </c>
      <c r="Q884" t="n">
        <v>0</v>
      </c>
      <c r="R884" s="2" t="inlineStr"/>
    </row>
    <row r="885" ht="15" customHeight="1">
      <c r="A885" t="inlineStr">
        <is>
          <t>A 58178-2018</t>
        </is>
      </c>
      <c r="B885" s="1" t="n">
        <v>43407</v>
      </c>
      <c r="C885" s="1" t="n">
        <v>45212</v>
      </c>
      <c r="D885" t="inlineStr">
        <is>
          <t>VÄSTRA GÖTALANDS LÄN</t>
        </is>
      </c>
      <c r="E885" t="inlineStr">
        <is>
          <t>TANUM</t>
        </is>
      </c>
      <c r="G885" t="n">
        <v>0.4</v>
      </c>
      <c r="H885" t="n">
        <v>0</v>
      </c>
      <c r="I885" t="n">
        <v>0</v>
      </c>
      <c r="J885" t="n">
        <v>0</v>
      </c>
      <c r="K885" t="n">
        <v>0</v>
      </c>
      <c r="L885" t="n">
        <v>0</v>
      </c>
      <c r="M885" t="n">
        <v>0</v>
      </c>
      <c r="N885" t="n">
        <v>0</v>
      </c>
      <c r="O885" t="n">
        <v>0</v>
      </c>
      <c r="P885" t="n">
        <v>0</v>
      </c>
      <c r="Q885" t="n">
        <v>0</v>
      </c>
      <c r="R885" s="2" t="inlineStr"/>
    </row>
    <row r="886" ht="15" customHeight="1">
      <c r="A886" t="inlineStr">
        <is>
          <t>A 60545-2018</t>
        </is>
      </c>
      <c r="B886" s="1" t="n">
        <v>43408</v>
      </c>
      <c r="C886" s="1" t="n">
        <v>45212</v>
      </c>
      <c r="D886" t="inlineStr">
        <is>
          <t>VÄSTRA GÖTALANDS LÄN</t>
        </is>
      </c>
      <c r="E886" t="inlineStr">
        <is>
          <t>LIDKÖPING</t>
        </is>
      </c>
      <c r="G886" t="n">
        <v>4.1</v>
      </c>
      <c r="H886" t="n">
        <v>0</v>
      </c>
      <c r="I886" t="n">
        <v>0</v>
      </c>
      <c r="J886" t="n">
        <v>0</v>
      </c>
      <c r="K886" t="n">
        <v>0</v>
      </c>
      <c r="L886" t="n">
        <v>0</v>
      </c>
      <c r="M886" t="n">
        <v>0</v>
      </c>
      <c r="N886" t="n">
        <v>0</v>
      </c>
      <c r="O886" t="n">
        <v>0</v>
      </c>
      <c r="P886" t="n">
        <v>0</v>
      </c>
      <c r="Q886" t="n">
        <v>0</v>
      </c>
      <c r="R886" s="2" t="inlineStr"/>
    </row>
    <row r="887" ht="15" customHeight="1">
      <c r="A887" t="inlineStr">
        <is>
          <t>A 58210-2018</t>
        </is>
      </c>
      <c r="B887" s="1" t="n">
        <v>43408</v>
      </c>
      <c r="C887" s="1" t="n">
        <v>45212</v>
      </c>
      <c r="D887" t="inlineStr">
        <is>
          <t>VÄSTRA GÖTALANDS LÄN</t>
        </is>
      </c>
      <c r="E887" t="inlineStr">
        <is>
          <t>TIDAHOLM</t>
        </is>
      </c>
      <c r="G887" t="n">
        <v>0.2</v>
      </c>
      <c r="H887" t="n">
        <v>0</v>
      </c>
      <c r="I887" t="n">
        <v>0</v>
      </c>
      <c r="J887" t="n">
        <v>0</v>
      </c>
      <c r="K887" t="n">
        <v>0</v>
      </c>
      <c r="L887" t="n">
        <v>0</v>
      </c>
      <c r="M887" t="n">
        <v>0</v>
      </c>
      <c r="N887" t="n">
        <v>0</v>
      </c>
      <c r="O887" t="n">
        <v>0</v>
      </c>
      <c r="P887" t="n">
        <v>0</v>
      </c>
      <c r="Q887" t="n">
        <v>0</v>
      </c>
      <c r="R887" s="2" t="inlineStr"/>
    </row>
    <row r="888" ht="15" customHeight="1">
      <c r="A888" t="inlineStr">
        <is>
          <t>A 58543-2018</t>
        </is>
      </c>
      <c r="B888" s="1" t="n">
        <v>43409</v>
      </c>
      <c r="C888" s="1" t="n">
        <v>45212</v>
      </c>
      <c r="D888" t="inlineStr">
        <is>
          <t>VÄSTRA GÖTALANDS LÄN</t>
        </is>
      </c>
      <c r="E888" t="inlineStr">
        <is>
          <t>BORÅS</t>
        </is>
      </c>
      <c r="G888" t="n">
        <v>4</v>
      </c>
      <c r="H888" t="n">
        <v>0</v>
      </c>
      <c r="I888" t="n">
        <v>0</v>
      </c>
      <c r="J888" t="n">
        <v>0</v>
      </c>
      <c r="K888" t="n">
        <v>0</v>
      </c>
      <c r="L888" t="n">
        <v>0</v>
      </c>
      <c r="M888" t="n">
        <v>0</v>
      </c>
      <c r="N888" t="n">
        <v>0</v>
      </c>
      <c r="O888" t="n">
        <v>0</v>
      </c>
      <c r="P888" t="n">
        <v>0</v>
      </c>
      <c r="Q888" t="n">
        <v>0</v>
      </c>
      <c r="R888" s="2" t="inlineStr"/>
    </row>
    <row r="889" ht="15" customHeight="1">
      <c r="A889" t="inlineStr">
        <is>
          <t>A 60705-2018</t>
        </is>
      </c>
      <c r="B889" s="1" t="n">
        <v>43409</v>
      </c>
      <c r="C889" s="1" t="n">
        <v>45212</v>
      </c>
      <c r="D889" t="inlineStr">
        <is>
          <t>VÄSTRA GÖTALANDS LÄN</t>
        </is>
      </c>
      <c r="E889" t="inlineStr">
        <is>
          <t>TANUM</t>
        </is>
      </c>
      <c r="G889" t="n">
        <v>1.8</v>
      </c>
      <c r="H889" t="n">
        <v>0</v>
      </c>
      <c r="I889" t="n">
        <v>0</v>
      </c>
      <c r="J889" t="n">
        <v>0</v>
      </c>
      <c r="K889" t="n">
        <v>0</v>
      </c>
      <c r="L889" t="n">
        <v>0</v>
      </c>
      <c r="M889" t="n">
        <v>0</v>
      </c>
      <c r="N889" t="n">
        <v>0</v>
      </c>
      <c r="O889" t="n">
        <v>0</v>
      </c>
      <c r="P889" t="n">
        <v>0</v>
      </c>
      <c r="Q889" t="n">
        <v>0</v>
      </c>
      <c r="R889" s="2" t="inlineStr"/>
    </row>
    <row r="890" ht="15" customHeight="1">
      <c r="A890" t="inlineStr">
        <is>
          <t>A 60706-2018</t>
        </is>
      </c>
      <c r="B890" s="1" t="n">
        <v>43409</v>
      </c>
      <c r="C890" s="1" t="n">
        <v>45212</v>
      </c>
      <c r="D890" t="inlineStr">
        <is>
          <t>VÄSTRA GÖTALANDS LÄN</t>
        </is>
      </c>
      <c r="E890" t="inlineStr">
        <is>
          <t>VARA</t>
        </is>
      </c>
      <c r="G890" t="n">
        <v>0.7</v>
      </c>
      <c r="H890" t="n">
        <v>0</v>
      </c>
      <c r="I890" t="n">
        <v>0</v>
      </c>
      <c r="J890" t="n">
        <v>0</v>
      </c>
      <c r="K890" t="n">
        <v>0</v>
      </c>
      <c r="L890" t="n">
        <v>0</v>
      </c>
      <c r="M890" t="n">
        <v>0</v>
      </c>
      <c r="N890" t="n">
        <v>0</v>
      </c>
      <c r="O890" t="n">
        <v>0</v>
      </c>
      <c r="P890" t="n">
        <v>0</v>
      </c>
      <c r="Q890" t="n">
        <v>0</v>
      </c>
      <c r="R890" s="2" t="inlineStr"/>
    </row>
    <row r="891" ht="15" customHeight="1">
      <c r="A891" t="inlineStr">
        <is>
          <t>A 58312-2018</t>
        </is>
      </c>
      <c r="B891" s="1" t="n">
        <v>43409</v>
      </c>
      <c r="C891" s="1" t="n">
        <v>45212</v>
      </c>
      <c r="D891" t="inlineStr">
        <is>
          <t>VÄSTRA GÖTALANDS LÄN</t>
        </is>
      </c>
      <c r="E891" t="inlineStr">
        <is>
          <t>LYSEKIL</t>
        </is>
      </c>
      <c r="G891" t="n">
        <v>7.8</v>
      </c>
      <c r="H891" t="n">
        <v>0</v>
      </c>
      <c r="I891" t="n">
        <v>0</v>
      </c>
      <c r="J891" t="n">
        <v>0</v>
      </c>
      <c r="K891" t="n">
        <v>0</v>
      </c>
      <c r="L891" t="n">
        <v>0</v>
      </c>
      <c r="M891" t="n">
        <v>0</v>
      </c>
      <c r="N891" t="n">
        <v>0</v>
      </c>
      <c r="O891" t="n">
        <v>0</v>
      </c>
      <c r="P891" t="n">
        <v>0</v>
      </c>
      <c r="Q891" t="n">
        <v>0</v>
      </c>
      <c r="R891" s="2" t="inlineStr"/>
    </row>
    <row r="892" ht="15" customHeight="1">
      <c r="A892" t="inlineStr">
        <is>
          <t>A 58394-2018</t>
        </is>
      </c>
      <c r="B892" s="1" t="n">
        <v>43409</v>
      </c>
      <c r="C892" s="1" t="n">
        <v>45212</v>
      </c>
      <c r="D892" t="inlineStr">
        <is>
          <t>VÄSTRA GÖTALANDS LÄN</t>
        </is>
      </c>
      <c r="E892" t="inlineStr">
        <is>
          <t>BOLLEBYGD</t>
        </is>
      </c>
      <c r="G892" t="n">
        <v>6.6</v>
      </c>
      <c r="H892" t="n">
        <v>0</v>
      </c>
      <c r="I892" t="n">
        <v>0</v>
      </c>
      <c r="J892" t="n">
        <v>0</v>
      </c>
      <c r="K892" t="n">
        <v>0</v>
      </c>
      <c r="L892" t="n">
        <v>0</v>
      </c>
      <c r="M892" t="n">
        <v>0</v>
      </c>
      <c r="N892" t="n">
        <v>0</v>
      </c>
      <c r="O892" t="n">
        <v>0</v>
      </c>
      <c r="P892" t="n">
        <v>0</v>
      </c>
      <c r="Q892" t="n">
        <v>0</v>
      </c>
      <c r="R892" s="2" t="inlineStr"/>
    </row>
    <row r="893" ht="15" customHeight="1">
      <c r="A893" t="inlineStr">
        <is>
          <t>A 60677-2018</t>
        </is>
      </c>
      <c r="B893" s="1" t="n">
        <v>43409</v>
      </c>
      <c r="C893" s="1" t="n">
        <v>45212</v>
      </c>
      <c r="D893" t="inlineStr">
        <is>
          <t>VÄSTRA GÖTALANDS LÄN</t>
        </is>
      </c>
      <c r="E893" t="inlineStr">
        <is>
          <t>ÅMÅL</t>
        </is>
      </c>
      <c r="G893" t="n">
        <v>0.7</v>
      </c>
      <c r="H893" t="n">
        <v>0</v>
      </c>
      <c r="I893" t="n">
        <v>0</v>
      </c>
      <c r="J893" t="n">
        <v>0</v>
      </c>
      <c r="K893" t="n">
        <v>0</v>
      </c>
      <c r="L893" t="n">
        <v>0</v>
      </c>
      <c r="M893" t="n">
        <v>0</v>
      </c>
      <c r="N893" t="n">
        <v>0</v>
      </c>
      <c r="O893" t="n">
        <v>0</v>
      </c>
      <c r="P893" t="n">
        <v>0</v>
      </c>
      <c r="Q893" t="n">
        <v>0</v>
      </c>
      <c r="R893" s="2" t="inlineStr"/>
    </row>
    <row r="894" ht="15" customHeight="1">
      <c r="A894" t="inlineStr">
        <is>
          <t>A 58328-2018</t>
        </is>
      </c>
      <c r="B894" s="1" t="n">
        <v>43409</v>
      </c>
      <c r="C894" s="1" t="n">
        <v>45212</v>
      </c>
      <c r="D894" t="inlineStr">
        <is>
          <t>VÄSTRA GÖTALANDS LÄN</t>
        </is>
      </c>
      <c r="E894" t="inlineStr">
        <is>
          <t>BENGTSFORS</t>
        </is>
      </c>
      <c r="G894" t="n">
        <v>8.199999999999999</v>
      </c>
      <c r="H894" t="n">
        <v>0</v>
      </c>
      <c r="I894" t="n">
        <v>0</v>
      </c>
      <c r="J894" t="n">
        <v>0</v>
      </c>
      <c r="K894" t="n">
        <v>0</v>
      </c>
      <c r="L894" t="n">
        <v>0</v>
      </c>
      <c r="M894" t="n">
        <v>0</v>
      </c>
      <c r="N894" t="n">
        <v>0</v>
      </c>
      <c r="O894" t="n">
        <v>0</v>
      </c>
      <c r="P894" t="n">
        <v>0</v>
      </c>
      <c r="Q894" t="n">
        <v>0</v>
      </c>
      <c r="R894" s="2" t="inlineStr"/>
    </row>
    <row r="895" ht="15" customHeight="1">
      <c r="A895" t="inlineStr">
        <is>
          <t>A 58835-2018</t>
        </is>
      </c>
      <c r="B895" s="1" t="n">
        <v>43410</v>
      </c>
      <c r="C895" s="1" t="n">
        <v>45212</v>
      </c>
      <c r="D895" t="inlineStr">
        <is>
          <t>VÄSTRA GÖTALANDS LÄN</t>
        </is>
      </c>
      <c r="E895" t="inlineStr">
        <is>
          <t>ALINGSÅS</t>
        </is>
      </c>
      <c r="G895" t="n">
        <v>1.2</v>
      </c>
      <c r="H895" t="n">
        <v>0</v>
      </c>
      <c r="I895" t="n">
        <v>0</v>
      </c>
      <c r="J895" t="n">
        <v>0</v>
      </c>
      <c r="K895" t="n">
        <v>0</v>
      </c>
      <c r="L895" t="n">
        <v>0</v>
      </c>
      <c r="M895" t="n">
        <v>0</v>
      </c>
      <c r="N895" t="n">
        <v>0</v>
      </c>
      <c r="O895" t="n">
        <v>0</v>
      </c>
      <c r="P895" t="n">
        <v>0</v>
      </c>
      <c r="Q895" t="n">
        <v>0</v>
      </c>
      <c r="R895" s="2" t="inlineStr"/>
    </row>
    <row r="896" ht="15" customHeight="1">
      <c r="A896" t="inlineStr">
        <is>
          <t>A 60799-2018</t>
        </is>
      </c>
      <c r="B896" s="1" t="n">
        <v>43410</v>
      </c>
      <c r="C896" s="1" t="n">
        <v>45212</v>
      </c>
      <c r="D896" t="inlineStr">
        <is>
          <t>VÄSTRA GÖTALANDS LÄN</t>
        </is>
      </c>
      <c r="E896" t="inlineStr">
        <is>
          <t>STRÖMSTAD</t>
        </is>
      </c>
      <c r="G896" t="n">
        <v>2.4</v>
      </c>
      <c r="H896" t="n">
        <v>0</v>
      </c>
      <c r="I896" t="n">
        <v>0</v>
      </c>
      <c r="J896" t="n">
        <v>0</v>
      </c>
      <c r="K896" t="n">
        <v>0</v>
      </c>
      <c r="L896" t="n">
        <v>0</v>
      </c>
      <c r="M896" t="n">
        <v>0</v>
      </c>
      <c r="N896" t="n">
        <v>0</v>
      </c>
      <c r="O896" t="n">
        <v>0</v>
      </c>
      <c r="P896" t="n">
        <v>0</v>
      </c>
      <c r="Q896" t="n">
        <v>0</v>
      </c>
      <c r="R896" s="2" t="inlineStr"/>
    </row>
    <row r="897" ht="15" customHeight="1">
      <c r="A897" t="inlineStr">
        <is>
          <t>A 60772-2018</t>
        </is>
      </c>
      <c r="B897" s="1" t="n">
        <v>43410</v>
      </c>
      <c r="C897" s="1" t="n">
        <v>45212</v>
      </c>
      <c r="D897" t="inlineStr">
        <is>
          <t>VÄSTRA GÖTALANDS LÄN</t>
        </is>
      </c>
      <c r="E897" t="inlineStr">
        <is>
          <t>ÅMÅL</t>
        </is>
      </c>
      <c r="G897" t="n">
        <v>1.1</v>
      </c>
      <c r="H897" t="n">
        <v>0</v>
      </c>
      <c r="I897" t="n">
        <v>0</v>
      </c>
      <c r="J897" t="n">
        <v>0</v>
      </c>
      <c r="K897" t="n">
        <v>0</v>
      </c>
      <c r="L897" t="n">
        <v>0</v>
      </c>
      <c r="M897" t="n">
        <v>0</v>
      </c>
      <c r="N897" t="n">
        <v>0</v>
      </c>
      <c r="O897" t="n">
        <v>0</v>
      </c>
      <c r="P897" t="n">
        <v>0</v>
      </c>
      <c r="Q897" t="n">
        <v>0</v>
      </c>
      <c r="R897" s="2" t="inlineStr"/>
    </row>
    <row r="898" ht="15" customHeight="1">
      <c r="A898" t="inlineStr">
        <is>
          <t>A 60819-2018</t>
        </is>
      </c>
      <c r="B898" s="1" t="n">
        <v>43410</v>
      </c>
      <c r="C898" s="1" t="n">
        <v>45212</v>
      </c>
      <c r="D898" t="inlineStr">
        <is>
          <t>VÄSTRA GÖTALANDS LÄN</t>
        </is>
      </c>
      <c r="E898" t="inlineStr">
        <is>
          <t>BORÅS</t>
        </is>
      </c>
      <c r="G898" t="n">
        <v>2.2</v>
      </c>
      <c r="H898" t="n">
        <v>0</v>
      </c>
      <c r="I898" t="n">
        <v>0</v>
      </c>
      <c r="J898" t="n">
        <v>0</v>
      </c>
      <c r="K898" t="n">
        <v>0</v>
      </c>
      <c r="L898" t="n">
        <v>0</v>
      </c>
      <c r="M898" t="n">
        <v>0</v>
      </c>
      <c r="N898" t="n">
        <v>0</v>
      </c>
      <c r="O898" t="n">
        <v>0</v>
      </c>
      <c r="P898" t="n">
        <v>0</v>
      </c>
      <c r="Q898" t="n">
        <v>0</v>
      </c>
      <c r="R898" s="2" t="inlineStr"/>
    </row>
    <row r="899" ht="15" customHeight="1">
      <c r="A899" t="inlineStr">
        <is>
          <t>A 60776-2018</t>
        </is>
      </c>
      <c r="B899" s="1" t="n">
        <v>43410</v>
      </c>
      <c r="C899" s="1" t="n">
        <v>45212</v>
      </c>
      <c r="D899" t="inlineStr">
        <is>
          <t>VÄSTRA GÖTALANDS LÄN</t>
        </is>
      </c>
      <c r="E899" t="inlineStr">
        <is>
          <t>STRÖMSTAD</t>
        </is>
      </c>
      <c r="G899" t="n">
        <v>1.5</v>
      </c>
      <c r="H899" t="n">
        <v>0</v>
      </c>
      <c r="I899" t="n">
        <v>0</v>
      </c>
      <c r="J899" t="n">
        <v>0</v>
      </c>
      <c r="K899" t="n">
        <v>0</v>
      </c>
      <c r="L899" t="n">
        <v>0</v>
      </c>
      <c r="M899" t="n">
        <v>0</v>
      </c>
      <c r="N899" t="n">
        <v>0</v>
      </c>
      <c r="O899" t="n">
        <v>0</v>
      </c>
      <c r="P899" t="n">
        <v>0</v>
      </c>
      <c r="Q899" t="n">
        <v>0</v>
      </c>
      <c r="R899" s="2" t="inlineStr"/>
    </row>
    <row r="900" ht="15" customHeight="1">
      <c r="A900" t="inlineStr">
        <is>
          <t>A 60823-2018</t>
        </is>
      </c>
      <c r="B900" s="1" t="n">
        <v>43410</v>
      </c>
      <c r="C900" s="1" t="n">
        <v>45212</v>
      </c>
      <c r="D900" t="inlineStr">
        <is>
          <t>VÄSTRA GÖTALANDS LÄN</t>
        </is>
      </c>
      <c r="E900" t="inlineStr">
        <is>
          <t>BORÅS</t>
        </is>
      </c>
      <c r="G900" t="n">
        <v>0.8</v>
      </c>
      <c r="H900" t="n">
        <v>0</v>
      </c>
      <c r="I900" t="n">
        <v>0</v>
      </c>
      <c r="J900" t="n">
        <v>0</v>
      </c>
      <c r="K900" t="n">
        <v>0</v>
      </c>
      <c r="L900" t="n">
        <v>0</v>
      </c>
      <c r="M900" t="n">
        <v>0</v>
      </c>
      <c r="N900" t="n">
        <v>0</v>
      </c>
      <c r="O900" t="n">
        <v>0</v>
      </c>
      <c r="P900" t="n">
        <v>0</v>
      </c>
      <c r="Q900" t="n">
        <v>0</v>
      </c>
      <c r="R900" s="2" t="inlineStr"/>
    </row>
    <row r="901" ht="15" customHeight="1">
      <c r="A901" t="inlineStr">
        <is>
          <t>A 58589-2018</t>
        </is>
      </c>
      <c r="B901" s="1" t="n">
        <v>43410</v>
      </c>
      <c r="C901" s="1" t="n">
        <v>45212</v>
      </c>
      <c r="D901" t="inlineStr">
        <is>
          <t>VÄSTRA GÖTALANDS LÄN</t>
        </is>
      </c>
      <c r="E901" t="inlineStr">
        <is>
          <t>ALE</t>
        </is>
      </c>
      <c r="G901" t="n">
        <v>4.6</v>
      </c>
      <c r="H901" t="n">
        <v>0</v>
      </c>
      <c r="I901" t="n">
        <v>0</v>
      </c>
      <c r="J901" t="n">
        <v>0</v>
      </c>
      <c r="K901" t="n">
        <v>0</v>
      </c>
      <c r="L901" t="n">
        <v>0</v>
      </c>
      <c r="M901" t="n">
        <v>0</v>
      </c>
      <c r="N901" t="n">
        <v>0</v>
      </c>
      <c r="O901" t="n">
        <v>0</v>
      </c>
      <c r="P901" t="n">
        <v>0</v>
      </c>
      <c r="Q901" t="n">
        <v>0</v>
      </c>
      <c r="R901" s="2" t="inlineStr"/>
    </row>
    <row r="902" ht="15" customHeight="1">
      <c r="A902" t="inlineStr">
        <is>
          <t>A 58687-2018</t>
        </is>
      </c>
      <c r="B902" s="1" t="n">
        <v>43410</v>
      </c>
      <c r="C902" s="1" t="n">
        <v>45212</v>
      </c>
      <c r="D902" t="inlineStr">
        <is>
          <t>VÄSTRA GÖTALANDS LÄN</t>
        </is>
      </c>
      <c r="E902" t="inlineStr">
        <is>
          <t>VÄNERSBORG</t>
        </is>
      </c>
      <c r="F902" t="inlineStr">
        <is>
          <t>Kommuner</t>
        </is>
      </c>
      <c r="G902" t="n">
        <v>5.2</v>
      </c>
      <c r="H902" t="n">
        <v>0</v>
      </c>
      <c r="I902" t="n">
        <v>0</v>
      </c>
      <c r="J902" t="n">
        <v>0</v>
      </c>
      <c r="K902" t="n">
        <v>0</v>
      </c>
      <c r="L902" t="n">
        <v>0</v>
      </c>
      <c r="M902" t="n">
        <v>0</v>
      </c>
      <c r="N902" t="n">
        <v>0</v>
      </c>
      <c r="O902" t="n">
        <v>0</v>
      </c>
      <c r="P902" t="n">
        <v>0</v>
      </c>
      <c r="Q902" t="n">
        <v>0</v>
      </c>
      <c r="R902" s="2" t="inlineStr"/>
    </row>
    <row r="903" ht="15" customHeight="1">
      <c r="A903" t="inlineStr">
        <is>
          <t>A 60773-2018</t>
        </is>
      </c>
      <c r="B903" s="1" t="n">
        <v>43410</v>
      </c>
      <c r="C903" s="1" t="n">
        <v>45212</v>
      </c>
      <c r="D903" t="inlineStr">
        <is>
          <t>VÄSTRA GÖTALANDS LÄN</t>
        </is>
      </c>
      <c r="E903" t="inlineStr">
        <is>
          <t>ÅMÅL</t>
        </is>
      </c>
      <c r="G903" t="n">
        <v>14.4</v>
      </c>
      <c r="H903" t="n">
        <v>0</v>
      </c>
      <c r="I903" t="n">
        <v>0</v>
      </c>
      <c r="J903" t="n">
        <v>0</v>
      </c>
      <c r="K903" t="n">
        <v>0</v>
      </c>
      <c r="L903" t="n">
        <v>0</v>
      </c>
      <c r="M903" t="n">
        <v>0</v>
      </c>
      <c r="N903" t="n">
        <v>0</v>
      </c>
      <c r="O903" t="n">
        <v>0</v>
      </c>
      <c r="P903" t="n">
        <v>0</v>
      </c>
      <c r="Q903" t="n">
        <v>0</v>
      </c>
      <c r="R903" s="2" t="inlineStr"/>
    </row>
    <row r="904" ht="15" customHeight="1">
      <c r="A904" t="inlineStr">
        <is>
          <t>A 59103-2018</t>
        </is>
      </c>
      <c r="B904" s="1" t="n">
        <v>43411</v>
      </c>
      <c r="C904" s="1" t="n">
        <v>45212</v>
      </c>
      <c r="D904" t="inlineStr">
        <is>
          <t>VÄSTRA GÖTALANDS LÄN</t>
        </is>
      </c>
      <c r="E904" t="inlineStr">
        <is>
          <t>LILLA EDET</t>
        </is>
      </c>
      <c r="G904" t="n">
        <v>1</v>
      </c>
      <c r="H904" t="n">
        <v>0</v>
      </c>
      <c r="I904" t="n">
        <v>0</v>
      </c>
      <c r="J904" t="n">
        <v>0</v>
      </c>
      <c r="K904" t="n">
        <v>0</v>
      </c>
      <c r="L904" t="n">
        <v>0</v>
      </c>
      <c r="M904" t="n">
        <v>0</v>
      </c>
      <c r="N904" t="n">
        <v>0</v>
      </c>
      <c r="O904" t="n">
        <v>0</v>
      </c>
      <c r="P904" t="n">
        <v>0</v>
      </c>
      <c r="Q904" t="n">
        <v>0</v>
      </c>
      <c r="R904" s="2" t="inlineStr"/>
    </row>
    <row r="905" ht="15" customHeight="1">
      <c r="A905" t="inlineStr">
        <is>
          <t>A 61041-2018</t>
        </is>
      </c>
      <c r="B905" s="1" t="n">
        <v>43411</v>
      </c>
      <c r="C905" s="1" t="n">
        <v>45212</v>
      </c>
      <c r="D905" t="inlineStr">
        <is>
          <t>VÄSTRA GÖTALANDS LÄN</t>
        </is>
      </c>
      <c r="E905" t="inlineStr">
        <is>
          <t>BORÅS</t>
        </is>
      </c>
      <c r="F905" t="inlineStr">
        <is>
          <t>Kommuner</t>
        </is>
      </c>
      <c r="G905" t="n">
        <v>0.5</v>
      </c>
      <c r="H905" t="n">
        <v>0</v>
      </c>
      <c r="I905" t="n">
        <v>0</v>
      </c>
      <c r="J905" t="n">
        <v>0</v>
      </c>
      <c r="K905" t="n">
        <v>0</v>
      </c>
      <c r="L905" t="n">
        <v>0</v>
      </c>
      <c r="M905" t="n">
        <v>0</v>
      </c>
      <c r="N905" t="n">
        <v>0</v>
      </c>
      <c r="O905" t="n">
        <v>0</v>
      </c>
      <c r="P905" t="n">
        <v>0</v>
      </c>
      <c r="Q905" t="n">
        <v>0</v>
      </c>
      <c r="R905" s="2" t="inlineStr"/>
    </row>
    <row r="906" ht="15" customHeight="1">
      <c r="A906" t="inlineStr">
        <is>
          <t>A 59112-2018</t>
        </is>
      </c>
      <c r="B906" s="1" t="n">
        <v>43411</v>
      </c>
      <c r="C906" s="1" t="n">
        <v>45212</v>
      </c>
      <c r="D906" t="inlineStr">
        <is>
          <t>VÄSTRA GÖTALANDS LÄN</t>
        </is>
      </c>
      <c r="E906" t="inlineStr">
        <is>
          <t>BORÅS</t>
        </is>
      </c>
      <c r="G906" t="n">
        <v>1.1</v>
      </c>
      <c r="H906" t="n">
        <v>0</v>
      </c>
      <c r="I906" t="n">
        <v>0</v>
      </c>
      <c r="J906" t="n">
        <v>0</v>
      </c>
      <c r="K906" t="n">
        <v>0</v>
      </c>
      <c r="L906" t="n">
        <v>0</v>
      </c>
      <c r="M906" t="n">
        <v>0</v>
      </c>
      <c r="N906" t="n">
        <v>0</v>
      </c>
      <c r="O906" t="n">
        <v>0</v>
      </c>
      <c r="P906" t="n">
        <v>0</v>
      </c>
      <c r="Q906" t="n">
        <v>0</v>
      </c>
      <c r="R906" s="2" t="inlineStr"/>
    </row>
    <row r="907" ht="15" customHeight="1">
      <c r="A907" t="inlineStr">
        <is>
          <t>A 59775-2018</t>
        </is>
      </c>
      <c r="B907" s="1" t="n">
        <v>43411</v>
      </c>
      <c r="C907" s="1" t="n">
        <v>45212</v>
      </c>
      <c r="D907" t="inlineStr">
        <is>
          <t>VÄSTRA GÖTALANDS LÄN</t>
        </is>
      </c>
      <c r="E907" t="inlineStr">
        <is>
          <t>MÖLNDAL</t>
        </is>
      </c>
      <c r="G907" t="n">
        <v>1.3</v>
      </c>
      <c r="H907" t="n">
        <v>0</v>
      </c>
      <c r="I907" t="n">
        <v>0</v>
      </c>
      <c r="J907" t="n">
        <v>0</v>
      </c>
      <c r="K907" t="n">
        <v>0</v>
      </c>
      <c r="L907" t="n">
        <v>0</v>
      </c>
      <c r="M907" t="n">
        <v>0</v>
      </c>
      <c r="N907" t="n">
        <v>0</v>
      </c>
      <c r="O907" t="n">
        <v>0</v>
      </c>
      <c r="P907" t="n">
        <v>0</v>
      </c>
      <c r="Q907" t="n">
        <v>0</v>
      </c>
      <c r="R907" s="2" t="inlineStr"/>
    </row>
    <row r="908" ht="15" customHeight="1">
      <c r="A908" t="inlineStr">
        <is>
          <t>A 60899-2018</t>
        </is>
      </c>
      <c r="B908" s="1" t="n">
        <v>43411</v>
      </c>
      <c r="C908" s="1" t="n">
        <v>45212</v>
      </c>
      <c r="D908" t="inlineStr">
        <is>
          <t>VÄSTRA GÖTALANDS LÄN</t>
        </is>
      </c>
      <c r="E908" t="inlineStr">
        <is>
          <t>MARK</t>
        </is>
      </c>
      <c r="G908" t="n">
        <v>1.1</v>
      </c>
      <c r="H908" t="n">
        <v>0</v>
      </c>
      <c r="I908" t="n">
        <v>0</v>
      </c>
      <c r="J908" t="n">
        <v>0</v>
      </c>
      <c r="K908" t="n">
        <v>0</v>
      </c>
      <c r="L908" t="n">
        <v>0</v>
      </c>
      <c r="M908" t="n">
        <v>0</v>
      </c>
      <c r="N908" t="n">
        <v>0</v>
      </c>
      <c r="O908" t="n">
        <v>0</v>
      </c>
      <c r="P908" t="n">
        <v>0</v>
      </c>
      <c r="Q908" t="n">
        <v>0</v>
      </c>
      <c r="R908" s="2" t="inlineStr"/>
    </row>
    <row r="909" ht="15" customHeight="1">
      <c r="A909" t="inlineStr">
        <is>
          <t>A 59119-2018</t>
        </is>
      </c>
      <c r="B909" s="1" t="n">
        <v>43411</v>
      </c>
      <c r="C909" s="1" t="n">
        <v>45212</v>
      </c>
      <c r="D909" t="inlineStr">
        <is>
          <t>VÄSTRA GÖTALANDS LÄN</t>
        </is>
      </c>
      <c r="E909" t="inlineStr">
        <is>
          <t>BORÅS</t>
        </is>
      </c>
      <c r="G909" t="n">
        <v>0.6</v>
      </c>
      <c r="H909" t="n">
        <v>0</v>
      </c>
      <c r="I909" t="n">
        <v>0</v>
      </c>
      <c r="J909" t="n">
        <v>0</v>
      </c>
      <c r="K909" t="n">
        <v>0</v>
      </c>
      <c r="L909" t="n">
        <v>0</v>
      </c>
      <c r="M909" t="n">
        <v>0</v>
      </c>
      <c r="N909" t="n">
        <v>0</v>
      </c>
      <c r="O909" t="n">
        <v>0</v>
      </c>
      <c r="P909" t="n">
        <v>0</v>
      </c>
      <c r="Q909" t="n">
        <v>0</v>
      </c>
      <c r="R909" s="2" t="inlineStr"/>
    </row>
    <row r="910" ht="15" customHeight="1">
      <c r="A910" t="inlineStr">
        <is>
          <t>A 59319-2018</t>
        </is>
      </c>
      <c r="B910" s="1" t="n">
        <v>43411</v>
      </c>
      <c r="C910" s="1" t="n">
        <v>45212</v>
      </c>
      <c r="D910" t="inlineStr">
        <is>
          <t>VÄSTRA GÖTALANDS LÄN</t>
        </is>
      </c>
      <c r="E910" t="inlineStr">
        <is>
          <t>ALE</t>
        </is>
      </c>
      <c r="G910" t="n">
        <v>12.5</v>
      </c>
      <c r="H910" t="n">
        <v>0</v>
      </c>
      <c r="I910" t="n">
        <v>0</v>
      </c>
      <c r="J910" t="n">
        <v>0</v>
      </c>
      <c r="K910" t="n">
        <v>0</v>
      </c>
      <c r="L910" t="n">
        <v>0</v>
      </c>
      <c r="M910" t="n">
        <v>0</v>
      </c>
      <c r="N910" t="n">
        <v>0</v>
      </c>
      <c r="O910" t="n">
        <v>0</v>
      </c>
      <c r="P910" t="n">
        <v>0</v>
      </c>
      <c r="Q910" t="n">
        <v>0</v>
      </c>
      <c r="R910" s="2" t="inlineStr"/>
    </row>
    <row r="911" ht="15" customHeight="1">
      <c r="A911" t="inlineStr">
        <is>
          <t>A 59332-2018</t>
        </is>
      </c>
      <c r="B911" s="1" t="n">
        <v>43411</v>
      </c>
      <c r="C911" s="1" t="n">
        <v>45212</v>
      </c>
      <c r="D911" t="inlineStr">
        <is>
          <t>VÄSTRA GÖTALANDS LÄN</t>
        </is>
      </c>
      <c r="E911" t="inlineStr">
        <is>
          <t>LILLA EDET</t>
        </is>
      </c>
      <c r="G911" t="n">
        <v>3.6</v>
      </c>
      <c r="H911" t="n">
        <v>0</v>
      </c>
      <c r="I911" t="n">
        <v>0</v>
      </c>
      <c r="J911" t="n">
        <v>0</v>
      </c>
      <c r="K911" t="n">
        <v>0</v>
      </c>
      <c r="L911" t="n">
        <v>0</v>
      </c>
      <c r="M911" t="n">
        <v>0</v>
      </c>
      <c r="N911" t="n">
        <v>0</v>
      </c>
      <c r="O911" t="n">
        <v>0</v>
      </c>
      <c r="P911" t="n">
        <v>0</v>
      </c>
      <c r="Q911" t="n">
        <v>0</v>
      </c>
      <c r="R911" s="2" t="inlineStr"/>
    </row>
    <row r="912" ht="15" customHeight="1">
      <c r="A912" t="inlineStr">
        <is>
          <t>A 59774-2018</t>
        </is>
      </c>
      <c r="B912" s="1" t="n">
        <v>43411</v>
      </c>
      <c r="C912" s="1" t="n">
        <v>45212</v>
      </c>
      <c r="D912" t="inlineStr">
        <is>
          <t>VÄSTRA GÖTALANDS LÄN</t>
        </is>
      </c>
      <c r="E912" t="inlineStr">
        <is>
          <t>MARIESTAD</t>
        </is>
      </c>
      <c r="G912" t="n">
        <v>0.5</v>
      </c>
      <c r="H912" t="n">
        <v>0</v>
      </c>
      <c r="I912" t="n">
        <v>0</v>
      </c>
      <c r="J912" t="n">
        <v>0</v>
      </c>
      <c r="K912" t="n">
        <v>0</v>
      </c>
      <c r="L912" t="n">
        <v>0</v>
      </c>
      <c r="M912" t="n">
        <v>0</v>
      </c>
      <c r="N912" t="n">
        <v>0</v>
      </c>
      <c r="O912" t="n">
        <v>0</v>
      </c>
      <c r="P912" t="n">
        <v>0</v>
      </c>
      <c r="Q912" t="n">
        <v>0</v>
      </c>
      <c r="R912" s="2" t="inlineStr"/>
    </row>
    <row r="913" ht="15" customHeight="1">
      <c r="A913" t="inlineStr">
        <is>
          <t>A 59126-2018</t>
        </is>
      </c>
      <c r="B913" s="1" t="n">
        <v>43411</v>
      </c>
      <c r="C913" s="1" t="n">
        <v>45212</v>
      </c>
      <c r="D913" t="inlineStr">
        <is>
          <t>VÄSTRA GÖTALANDS LÄN</t>
        </is>
      </c>
      <c r="E913" t="inlineStr">
        <is>
          <t>SVENLJUNGA</t>
        </is>
      </c>
      <c r="G913" t="n">
        <v>1.5</v>
      </c>
      <c r="H913" t="n">
        <v>0</v>
      </c>
      <c r="I913" t="n">
        <v>0</v>
      </c>
      <c r="J913" t="n">
        <v>0</v>
      </c>
      <c r="K913" t="n">
        <v>0</v>
      </c>
      <c r="L913" t="n">
        <v>0</v>
      </c>
      <c r="M913" t="n">
        <v>0</v>
      </c>
      <c r="N913" t="n">
        <v>0</v>
      </c>
      <c r="O913" t="n">
        <v>0</v>
      </c>
      <c r="P913" t="n">
        <v>0</v>
      </c>
      <c r="Q913" t="n">
        <v>0</v>
      </c>
      <c r="R913" s="2" t="inlineStr"/>
    </row>
    <row r="914" ht="15" customHeight="1">
      <c r="A914" t="inlineStr">
        <is>
          <t>A 59138-2018</t>
        </is>
      </c>
      <c r="B914" s="1" t="n">
        <v>43411</v>
      </c>
      <c r="C914" s="1" t="n">
        <v>45212</v>
      </c>
      <c r="D914" t="inlineStr">
        <is>
          <t>VÄSTRA GÖTALANDS LÄN</t>
        </is>
      </c>
      <c r="E914" t="inlineStr">
        <is>
          <t>BORÅS</t>
        </is>
      </c>
      <c r="G914" t="n">
        <v>1.1</v>
      </c>
      <c r="H914" t="n">
        <v>0</v>
      </c>
      <c r="I914" t="n">
        <v>0</v>
      </c>
      <c r="J914" t="n">
        <v>0</v>
      </c>
      <c r="K914" t="n">
        <v>0</v>
      </c>
      <c r="L914" t="n">
        <v>0</v>
      </c>
      <c r="M914" t="n">
        <v>0</v>
      </c>
      <c r="N914" t="n">
        <v>0</v>
      </c>
      <c r="O914" t="n">
        <v>0</v>
      </c>
      <c r="P914" t="n">
        <v>0</v>
      </c>
      <c r="Q914" t="n">
        <v>0</v>
      </c>
      <c r="R914" s="2" t="inlineStr"/>
    </row>
    <row r="915" ht="15" customHeight="1">
      <c r="A915" t="inlineStr">
        <is>
          <t>A 60012-2018</t>
        </is>
      </c>
      <c r="B915" s="1" t="n">
        <v>43412</v>
      </c>
      <c r="C915" s="1" t="n">
        <v>45212</v>
      </c>
      <c r="D915" t="inlineStr">
        <is>
          <t>VÄSTRA GÖTALANDS LÄN</t>
        </is>
      </c>
      <c r="E915" t="inlineStr">
        <is>
          <t>KUNGÄLV</t>
        </is>
      </c>
      <c r="G915" t="n">
        <v>6.1</v>
      </c>
      <c r="H915" t="n">
        <v>0</v>
      </c>
      <c r="I915" t="n">
        <v>0</v>
      </c>
      <c r="J915" t="n">
        <v>0</v>
      </c>
      <c r="K915" t="n">
        <v>0</v>
      </c>
      <c r="L915" t="n">
        <v>0</v>
      </c>
      <c r="M915" t="n">
        <v>0</v>
      </c>
      <c r="N915" t="n">
        <v>0</v>
      </c>
      <c r="O915" t="n">
        <v>0</v>
      </c>
      <c r="P915" t="n">
        <v>0</v>
      </c>
      <c r="Q915" t="n">
        <v>0</v>
      </c>
      <c r="R915" s="2" t="inlineStr"/>
    </row>
    <row r="916" ht="15" customHeight="1">
      <c r="A916" t="inlineStr">
        <is>
          <t>A 60020-2018</t>
        </is>
      </c>
      <c r="B916" s="1" t="n">
        <v>43412</v>
      </c>
      <c r="C916" s="1" t="n">
        <v>45212</v>
      </c>
      <c r="D916" t="inlineStr">
        <is>
          <t>VÄSTRA GÖTALANDS LÄN</t>
        </is>
      </c>
      <c r="E916" t="inlineStr">
        <is>
          <t>VÄNERSBORG</t>
        </is>
      </c>
      <c r="G916" t="n">
        <v>1.5</v>
      </c>
      <c r="H916" t="n">
        <v>0</v>
      </c>
      <c r="I916" t="n">
        <v>0</v>
      </c>
      <c r="J916" t="n">
        <v>0</v>
      </c>
      <c r="K916" t="n">
        <v>0</v>
      </c>
      <c r="L916" t="n">
        <v>0</v>
      </c>
      <c r="M916" t="n">
        <v>0</v>
      </c>
      <c r="N916" t="n">
        <v>0</v>
      </c>
      <c r="O916" t="n">
        <v>0</v>
      </c>
      <c r="P916" t="n">
        <v>0</v>
      </c>
      <c r="Q916" t="n">
        <v>0</v>
      </c>
      <c r="R916" s="2" t="inlineStr"/>
    </row>
    <row r="917" ht="15" customHeight="1">
      <c r="A917" t="inlineStr">
        <is>
          <t>A 60053-2018</t>
        </is>
      </c>
      <c r="B917" s="1" t="n">
        <v>43412</v>
      </c>
      <c r="C917" s="1" t="n">
        <v>45212</v>
      </c>
      <c r="D917" t="inlineStr">
        <is>
          <t>VÄSTRA GÖTALANDS LÄN</t>
        </is>
      </c>
      <c r="E917" t="inlineStr">
        <is>
          <t>GULLSPÅNG</t>
        </is>
      </c>
      <c r="G917" t="n">
        <v>3.2</v>
      </c>
      <c r="H917" t="n">
        <v>0</v>
      </c>
      <c r="I917" t="n">
        <v>0</v>
      </c>
      <c r="J917" t="n">
        <v>0</v>
      </c>
      <c r="K917" t="n">
        <v>0</v>
      </c>
      <c r="L917" t="n">
        <v>0</v>
      </c>
      <c r="M917" t="n">
        <v>0</v>
      </c>
      <c r="N917" t="n">
        <v>0</v>
      </c>
      <c r="O917" t="n">
        <v>0</v>
      </c>
      <c r="P917" t="n">
        <v>0</v>
      </c>
      <c r="Q917" t="n">
        <v>0</v>
      </c>
      <c r="R917" s="2" t="inlineStr"/>
    </row>
    <row r="918" ht="15" customHeight="1">
      <c r="A918" t="inlineStr">
        <is>
          <t>A 60080-2018</t>
        </is>
      </c>
      <c r="B918" s="1" t="n">
        <v>43412</v>
      </c>
      <c r="C918" s="1" t="n">
        <v>45212</v>
      </c>
      <c r="D918" t="inlineStr">
        <is>
          <t>VÄSTRA GÖTALANDS LÄN</t>
        </is>
      </c>
      <c r="E918" t="inlineStr">
        <is>
          <t>MARIESTAD</t>
        </is>
      </c>
      <c r="G918" t="n">
        <v>3.7</v>
      </c>
      <c r="H918" t="n">
        <v>0</v>
      </c>
      <c r="I918" t="n">
        <v>0</v>
      </c>
      <c r="J918" t="n">
        <v>0</v>
      </c>
      <c r="K918" t="n">
        <v>0</v>
      </c>
      <c r="L918" t="n">
        <v>0</v>
      </c>
      <c r="M918" t="n">
        <v>0</v>
      </c>
      <c r="N918" t="n">
        <v>0</v>
      </c>
      <c r="O918" t="n">
        <v>0</v>
      </c>
      <c r="P918" t="n">
        <v>0</v>
      </c>
      <c r="Q918" t="n">
        <v>0</v>
      </c>
      <c r="R918" s="2" t="inlineStr"/>
    </row>
    <row r="919" ht="15" customHeight="1">
      <c r="A919" t="inlineStr">
        <is>
          <t>A 60128-2018</t>
        </is>
      </c>
      <c r="B919" s="1" t="n">
        <v>43412</v>
      </c>
      <c r="C919" s="1" t="n">
        <v>45212</v>
      </c>
      <c r="D919" t="inlineStr">
        <is>
          <t>VÄSTRA GÖTALANDS LÄN</t>
        </is>
      </c>
      <c r="E919" t="inlineStr">
        <is>
          <t>FÄRGELANDA</t>
        </is>
      </c>
      <c r="G919" t="n">
        <v>1.7</v>
      </c>
      <c r="H919" t="n">
        <v>0</v>
      </c>
      <c r="I919" t="n">
        <v>0</v>
      </c>
      <c r="J919" t="n">
        <v>0</v>
      </c>
      <c r="K919" t="n">
        <v>0</v>
      </c>
      <c r="L919" t="n">
        <v>0</v>
      </c>
      <c r="M919" t="n">
        <v>0</v>
      </c>
      <c r="N919" t="n">
        <v>0</v>
      </c>
      <c r="O919" t="n">
        <v>0</v>
      </c>
      <c r="P919" t="n">
        <v>0</v>
      </c>
      <c r="Q919" t="n">
        <v>0</v>
      </c>
      <c r="R919" s="2" t="inlineStr"/>
    </row>
    <row r="920" ht="15" customHeight="1">
      <c r="A920" t="inlineStr">
        <is>
          <t>A 60266-2018</t>
        </is>
      </c>
      <c r="B920" s="1" t="n">
        <v>43412</v>
      </c>
      <c r="C920" s="1" t="n">
        <v>45212</v>
      </c>
      <c r="D920" t="inlineStr">
        <is>
          <t>VÄSTRA GÖTALANDS LÄN</t>
        </is>
      </c>
      <c r="E920" t="inlineStr">
        <is>
          <t>ULRICEHAMN</t>
        </is>
      </c>
      <c r="G920" t="n">
        <v>3.5</v>
      </c>
      <c r="H920" t="n">
        <v>0</v>
      </c>
      <c r="I920" t="n">
        <v>0</v>
      </c>
      <c r="J920" t="n">
        <v>0</v>
      </c>
      <c r="K920" t="n">
        <v>0</v>
      </c>
      <c r="L920" t="n">
        <v>0</v>
      </c>
      <c r="M920" t="n">
        <v>0</v>
      </c>
      <c r="N920" t="n">
        <v>0</v>
      </c>
      <c r="O920" t="n">
        <v>0</v>
      </c>
      <c r="P920" t="n">
        <v>0</v>
      </c>
      <c r="Q920" t="n">
        <v>0</v>
      </c>
      <c r="R920" s="2" t="inlineStr"/>
    </row>
    <row r="921" ht="15" customHeight="1">
      <c r="A921" t="inlineStr">
        <is>
          <t>A 60083-2018</t>
        </is>
      </c>
      <c r="B921" s="1" t="n">
        <v>43412</v>
      </c>
      <c r="C921" s="1" t="n">
        <v>45212</v>
      </c>
      <c r="D921" t="inlineStr">
        <is>
          <t>VÄSTRA GÖTALANDS LÄN</t>
        </is>
      </c>
      <c r="E921" t="inlineStr">
        <is>
          <t>MARIESTAD</t>
        </is>
      </c>
      <c r="G921" t="n">
        <v>3.7</v>
      </c>
      <c r="H921" t="n">
        <v>0</v>
      </c>
      <c r="I921" t="n">
        <v>0</v>
      </c>
      <c r="J921" t="n">
        <v>0</v>
      </c>
      <c r="K921" t="n">
        <v>0</v>
      </c>
      <c r="L921" t="n">
        <v>0</v>
      </c>
      <c r="M921" t="n">
        <v>0</v>
      </c>
      <c r="N921" t="n">
        <v>0</v>
      </c>
      <c r="O921" t="n">
        <v>0</v>
      </c>
      <c r="P921" t="n">
        <v>0</v>
      </c>
      <c r="Q921" t="n">
        <v>0</v>
      </c>
      <c r="R921" s="2" t="inlineStr"/>
    </row>
    <row r="922" ht="15" customHeight="1">
      <c r="A922" t="inlineStr">
        <is>
          <t>A 60139-2018</t>
        </is>
      </c>
      <c r="B922" s="1" t="n">
        <v>43412</v>
      </c>
      <c r="C922" s="1" t="n">
        <v>45212</v>
      </c>
      <c r="D922" t="inlineStr">
        <is>
          <t>VÄSTRA GÖTALANDS LÄN</t>
        </is>
      </c>
      <c r="E922" t="inlineStr">
        <is>
          <t>LILLA EDET</t>
        </is>
      </c>
      <c r="G922" t="n">
        <v>2.8</v>
      </c>
      <c r="H922" t="n">
        <v>0</v>
      </c>
      <c r="I922" t="n">
        <v>0</v>
      </c>
      <c r="J922" t="n">
        <v>0</v>
      </c>
      <c r="K922" t="n">
        <v>0</v>
      </c>
      <c r="L922" t="n">
        <v>0</v>
      </c>
      <c r="M922" t="n">
        <v>0</v>
      </c>
      <c r="N922" t="n">
        <v>0</v>
      </c>
      <c r="O922" t="n">
        <v>0</v>
      </c>
      <c r="P922" t="n">
        <v>0</v>
      </c>
      <c r="Q922" t="n">
        <v>0</v>
      </c>
      <c r="R922" s="2" t="inlineStr"/>
    </row>
    <row r="923" ht="15" customHeight="1">
      <c r="A923" t="inlineStr">
        <is>
          <t>A 60234-2018</t>
        </is>
      </c>
      <c r="B923" s="1" t="n">
        <v>43412</v>
      </c>
      <c r="C923" s="1" t="n">
        <v>45212</v>
      </c>
      <c r="D923" t="inlineStr">
        <is>
          <t>VÄSTRA GÖTALANDS LÄN</t>
        </is>
      </c>
      <c r="E923" t="inlineStr">
        <is>
          <t>FÄRGELANDA</t>
        </is>
      </c>
      <c r="G923" t="n">
        <v>6.5</v>
      </c>
      <c r="H923" t="n">
        <v>0</v>
      </c>
      <c r="I923" t="n">
        <v>0</v>
      </c>
      <c r="J923" t="n">
        <v>0</v>
      </c>
      <c r="K923" t="n">
        <v>0</v>
      </c>
      <c r="L923" t="n">
        <v>0</v>
      </c>
      <c r="M923" t="n">
        <v>0</v>
      </c>
      <c r="N923" t="n">
        <v>0</v>
      </c>
      <c r="O923" t="n">
        <v>0</v>
      </c>
      <c r="P923" t="n">
        <v>0</v>
      </c>
      <c r="Q923" t="n">
        <v>0</v>
      </c>
      <c r="R923" s="2" t="inlineStr"/>
    </row>
    <row r="924" ht="15" customHeight="1">
      <c r="A924" t="inlineStr">
        <is>
          <t>A 60254-2018</t>
        </is>
      </c>
      <c r="B924" s="1" t="n">
        <v>43412</v>
      </c>
      <c r="C924" s="1" t="n">
        <v>45212</v>
      </c>
      <c r="D924" t="inlineStr">
        <is>
          <t>VÄSTRA GÖTALANDS LÄN</t>
        </is>
      </c>
      <c r="E924" t="inlineStr">
        <is>
          <t>VÄNERSBORG</t>
        </is>
      </c>
      <c r="G924" t="n">
        <v>1.5</v>
      </c>
      <c r="H924" t="n">
        <v>0</v>
      </c>
      <c r="I924" t="n">
        <v>0</v>
      </c>
      <c r="J924" t="n">
        <v>0</v>
      </c>
      <c r="K924" t="n">
        <v>0</v>
      </c>
      <c r="L924" t="n">
        <v>0</v>
      </c>
      <c r="M924" t="n">
        <v>0</v>
      </c>
      <c r="N924" t="n">
        <v>0</v>
      </c>
      <c r="O924" t="n">
        <v>0</v>
      </c>
      <c r="P924" t="n">
        <v>0</v>
      </c>
      <c r="Q924" t="n">
        <v>0</v>
      </c>
      <c r="R924" s="2" t="inlineStr"/>
    </row>
    <row r="925" ht="15" customHeight="1">
      <c r="A925" t="inlineStr">
        <is>
          <t>A 61050-2018</t>
        </is>
      </c>
      <c r="B925" s="1" t="n">
        <v>43412</v>
      </c>
      <c r="C925" s="1" t="n">
        <v>45212</v>
      </c>
      <c r="D925" t="inlineStr">
        <is>
          <t>VÄSTRA GÖTALANDS LÄN</t>
        </is>
      </c>
      <c r="E925" t="inlineStr">
        <is>
          <t>BOLLEBYGD</t>
        </is>
      </c>
      <c r="G925" t="n">
        <v>1.9</v>
      </c>
      <c r="H925" t="n">
        <v>0</v>
      </c>
      <c r="I925" t="n">
        <v>0</v>
      </c>
      <c r="J925" t="n">
        <v>0</v>
      </c>
      <c r="K925" t="n">
        <v>0</v>
      </c>
      <c r="L925" t="n">
        <v>0</v>
      </c>
      <c r="M925" t="n">
        <v>0</v>
      </c>
      <c r="N925" t="n">
        <v>0</v>
      </c>
      <c r="O925" t="n">
        <v>0</v>
      </c>
      <c r="P925" t="n">
        <v>0</v>
      </c>
      <c r="Q925" t="n">
        <v>0</v>
      </c>
      <c r="R925" s="2" t="inlineStr"/>
    </row>
    <row r="926" ht="15" customHeight="1">
      <c r="A926" t="inlineStr">
        <is>
          <t>A 60011-2018</t>
        </is>
      </c>
      <c r="B926" s="1" t="n">
        <v>43412</v>
      </c>
      <c r="C926" s="1" t="n">
        <v>45212</v>
      </c>
      <c r="D926" t="inlineStr">
        <is>
          <t>VÄSTRA GÖTALANDS LÄN</t>
        </is>
      </c>
      <c r="E926" t="inlineStr">
        <is>
          <t>MELLERUD</t>
        </is>
      </c>
      <c r="G926" t="n">
        <v>3.5</v>
      </c>
      <c r="H926" t="n">
        <v>0</v>
      </c>
      <c r="I926" t="n">
        <v>0</v>
      </c>
      <c r="J926" t="n">
        <v>0</v>
      </c>
      <c r="K926" t="n">
        <v>0</v>
      </c>
      <c r="L926" t="n">
        <v>0</v>
      </c>
      <c r="M926" t="n">
        <v>0</v>
      </c>
      <c r="N926" t="n">
        <v>0</v>
      </c>
      <c r="O926" t="n">
        <v>0</v>
      </c>
      <c r="P926" t="n">
        <v>0</v>
      </c>
      <c r="Q926" t="n">
        <v>0</v>
      </c>
      <c r="R926" s="2" t="inlineStr"/>
    </row>
    <row r="927" ht="15" customHeight="1">
      <c r="A927" t="inlineStr">
        <is>
          <t>A 60098-2018</t>
        </is>
      </c>
      <c r="B927" s="1" t="n">
        <v>43412</v>
      </c>
      <c r="C927" s="1" t="n">
        <v>45212</v>
      </c>
      <c r="D927" t="inlineStr">
        <is>
          <t>VÄSTRA GÖTALANDS LÄN</t>
        </is>
      </c>
      <c r="E927" t="inlineStr">
        <is>
          <t>KARLSBORG</t>
        </is>
      </c>
      <c r="G927" t="n">
        <v>1</v>
      </c>
      <c r="H927" t="n">
        <v>0</v>
      </c>
      <c r="I927" t="n">
        <v>0</v>
      </c>
      <c r="J927" t="n">
        <v>0</v>
      </c>
      <c r="K927" t="n">
        <v>0</v>
      </c>
      <c r="L927" t="n">
        <v>0</v>
      </c>
      <c r="M927" t="n">
        <v>0</v>
      </c>
      <c r="N927" t="n">
        <v>0</v>
      </c>
      <c r="O927" t="n">
        <v>0</v>
      </c>
      <c r="P927" t="n">
        <v>0</v>
      </c>
      <c r="Q927" t="n">
        <v>0</v>
      </c>
      <c r="R927" s="2" t="inlineStr"/>
    </row>
    <row r="928" ht="15" customHeight="1">
      <c r="A928" t="inlineStr">
        <is>
          <t>A 61328-2018</t>
        </is>
      </c>
      <c r="B928" s="1" t="n">
        <v>43412</v>
      </c>
      <c r="C928" s="1" t="n">
        <v>45212</v>
      </c>
      <c r="D928" t="inlineStr">
        <is>
          <t>VÄSTRA GÖTALANDS LÄN</t>
        </is>
      </c>
      <c r="E928" t="inlineStr">
        <is>
          <t>FALKÖPING</t>
        </is>
      </c>
      <c r="G928" t="n">
        <v>1.1</v>
      </c>
      <c r="H928" t="n">
        <v>0</v>
      </c>
      <c r="I928" t="n">
        <v>0</v>
      </c>
      <c r="J928" t="n">
        <v>0</v>
      </c>
      <c r="K928" t="n">
        <v>0</v>
      </c>
      <c r="L928" t="n">
        <v>0</v>
      </c>
      <c r="M928" t="n">
        <v>0</v>
      </c>
      <c r="N928" t="n">
        <v>0</v>
      </c>
      <c r="O928" t="n">
        <v>0</v>
      </c>
      <c r="P928" t="n">
        <v>0</v>
      </c>
      <c r="Q928" t="n">
        <v>0</v>
      </c>
      <c r="R928" s="2" t="inlineStr"/>
    </row>
    <row r="929" ht="15" customHeight="1">
      <c r="A929" t="inlineStr">
        <is>
          <t>A 60214-2018</t>
        </is>
      </c>
      <c r="B929" s="1" t="n">
        <v>43412</v>
      </c>
      <c r="C929" s="1" t="n">
        <v>45212</v>
      </c>
      <c r="D929" t="inlineStr">
        <is>
          <t>VÄSTRA GÖTALANDS LÄN</t>
        </is>
      </c>
      <c r="E929" t="inlineStr">
        <is>
          <t>TRANEMO</t>
        </is>
      </c>
      <c r="G929" t="n">
        <v>1.1</v>
      </c>
      <c r="H929" t="n">
        <v>0</v>
      </c>
      <c r="I929" t="n">
        <v>0</v>
      </c>
      <c r="J929" t="n">
        <v>0</v>
      </c>
      <c r="K929" t="n">
        <v>0</v>
      </c>
      <c r="L929" t="n">
        <v>0</v>
      </c>
      <c r="M929" t="n">
        <v>0</v>
      </c>
      <c r="N929" t="n">
        <v>0</v>
      </c>
      <c r="O929" t="n">
        <v>0</v>
      </c>
      <c r="P929" t="n">
        <v>0</v>
      </c>
      <c r="Q929" t="n">
        <v>0</v>
      </c>
      <c r="R929" s="2" t="inlineStr"/>
    </row>
    <row r="930" ht="15" customHeight="1">
      <c r="A930" t="inlineStr">
        <is>
          <t>A 60249-2018</t>
        </is>
      </c>
      <c r="B930" s="1" t="n">
        <v>43412</v>
      </c>
      <c r="C930" s="1" t="n">
        <v>45212</v>
      </c>
      <c r="D930" t="inlineStr">
        <is>
          <t>VÄSTRA GÖTALANDS LÄN</t>
        </is>
      </c>
      <c r="E930" t="inlineStr">
        <is>
          <t>TANUM</t>
        </is>
      </c>
      <c r="G930" t="n">
        <v>1.9</v>
      </c>
      <c r="H930" t="n">
        <v>0</v>
      </c>
      <c r="I930" t="n">
        <v>0</v>
      </c>
      <c r="J930" t="n">
        <v>0</v>
      </c>
      <c r="K930" t="n">
        <v>0</v>
      </c>
      <c r="L930" t="n">
        <v>0</v>
      </c>
      <c r="M930" t="n">
        <v>0</v>
      </c>
      <c r="N930" t="n">
        <v>0</v>
      </c>
      <c r="O930" t="n">
        <v>0</v>
      </c>
      <c r="P930" t="n">
        <v>0</v>
      </c>
      <c r="Q930" t="n">
        <v>0</v>
      </c>
      <c r="R930" s="2" t="inlineStr"/>
    </row>
    <row r="931" ht="15" customHeight="1">
      <c r="A931" t="inlineStr">
        <is>
          <t>A 61323-2018</t>
        </is>
      </c>
      <c r="B931" s="1" t="n">
        <v>43412</v>
      </c>
      <c r="C931" s="1" t="n">
        <v>45212</v>
      </c>
      <c r="D931" t="inlineStr">
        <is>
          <t>VÄSTRA GÖTALANDS LÄN</t>
        </is>
      </c>
      <c r="E931" t="inlineStr">
        <is>
          <t>SKARA</t>
        </is>
      </c>
      <c r="G931" t="n">
        <v>2.4</v>
      </c>
      <c r="H931" t="n">
        <v>0</v>
      </c>
      <c r="I931" t="n">
        <v>0</v>
      </c>
      <c r="J931" t="n">
        <v>0</v>
      </c>
      <c r="K931" t="n">
        <v>0</v>
      </c>
      <c r="L931" t="n">
        <v>0</v>
      </c>
      <c r="M931" t="n">
        <v>0</v>
      </c>
      <c r="N931" t="n">
        <v>0</v>
      </c>
      <c r="O931" t="n">
        <v>0</v>
      </c>
      <c r="P931" t="n">
        <v>0</v>
      </c>
      <c r="Q931" t="n">
        <v>0</v>
      </c>
      <c r="R931" s="2" t="inlineStr"/>
    </row>
    <row r="932" ht="15" customHeight="1">
      <c r="A932" t="inlineStr">
        <is>
          <t>A 62717-2018</t>
        </is>
      </c>
      <c r="B932" s="1" t="n">
        <v>43413</v>
      </c>
      <c r="C932" s="1" t="n">
        <v>45212</v>
      </c>
      <c r="D932" t="inlineStr">
        <is>
          <t>VÄSTRA GÖTALANDS LÄN</t>
        </is>
      </c>
      <c r="E932" t="inlineStr">
        <is>
          <t>SVENLJUNGA</t>
        </is>
      </c>
      <c r="G932" t="n">
        <v>1.1</v>
      </c>
      <c r="H932" t="n">
        <v>0</v>
      </c>
      <c r="I932" t="n">
        <v>0</v>
      </c>
      <c r="J932" t="n">
        <v>0</v>
      </c>
      <c r="K932" t="n">
        <v>0</v>
      </c>
      <c r="L932" t="n">
        <v>0</v>
      </c>
      <c r="M932" t="n">
        <v>0</v>
      </c>
      <c r="N932" t="n">
        <v>0</v>
      </c>
      <c r="O932" t="n">
        <v>0</v>
      </c>
      <c r="P932" t="n">
        <v>0</v>
      </c>
      <c r="Q932" t="n">
        <v>0</v>
      </c>
      <c r="R932" s="2" t="inlineStr"/>
    </row>
    <row r="933" ht="15" customHeight="1">
      <c r="A933" t="inlineStr">
        <is>
          <t>A 62739-2018</t>
        </is>
      </c>
      <c r="B933" s="1" t="n">
        <v>43413</v>
      </c>
      <c r="C933" s="1" t="n">
        <v>45212</v>
      </c>
      <c r="D933" t="inlineStr">
        <is>
          <t>VÄSTRA GÖTALANDS LÄN</t>
        </is>
      </c>
      <c r="E933" t="inlineStr">
        <is>
          <t>SVENLJUNGA</t>
        </is>
      </c>
      <c r="G933" t="n">
        <v>5.9</v>
      </c>
      <c r="H933" t="n">
        <v>0</v>
      </c>
      <c r="I933" t="n">
        <v>0</v>
      </c>
      <c r="J933" t="n">
        <v>0</v>
      </c>
      <c r="K933" t="n">
        <v>0</v>
      </c>
      <c r="L933" t="n">
        <v>0</v>
      </c>
      <c r="M933" t="n">
        <v>0</v>
      </c>
      <c r="N933" t="n">
        <v>0</v>
      </c>
      <c r="O933" t="n">
        <v>0</v>
      </c>
      <c r="P933" t="n">
        <v>0</v>
      </c>
      <c r="Q933" t="n">
        <v>0</v>
      </c>
      <c r="R933" s="2" t="inlineStr"/>
    </row>
    <row r="934" ht="15" customHeight="1">
      <c r="A934" t="inlineStr">
        <is>
          <t>A 61946-2018</t>
        </is>
      </c>
      <c r="B934" s="1" t="n">
        <v>43413</v>
      </c>
      <c r="C934" s="1" t="n">
        <v>45212</v>
      </c>
      <c r="D934" t="inlineStr">
        <is>
          <t>VÄSTRA GÖTALANDS LÄN</t>
        </is>
      </c>
      <c r="E934" t="inlineStr">
        <is>
          <t>KARLSBORG</t>
        </is>
      </c>
      <c r="G934" t="n">
        <v>2</v>
      </c>
      <c r="H934" t="n">
        <v>0</v>
      </c>
      <c r="I934" t="n">
        <v>0</v>
      </c>
      <c r="J934" t="n">
        <v>0</v>
      </c>
      <c r="K934" t="n">
        <v>0</v>
      </c>
      <c r="L934" t="n">
        <v>0</v>
      </c>
      <c r="M934" t="n">
        <v>0</v>
      </c>
      <c r="N934" t="n">
        <v>0</v>
      </c>
      <c r="O934" t="n">
        <v>0</v>
      </c>
      <c r="P934" t="n">
        <v>0</v>
      </c>
      <c r="Q934" t="n">
        <v>0</v>
      </c>
      <c r="R934" s="2" t="inlineStr"/>
    </row>
    <row r="935" ht="15" customHeight="1">
      <c r="A935" t="inlineStr">
        <is>
          <t>A 60269-2018</t>
        </is>
      </c>
      <c r="B935" s="1" t="n">
        <v>43413</v>
      </c>
      <c r="C935" s="1" t="n">
        <v>45212</v>
      </c>
      <c r="D935" t="inlineStr">
        <is>
          <t>VÄSTRA GÖTALANDS LÄN</t>
        </is>
      </c>
      <c r="E935" t="inlineStr">
        <is>
          <t>MARIESTAD</t>
        </is>
      </c>
      <c r="G935" t="n">
        <v>2.6</v>
      </c>
      <c r="H935" t="n">
        <v>0</v>
      </c>
      <c r="I935" t="n">
        <v>0</v>
      </c>
      <c r="J935" t="n">
        <v>0</v>
      </c>
      <c r="K935" t="n">
        <v>0</v>
      </c>
      <c r="L935" t="n">
        <v>0</v>
      </c>
      <c r="M935" t="n">
        <v>0</v>
      </c>
      <c r="N935" t="n">
        <v>0</v>
      </c>
      <c r="O935" t="n">
        <v>0</v>
      </c>
      <c r="P935" t="n">
        <v>0</v>
      </c>
      <c r="Q935" t="n">
        <v>0</v>
      </c>
      <c r="R935" s="2" t="inlineStr"/>
    </row>
    <row r="936" ht="15" customHeight="1">
      <c r="A936" t="inlineStr">
        <is>
          <t>A 62714-2018</t>
        </is>
      </c>
      <c r="B936" s="1" t="n">
        <v>43413</v>
      </c>
      <c r="C936" s="1" t="n">
        <v>45212</v>
      </c>
      <c r="D936" t="inlineStr">
        <is>
          <t>VÄSTRA GÖTALANDS LÄN</t>
        </is>
      </c>
      <c r="E936" t="inlineStr">
        <is>
          <t>SVENLJUNGA</t>
        </is>
      </c>
      <c r="G936" t="n">
        <v>1.5</v>
      </c>
      <c r="H936" t="n">
        <v>0</v>
      </c>
      <c r="I936" t="n">
        <v>0</v>
      </c>
      <c r="J936" t="n">
        <v>0</v>
      </c>
      <c r="K936" t="n">
        <v>0</v>
      </c>
      <c r="L936" t="n">
        <v>0</v>
      </c>
      <c r="M936" t="n">
        <v>0</v>
      </c>
      <c r="N936" t="n">
        <v>0</v>
      </c>
      <c r="O936" t="n">
        <v>0</v>
      </c>
      <c r="P936" t="n">
        <v>0</v>
      </c>
      <c r="Q936" t="n">
        <v>0</v>
      </c>
      <c r="R936" s="2" t="inlineStr"/>
    </row>
    <row r="937" ht="15" customHeight="1">
      <c r="A937" t="inlineStr">
        <is>
          <t>A 61516-2018</t>
        </is>
      </c>
      <c r="B937" s="1" t="n">
        <v>43413</v>
      </c>
      <c r="C937" s="1" t="n">
        <v>45212</v>
      </c>
      <c r="D937" t="inlineStr">
        <is>
          <t>VÄSTRA GÖTALANDS LÄN</t>
        </is>
      </c>
      <c r="E937" t="inlineStr">
        <is>
          <t>VÄNERSBORG</t>
        </is>
      </c>
      <c r="G937" t="n">
        <v>3.3</v>
      </c>
      <c r="H937" t="n">
        <v>0</v>
      </c>
      <c r="I937" t="n">
        <v>0</v>
      </c>
      <c r="J937" t="n">
        <v>0</v>
      </c>
      <c r="K937" t="n">
        <v>0</v>
      </c>
      <c r="L937" t="n">
        <v>0</v>
      </c>
      <c r="M937" t="n">
        <v>0</v>
      </c>
      <c r="N937" t="n">
        <v>0</v>
      </c>
      <c r="O937" t="n">
        <v>0</v>
      </c>
      <c r="P937" t="n">
        <v>0</v>
      </c>
      <c r="Q937" t="n">
        <v>0</v>
      </c>
      <c r="R937" s="2" t="inlineStr"/>
    </row>
    <row r="938" ht="15" customHeight="1">
      <c r="A938" t="inlineStr">
        <is>
          <t>A 61944-2018</t>
        </is>
      </c>
      <c r="B938" s="1" t="n">
        <v>43413</v>
      </c>
      <c r="C938" s="1" t="n">
        <v>45212</v>
      </c>
      <c r="D938" t="inlineStr">
        <is>
          <t>VÄSTRA GÖTALANDS LÄN</t>
        </is>
      </c>
      <c r="E938" t="inlineStr">
        <is>
          <t>BORÅS</t>
        </is>
      </c>
      <c r="G938" t="n">
        <v>1</v>
      </c>
      <c r="H938" t="n">
        <v>0</v>
      </c>
      <c r="I938" t="n">
        <v>0</v>
      </c>
      <c r="J938" t="n">
        <v>0</v>
      </c>
      <c r="K938" t="n">
        <v>0</v>
      </c>
      <c r="L938" t="n">
        <v>0</v>
      </c>
      <c r="M938" t="n">
        <v>0</v>
      </c>
      <c r="N938" t="n">
        <v>0</v>
      </c>
      <c r="O938" t="n">
        <v>0</v>
      </c>
      <c r="P938" t="n">
        <v>0</v>
      </c>
      <c r="Q938" t="n">
        <v>0</v>
      </c>
      <c r="R938" s="2" t="inlineStr"/>
    </row>
    <row r="939" ht="15" customHeight="1">
      <c r="A939" t="inlineStr">
        <is>
          <t>A 62490-2018</t>
        </is>
      </c>
      <c r="B939" s="1" t="n">
        <v>43415</v>
      </c>
      <c r="C939" s="1" t="n">
        <v>45212</v>
      </c>
      <c r="D939" t="inlineStr">
        <is>
          <t>VÄSTRA GÖTALANDS LÄN</t>
        </is>
      </c>
      <c r="E939" t="inlineStr">
        <is>
          <t>LILLA EDET</t>
        </is>
      </c>
      <c r="G939" t="n">
        <v>5.7</v>
      </c>
      <c r="H939" t="n">
        <v>0</v>
      </c>
      <c r="I939" t="n">
        <v>0</v>
      </c>
      <c r="J939" t="n">
        <v>0</v>
      </c>
      <c r="K939" t="n">
        <v>0</v>
      </c>
      <c r="L939" t="n">
        <v>0</v>
      </c>
      <c r="M939" t="n">
        <v>0</v>
      </c>
      <c r="N939" t="n">
        <v>0</v>
      </c>
      <c r="O939" t="n">
        <v>0</v>
      </c>
      <c r="P939" t="n">
        <v>0</v>
      </c>
      <c r="Q939" t="n">
        <v>0</v>
      </c>
      <c r="R939" s="2" t="inlineStr"/>
    </row>
    <row r="940" ht="15" customHeight="1">
      <c r="A940" t="inlineStr">
        <is>
          <t>A 62602-2018</t>
        </is>
      </c>
      <c r="B940" s="1" t="n">
        <v>43415</v>
      </c>
      <c r="C940" s="1" t="n">
        <v>45212</v>
      </c>
      <c r="D940" t="inlineStr">
        <is>
          <t>VÄSTRA GÖTALANDS LÄN</t>
        </is>
      </c>
      <c r="E940" t="inlineStr">
        <is>
          <t>STRÖMSTAD</t>
        </is>
      </c>
      <c r="G940" t="n">
        <v>2.1</v>
      </c>
      <c r="H940" t="n">
        <v>0</v>
      </c>
      <c r="I940" t="n">
        <v>0</v>
      </c>
      <c r="J940" t="n">
        <v>0</v>
      </c>
      <c r="K940" t="n">
        <v>0</v>
      </c>
      <c r="L940" t="n">
        <v>0</v>
      </c>
      <c r="M940" t="n">
        <v>0</v>
      </c>
      <c r="N940" t="n">
        <v>0</v>
      </c>
      <c r="O940" t="n">
        <v>0</v>
      </c>
      <c r="P940" t="n">
        <v>0</v>
      </c>
      <c r="Q940" t="n">
        <v>0</v>
      </c>
      <c r="R940" s="2" t="inlineStr"/>
    </row>
    <row r="941" ht="15" customHeight="1">
      <c r="A941" t="inlineStr">
        <is>
          <t>A 62630-2018</t>
        </is>
      </c>
      <c r="B941" s="1" t="n">
        <v>43415</v>
      </c>
      <c r="C941" s="1" t="n">
        <v>45212</v>
      </c>
      <c r="D941" t="inlineStr">
        <is>
          <t>VÄSTRA GÖTALANDS LÄN</t>
        </is>
      </c>
      <c r="E941" t="inlineStr">
        <is>
          <t>MUNKEDAL</t>
        </is>
      </c>
      <c r="G941" t="n">
        <v>1</v>
      </c>
      <c r="H941" t="n">
        <v>0</v>
      </c>
      <c r="I941" t="n">
        <v>0</v>
      </c>
      <c r="J941" t="n">
        <v>0</v>
      </c>
      <c r="K941" t="n">
        <v>0</v>
      </c>
      <c r="L941" t="n">
        <v>0</v>
      </c>
      <c r="M941" t="n">
        <v>0</v>
      </c>
      <c r="N941" t="n">
        <v>0</v>
      </c>
      <c r="O941" t="n">
        <v>0</v>
      </c>
      <c r="P941" t="n">
        <v>0</v>
      </c>
      <c r="Q941" t="n">
        <v>0</v>
      </c>
      <c r="R941" s="2" t="inlineStr"/>
    </row>
    <row r="942" ht="15" customHeight="1">
      <c r="A942" t="inlineStr">
        <is>
          <t>A 62471-2018</t>
        </is>
      </c>
      <c r="B942" s="1" t="n">
        <v>43415</v>
      </c>
      <c r="C942" s="1" t="n">
        <v>45212</v>
      </c>
      <c r="D942" t="inlineStr">
        <is>
          <t>VÄSTRA GÖTALANDS LÄN</t>
        </is>
      </c>
      <c r="E942" t="inlineStr">
        <is>
          <t>SKÖVDE</t>
        </is>
      </c>
      <c r="G942" t="n">
        <v>0.4</v>
      </c>
      <c r="H942" t="n">
        <v>0</v>
      </c>
      <c r="I942" t="n">
        <v>0</v>
      </c>
      <c r="J942" t="n">
        <v>0</v>
      </c>
      <c r="K942" t="n">
        <v>0</v>
      </c>
      <c r="L942" t="n">
        <v>0</v>
      </c>
      <c r="M942" t="n">
        <v>0</v>
      </c>
      <c r="N942" t="n">
        <v>0</v>
      </c>
      <c r="O942" t="n">
        <v>0</v>
      </c>
      <c r="P942" t="n">
        <v>0</v>
      </c>
      <c r="Q942" t="n">
        <v>0</v>
      </c>
      <c r="R942" s="2" t="inlineStr"/>
    </row>
    <row r="943" ht="15" customHeight="1">
      <c r="A943" t="inlineStr">
        <is>
          <t>A 62595-2018</t>
        </is>
      </c>
      <c r="B943" s="1" t="n">
        <v>43415</v>
      </c>
      <c r="C943" s="1" t="n">
        <v>45212</v>
      </c>
      <c r="D943" t="inlineStr">
        <is>
          <t>VÄSTRA GÖTALANDS LÄN</t>
        </is>
      </c>
      <c r="E943" t="inlineStr">
        <is>
          <t>STRÖMSTAD</t>
        </is>
      </c>
      <c r="G943" t="n">
        <v>1.4</v>
      </c>
      <c r="H943" t="n">
        <v>0</v>
      </c>
      <c r="I943" t="n">
        <v>0</v>
      </c>
      <c r="J943" t="n">
        <v>0</v>
      </c>
      <c r="K943" t="n">
        <v>0</v>
      </c>
      <c r="L943" t="n">
        <v>0</v>
      </c>
      <c r="M943" t="n">
        <v>0</v>
      </c>
      <c r="N943" t="n">
        <v>0</v>
      </c>
      <c r="O943" t="n">
        <v>0</v>
      </c>
      <c r="P943" t="n">
        <v>0</v>
      </c>
      <c r="Q943" t="n">
        <v>0</v>
      </c>
      <c r="R943" s="2" t="inlineStr"/>
    </row>
    <row r="944" ht="15" customHeight="1">
      <c r="A944" t="inlineStr">
        <is>
          <t>A 63333-2018</t>
        </is>
      </c>
      <c r="B944" s="1" t="n">
        <v>43416</v>
      </c>
      <c r="C944" s="1" t="n">
        <v>45212</v>
      </c>
      <c r="D944" t="inlineStr">
        <is>
          <t>VÄSTRA GÖTALANDS LÄN</t>
        </is>
      </c>
      <c r="E944" t="inlineStr">
        <is>
          <t>STENUNGSUND</t>
        </is>
      </c>
      <c r="G944" t="n">
        <v>2.7</v>
      </c>
      <c r="H944" t="n">
        <v>0</v>
      </c>
      <c r="I944" t="n">
        <v>0</v>
      </c>
      <c r="J944" t="n">
        <v>0</v>
      </c>
      <c r="K944" t="n">
        <v>0</v>
      </c>
      <c r="L944" t="n">
        <v>0</v>
      </c>
      <c r="M944" t="n">
        <v>0</v>
      </c>
      <c r="N944" t="n">
        <v>0</v>
      </c>
      <c r="O944" t="n">
        <v>0</v>
      </c>
      <c r="P944" t="n">
        <v>0</v>
      </c>
      <c r="Q944" t="n">
        <v>0</v>
      </c>
      <c r="R944" s="2" t="inlineStr"/>
    </row>
    <row r="945" ht="15" customHeight="1">
      <c r="A945" t="inlineStr">
        <is>
          <t>A 63545-2018</t>
        </is>
      </c>
      <c r="B945" s="1" t="n">
        <v>43416</v>
      </c>
      <c r="C945" s="1" t="n">
        <v>45212</v>
      </c>
      <c r="D945" t="inlineStr">
        <is>
          <t>VÄSTRA GÖTALANDS LÄN</t>
        </is>
      </c>
      <c r="E945" t="inlineStr">
        <is>
          <t>VARA</t>
        </is>
      </c>
      <c r="G945" t="n">
        <v>1.4</v>
      </c>
      <c r="H945" t="n">
        <v>0</v>
      </c>
      <c r="I945" t="n">
        <v>0</v>
      </c>
      <c r="J945" t="n">
        <v>0</v>
      </c>
      <c r="K945" t="n">
        <v>0</v>
      </c>
      <c r="L945" t="n">
        <v>0</v>
      </c>
      <c r="M945" t="n">
        <v>0</v>
      </c>
      <c r="N945" t="n">
        <v>0</v>
      </c>
      <c r="O945" t="n">
        <v>0</v>
      </c>
      <c r="P945" t="n">
        <v>0</v>
      </c>
      <c r="Q945" t="n">
        <v>0</v>
      </c>
      <c r="R945" s="2" t="inlineStr"/>
    </row>
    <row r="946" ht="15" customHeight="1">
      <c r="A946" t="inlineStr">
        <is>
          <t>A 63300-2018</t>
        </is>
      </c>
      <c r="B946" s="1" t="n">
        <v>43416</v>
      </c>
      <c r="C946" s="1" t="n">
        <v>45212</v>
      </c>
      <c r="D946" t="inlineStr">
        <is>
          <t>VÄSTRA GÖTALANDS LÄN</t>
        </is>
      </c>
      <c r="E946" t="inlineStr">
        <is>
          <t>STRÖMSTAD</t>
        </is>
      </c>
      <c r="G946" t="n">
        <v>6</v>
      </c>
      <c r="H946" t="n">
        <v>0</v>
      </c>
      <c r="I946" t="n">
        <v>0</v>
      </c>
      <c r="J946" t="n">
        <v>0</v>
      </c>
      <c r="K946" t="n">
        <v>0</v>
      </c>
      <c r="L946" t="n">
        <v>0</v>
      </c>
      <c r="M946" t="n">
        <v>0</v>
      </c>
      <c r="N946" t="n">
        <v>0</v>
      </c>
      <c r="O946" t="n">
        <v>0</v>
      </c>
      <c r="P946" t="n">
        <v>0</v>
      </c>
      <c r="Q946" t="n">
        <v>0</v>
      </c>
      <c r="R946" s="2" t="inlineStr"/>
    </row>
    <row r="947" ht="15" customHeight="1">
      <c r="A947" t="inlineStr">
        <is>
          <t>A 63421-2018</t>
        </is>
      </c>
      <c r="B947" s="1" t="n">
        <v>43416</v>
      </c>
      <c r="C947" s="1" t="n">
        <v>45212</v>
      </c>
      <c r="D947" t="inlineStr">
        <is>
          <t>VÄSTRA GÖTALANDS LÄN</t>
        </is>
      </c>
      <c r="E947" t="inlineStr">
        <is>
          <t>MUNKEDAL</t>
        </is>
      </c>
      <c r="F947" t="inlineStr">
        <is>
          <t>Övriga Aktiebolag</t>
        </is>
      </c>
      <c r="G947" t="n">
        <v>1.2</v>
      </c>
      <c r="H947" t="n">
        <v>0</v>
      </c>
      <c r="I947" t="n">
        <v>0</v>
      </c>
      <c r="J947" t="n">
        <v>0</v>
      </c>
      <c r="K947" t="n">
        <v>0</v>
      </c>
      <c r="L947" t="n">
        <v>0</v>
      </c>
      <c r="M947" t="n">
        <v>0</v>
      </c>
      <c r="N947" t="n">
        <v>0</v>
      </c>
      <c r="O947" t="n">
        <v>0</v>
      </c>
      <c r="P947" t="n">
        <v>0</v>
      </c>
      <c r="Q947" t="n">
        <v>0</v>
      </c>
      <c r="R947" s="2" t="inlineStr"/>
    </row>
    <row r="948" ht="15" customHeight="1">
      <c r="A948" t="inlineStr">
        <is>
          <t>A 62028-2018</t>
        </is>
      </c>
      <c r="B948" s="1" t="n">
        <v>43416</v>
      </c>
      <c r="C948" s="1" t="n">
        <v>45212</v>
      </c>
      <c r="D948" t="inlineStr">
        <is>
          <t>VÄSTRA GÖTALANDS LÄN</t>
        </is>
      </c>
      <c r="E948" t="inlineStr">
        <is>
          <t>GÖTENE</t>
        </is>
      </c>
      <c r="G948" t="n">
        <v>3.3</v>
      </c>
      <c r="H948" t="n">
        <v>0</v>
      </c>
      <c r="I948" t="n">
        <v>0</v>
      </c>
      <c r="J948" t="n">
        <v>0</v>
      </c>
      <c r="K948" t="n">
        <v>0</v>
      </c>
      <c r="L948" t="n">
        <v>0</v>
      </c>
      <c r="M948" t="n">
        <v>0</v>
      </c>
      <c r="N948" t="n">
        <v>0</v>
      </c>
      <c r="O948" t="n">
        <v>0</v>
      </c>
      <c r="P948" t="n">
        <v>0</v>
      </c>
      <c r="Q948" t="n">
        <v>0</v>
      </c>
      <c r="R948" s="2" t="inlineStr"/>
    </row>
    <row r="949" ht="15" customHeight="1">
      <c r="A949" t="inlineStr">
        <is>
          <t>A 63579-2018</t>
        </is>
      </c>
      <c r="B949" s="1" t="n">
        <v>43416</v>
      </c>
      <c r="C949" s="1" t="n">
        <v>45212</v>
      </c>
      <c r="D949" t="inlineStr">
        <is>
          <t>VÄSTRA GÖTALANDS LÄN</t>
        </is>
      </c>
      <c r="E949" t="inlineStr">
        <is>
          <t>TANUM</t>
        </is>
      </c>
      <c r="G949" t="n">
        <v>3.5</v>
      </c>
      <c r="H949" t="n">
        <v>0</v>
      </c>
      <c r="I949" t="n">
        <v>0</v>
      </c>
      <c r="J949" t="n">
        <v>0</v>
      </c>
      <c r="K949" t="n">
        <v>0</v>
      </c>
      <c r="L949" t="n">
        <v>0</v>
      </c>
      <c r="M949" t="n">
        <v>0</v>
      </c>
      <c r="N949" t="n">
        <v>0</v>
      </c>
      <c r="O949" t="n">
        <v>0</v>
      </c>
      <c r="P949" t="n">
        <v>0</v>
      </c>
      <c r="Q949" t="n">
        <v>0</v>
      </c>
      <c r="R949" s="2" t="inlineStr"/>
    </row>
    <row r="950" ht="15" customHeight="1">
      <c r="A950" t="inlineStr">
        <is>
          <t>A 62340-2018</t>
        </is>
      </c>
      <c r="B950" s="1" t="n">
        <v>43416</v>
      </c>
      <c r="C950" s="1" t="n">
        <v>45212</v>
      </c>
      <c r="D950" t="inlineStr">
        <is>
          <t>VÄSTRA GÖTALANDS LÄN</t>
        </is>
      </c>
      <c r="E950" t="inlineStr">
        <is>
          <t>LERUM</t>
        </is>
      </c>
      <c r="G950" t="n">
        <v>1.3</v>
      </c>
      <c r="H950" t="n">
        <v>0</v>
      </c>
      <c r="I950" t="n">
        <v>0</v>
      </c>
      <c r="J950" t="n">
        <v>0</v>
      </c>
      <c r="K950" t="n">
        <v>0</v>
      </c>
      <c r="L950" t="n">
        <v>0</v>
      </c>
      <c r="M950" t="n">
        <v>0</v>
      </c>
      <c r="N950" t="n">
        <v>0</v>
      </c>
      <c r="O950" t="n">
        <v>0</v>
      </c>
      <c r="P950" t="n">
        <v>0</v>
      </c>
      <c r="Q950" t="n">
        <v>0</v>
      </c>
      <c r="R950" s="2" t="inlineStr"/>
    </row>
    <row r="951" ht="15" customHeight="1">
      <c r="A951" t="inlineStr">
        <is>
          <t>A 62406-2018</t>
        </is>
      </c>
      <c r="B951" s="1" t="n">
        <v>43416</v>
      </c>
      <c r="C951" s="1" t="n">
        <v>45212</v>
      </c>
      <c r="D951" t="inlineStr">
        <is>
          <t>VÄSTRA GÖTALANDS LÄN</t>
        </is>
      </c>
      <c r="E951" t="inlineStr">
        <is>
          <t>FÄRGELANDA</t>
        </is>
      </c>
      <c r="G951" t="n">
        <v>1</v>
      </c>
      <c r="H951" t="n">
        <v>0</v>
      </c>
      <c r="I951" t="n">
        <v>0</v>
      </c>
      <c r="J951" t="n">
        <v>0</v>
      </c>
      <c r="K951" t="n">
        <v>0</v>
      </c>
      <c r="L951" t="n">
        <v>0</v>
      </c>
      <c r="M951" t="n">
        <v>0</v>
      </c>
      <c r="N951" t="n">
        <v>0</v>
      </c>
      <c r="O951" t="n">
        <v>0</v>
      </c>
      <c r="P951" t="n">
        <v>0</v>
      </c>
      <c r="Q951" t="n">
        <v>0</v>
      </c>
      <c r="R951" s="2" t="inlineStr"/>
    </row>
    <row r="952" ht="15" customHeight="1">
      <c r="A952" t="inlineStr">
        <is>
          <t>A 59152-2018</t>
        </is>
      </c>
      <c r="B952" s="1" t="n">
        <v>43417</v>
      </c>
      <c r="C952" s="1" t="n">
        <v>45212</v>
      </c>
      <c r="D952" t="inlineStr">
        <is>
          <t>VÄSTRA GÖTALANDS LÄN</t>
        </is>
      </c>
      <c r="E952" t="inlineStr">
        <is>
          <t>STRÖMSTAD</t>
        </is>
      </c>
      <c r="G952" t="n">
        <v>2.7</v>
      </c>
      <c r="H952" t="n">
        <v>0</v>
      </c>
      <c r="I952" t="n">
        <v>0</v>
      </c>
      <c r="J952" t="n">
        <v>0</v>
      </c>
      <c r="K952" t="n">
        <v>0</v>
      </c>
      <c r="L952" t="n">
        <v>0</v>
      </c>
      <c r="M952" t="n">
        <v>0</v>
      </c>
      <c r="N952" t="n">
        <v>0</v>
      </c>
      <c r="O952" t="n">
        <v>0</v>
      </c>
      <c r="P952" t="n">
        <v>0</v>
      </c>
      <c r="Q952" t="n">
        <v>0</v>
      </c>
      <c r="R952" s="2" t="inlineStr"/>
    </row>
    <row r="953" ht="15" customHeight="1">
      <c r="A953" t="inlineStr">
        <is>
          <t>A 61955-2018</t>
        </is>
      </c>
      <c r="B953" s="1" t="n">
        <v>43417</v>
      </c>
      <c r="C953" s="1" t="n">
        <v>45212</v>
      </c>
      <c r="D953" t="inlineStr">
        <is>
          <t>VÄSTRA GÖTALANDS LÄN</t>
        </is>
      </c>
      <c r="E953" t="inlineStr">
        <is>
          <t>ALINGSÅS</t>
        </is>
      </c>
      <c r="G953" t="n">
        <v>4.7</v>
      </c>
      <c r="H953" t="n">
        <v>0</v>
      </c>
      <c r="I953" t="n">
        <v>0</v>
      </c>
      <c r="J953" t="n">
        <v>0</v>
      </c>
      <c r="K953" t="n">
        <v>0</v>
      </c>
      <c r="L953" t="n">
        <v>0</v>
      </c>
      <c r="M953" t="n">
        <v>0</v>
      </c>
      <c r="N953" t="n">
        <v>0</v>
      </c>
      <c r="O953" t="n">
        <v>0</v>
      </c>
      <c r="P953" t="n">
        <v>0</v>
      </c>
      <c r="Q953" t="n">
        <v>0</v>
      </c>
      <c r="R953" s="2" t="inlineStr"/>
    </row>
    <row r="954" ht="15" customHeight="1">
      <c r="A954" t="inlineStr">
        <is>
          <t>A 62820-2018</t>
        </is>
      </c>
      <c r="B954" s="1" t="n">
        <v>43417</v>
      </c>
      <c r="C954" s="1" t="n">
        <v>45212</v>
      </c>
      <c r="D954" t="inlineStr">
        <is>
          <t>VÄSTRA GÖTALANDS LÄN</t>
        </is>
      </c>
      <c r="E954" t="inlineStr">
        <is>
          <t>DALS-ED</t>
        </is>
      </c>
      <c r="G954" t="n">
        <v>1.8</v>
      </c>
      <c r="H954" t="n">
        <v>0</v>
      </c>
      <c r="I954" t="n">
        <v>0</v>
      </c>
      <c r="J954" t="n">
        <v>0</v>
      </c>
      <c r="K954" t="n">
        <v>0</v>
      </c>
      <c r="L954" t="n">
        <v>0</v>
      </c>
      <c r="M954" t="n">
        <v>0</v>
      </c>
      <c r="N954" t="n">
        <v>0</v>
      </c>
      <c r="O954" t="n">
        <v>0</v>
      </c>
      <c r="P954" t="n">
        <v>0</v>
      </c>
      <c r="Q954" t="n">
        <v>0</v>
      </c>
      <c r="R954" s="2" t="inlineStr"/>
    </row>
    <row r="955" ht="15" customHeight="1">
      <c r="A955" t="inlineStr">
        <is>
          <t>A 62819-2018</t>
        </is>
      </c>
      <c r="B955" s="1" t="n">
        <v>43417</v>
      </c>
      <c r="C955" s="1" t="n">
        <v>45212</v>
      </c>
      <c r="D955" t="inlineStr">
        <is>
          <t>VÄSTRA GÖTALANDS LÄN</t>
        </is>
      </c>
      <c r="E955" t="inlineStr">
        <is>
          <t>MARK</t>
        </is>
      </c>
      <c r="G955" t="n">
        <v>9.199999999999999</v>
      </c>
      <c r="H955" t="n">
        <v>0</v>
      </c>
      <c r="I955" t="n">
        <v>0</v>
      </c>
      <c r="J955" t="n">
        <v>0</v>
      </c>
      <c r="K955" t="n">
        <v>0</v>
      </c>
      <c r="L955" t="n">
        <v>0</v>
      </c>
      <c r="M955" t="n">
        <v>0</v>
      </c>
      <c r="N955" t="n">
        <v>0</v>
      </c>
      <c r="O955" t="n">
        <v>0</v>
      </c>
      <c r="P955" t="n">
        <v>0</v>
      </c>
      <c r="Q955" t="n">
        <v>0</v>
      </c>
      <c r="R955" s="2" t="inlineStr"/>
    </row>
    <row r="956" ht="15" customHeight="1">
      <c r="A956" t="inlineStr">
        <is>
          <t>A 62832-2018</t>
        </is>
      </c>
      <c r="B956" s="1" t="n">
        <v>43417</v>
      </c>
      <c r="C956" s="1" t="n">
        <v>45212</v>
      </c>
      <c r="D956" t="inlineStr">
        <is>
          <t>VÄSTRA GÖTALANDS LÄN</t>
        </is>
      </c>
      <c r="E956" t="inlineStr">
        <is>
          <t>ULRICEHAMN</t>
        </is>
      </c>
      <c r="F956" t="inlineStr">
        <is>
          <t>Kyrkan</t>
        </is>
      </c>
      <c r="G956" t="n">
        <v>0.7</v>
      </c>
      <c r="H956" t="n">
        <v>0</v>
      </c>
      <c r="I956" t="n">
        <v>0</v>
      </c>
      <c r="J956" t="n">
        <v>0</v>
      </c>
      <c r="K956" t="n">
        <v>0</v>
      </c>
      <c r="L956" t="n">
        <v>0</v>
      </c>
      <c r="M956" t="n">
        <v>0</v>
      </c>
      <c r="N956" t="n">
        <v>0</v>
      </c>
      <c r="O956" t="n">
        <v>0</v>
      </c>
      <c r="P956" t="n">
        <v>0</v>
      </c>
      <c r="Q956" t="n">
        <v>0</v>
      </c>
      <c r="R956" s="2" t="inlineStr"/>
    </row>
    <row r="957" ht="15" customHeight="1">
      <c r="A957" t="inlineStr">
        <is>
          <t>A 63705-2018</t>
        </is>
      </c>
      <c r="B957" s="1" t="n">
        <v>43417</v>
      </c>
      <c r="C957" s="1" t="n">
        <v>45212</v>
      </c>
      <c r="D957" t="inlineStr">
        <is>
          <t>VÄSTRA GÖTALANDS LÄN</t>
        </is>
      </c>
      <c r="E957" t="inlineStr">
        <is>
          <t>DALS-ED</t>
        </is>
      </c>
      <c r="F957" t="inlineStr">
        <is>
          <t>Bergvik skog väst AB</t>
        </is>
      </c>
      <c r="G957" t="n">
        <v>18.5</v>
      </c>
      <c r="H957" t="n">
        <v>0</v>
      </c>
      <c r="I957" t="n">
        <v>0</v>
      </c>
      <c r="J957" t="n">
        <v>0</v>
      </c>
      <c r="K957" t="n">
        <v>0</v>
      </c>
      <c r="L957" t="n">
        <v>0</v>
      </c>
      <c r="M957" t="n">
        <v>0</v>
      </c>
      <c r="N957" t="n">
        <v>0</v>
      </c>
      <c r="O957" t="n">
        <v>0</v>
      </c>
      <c r="P957" t="n">
        <v>0</v>
      </c>
      <c r="Q957" t="n">
        <v>0</v>
      </c>
      <c r="R957" s="2" t="inlineStr"/>
    </row>
    <row r="958" ht="15" customHeight="1">
      <c r="A958" t="inlineStr">
        <is>
          <t>A 62829-2018</t>
        </is>
      </c>
      <c r="B958" s="1" t="n">
        <v>43417</v>
      </c>
      <c r="C958" s="1" t="n">
        <v>45212</v>
      </c>
      <c r="D958" t="inlineStr">
        <is>
          <t>VÄSTRA GÖTALANDS LÄN</t>
        </is>
      </c>
      <c r="E958" t="inlineStr">
        <is>
          <t>ULRICEHAMN</t>
        </is>
      </c>
      <c r="F958" t="inlineStr">
        <is>
          <t>Kyrkan</t>
        </is>
      </c>
      <c r="G958" t="n">
        <v>8</v>
      </c>
      <c r="H958" t="n">
        <v>0</v>
      </c>
      <c r="I958" t="n">
        <v>0</v>
      </c>
      <c r="J958" t="n">
        <v>0</v>
      </c>
      <c r="K958" t="n">
        <v>0</v>
      </c>
      <c r="L958" t="n">
        <v>0</v>
      </c>
      <c r="M958" t="n">
        <v>0</v>
      </c>
      <c r="N958" t="n">
        <v>0</v>
      </c>
      <c r="O958" t="n">
        <v>0</v>
      </c>
      <c r="P958" t="n">
        <v>0</v>
      </c>
      <c r="Q958" t="n">
        <v>0</v>
      </c>
      <c r="R958" s="2" t="inlineStr"/>
    </row>
    <row r="959" ht="15" customHeight="1">
      <c r="A959" t="inlineStr">
        <is>
          <t>A 62960-2018</t>
        </is>
      </c>
      <c r="B959" s="1" t="n">
        <v>43417</v>
      </c>
      <c r="C959" s="1" t="n">
        <v>45212</v>
      </c>
      <c r="D959" t="inlineStr">
        <is>
          <t>VÄSTRA GÖTALANDS LÄN</t>
        </is>
      </c>
      <c r="E959" t="inlineStr">
        <is>
          <t>TRANEMO</t>
        </is>
      </c>
      <c r="G959" t="n">
        <v>1.3</v>
      </c>
      <c r="H959" t="n">
        <v>0</v>
      </c>
      <c r="I959" t="n">
        <v>0</v>
      </c>
      <c r="J959" t="n">
        <v>0</v>
      </c>
      <c r="K959" t="n">
        <v>0</v>
      </c>
      <c r="L959" t="n">
        <v>0</v>
      </c>
      <c r="M959" t="n">
        <v>0</v>
      </c>
      <c r="N959" t="n">
        <v>0</v>
      </c>
      <c r="O959" t="n">
        <v>0</v>
      </c>
      <c r="P959" t="n">
        <v>0</v>
      </c>
      <c r="Q959" t="n">
        <v>0</v>
      </c>
      <c r="R959" s="2" t="inlineStr"/>
    </row>
    <row r="960" ht="15" customHeight="1">
      <c r="A960" t="inlineStr">
        <is>
          <t>A 63591-2018</t>
        </is>
      </c>
      <c r="B960" s="1" t="n">
        <v>43417</v>
      </c>
      <c r="C960" s="1" t="n">
        <v>45212</v>
      </c>
      <c r="D960" t="inlineStr">
        <is>
          <t>VÄSTRA GÖTALANDS LÄN</t>
        </is>
      </c>
      <c r="E960" t="inlineStr">
        <is>
          <t>ULRICEHAMN</t>
        </is>
      </c>
      <c r="G960" t="n">
        <v>5.8</v>
      </c>
      <c r="H960" t="n">
        <v>0</v>
      </c>
      <c r="I960" t="n">
        <v>0</v>
      </c>
      <c r="J960" t="n">
        <v>0</v>
      </c>
      <c r="K960" t="n">
        <v>0</v>
      </c>
      <c r="L960" t="n">
        <v>0</v>
      </c>
      <c r="M960" t="n">
        <v>0</v>
      </c>
      <c r="N960" t="n">
        <v>0</v>
      </c>
      <c r="O960" t="n">
        <v>0</v>
      </c>
      <c r="P960" t="n">
        <v>0</v>
      </c>
      <c r="Q960" t="n">
        <v>0</v>
      </c>
      <c r="R960" s="2" t="inlineStr"/>
    </row>
    <row r="961" ht="15" customHeight="1">
      <c r="A961" t="inlineStr">
        <is>
          <t>A 63703-2018</t>
        </is>
      </c>
      <c r="B961" s="1" t="n">
        <v>43417</v>
      </c>
      <c r="C961" s="1" t="n">
        <v>45212</v>
      </c>
      <c r="D961" t="inlineStr">
        <is>
          <t>VÄSTRA GÖTALANDS LÄN</t>
        </is>
      </c>
      <c r="E961" t="inlineStr">
        <is>
          <t>DALS-ED</t>
        </is>
      </c>
      <c r="F961" t="inlineStr">
        <is>
          <t>Bergvik skog väst AB</t>
        </is>
      </c>
      <c r="G961" t="n">
        <v>13</v>
      </c>
      <c r="H961" t="n">
        <v>0</v>
      </c>
      <c r="I961" t="n">
        <v>0</v>
      </c>
      <c r="J961" t="n">
        <v>0</v>
      </c>
      <c r="K961" t="n">
        <v>0</v>
      </c>
      <c r="L961" t="n">
        <v>0</v>
      </c>
      <c r="M961" t="n">
        <v>0</v>
      </c>
      <c r="N961" t="n">
        <v>0</v>
      </c>
      <c r="O961" t="n">
        <v>0</v>
      </c>
      <c r="P961" t="n">
        <v>0</v>
      </c>
      <c r="Q961" t="n">
        <v>0</v>
      </c>
      <c r="R961" s="2" t="inlineStr"/>
    </row>
    <row r="962" ht="15" customHeight="1">
      <c r="A962" t="inlineStr">
        <is>
          <t>A 59338-2018</t>
        </is>
      </c>
      <c r="B962" s="1" t="n">
        <v>43418</v>
      </c>
      <c r="C962" s="1" t="n">
        <v>45212</v>
      </c>
      <c r="D962" t="inlineStr">
        <is>
          <t>VÄSTRA GÖTALANDS LÄN</t>
        </is>
      </c>
      <c r="E962" t="inlineStr">
        <is>
          <t>TRANEMO</t>
        </is>
      </c>
      <c r="G962" t="n">
        <v>4.2</v>
      </c>
      <c r="H962" t="n">
        <v>0</v>
      </c>
      <c r="I962" t="n">
        <v>0</v>
      </c>
      <c r="J962" t="n">
        <v>0</v>
      </c>
      <c r="K962" t="n">
        <v>0</v>
      </c>
      <c r="L962" t="n">
        <v>0</v>
      </c>
      <c r="M962" t="n">
        <v>0</v>
      </c>
      <c r="N962" t="n">
        <v>0</v>
      </c>
      <c r="O962" t="n">
        <v>0</v>
      </c>
      <c r="P962" t="n">
        <v>0</v>
      </c>
      <c r="Q962" t="n">
        <v>0</v>
      </c>
      <c r="R962" s="2" t="inlineStr"/>
    </row>
    <row r="963" ht="15" customHeight="1">
      <c r="A963" t="inlineStr">
        <is>
          <t>A 59342-2018</t>
        </is>
      </c>
      <c r="B963" s="1" t="n">
        <v>43418</v>
      </c>
      <c r="C963" s="1" t="n">
        <v>45212</v>
      </c>
      <c r="D963" t="inlineStr">
        <is>
          <t>VÄSTRA GÖTALANDS LÄN</t>
        </is>
      </c>
      <c r="E963" t="inlineStr">
        <is>
          <t>TRANEMO</t>
        </is>
      </c>
      <c r="G963" t="n">
        <v>7.2</v>
      </c>
      <c r="H963" t="n">
        <v>0</v>
      </c>
      <c r="I963" t="n">
        <v>0</v>
      </c>
      <c r="J963" t="n">
        <v>0</v>
      </c>
      <c r="K963" t="n">
        <v>0</v>
      </c>
      <c r="L963" t="n">
        <v>0</v>
      </c>
      <c r="M963" t="n">
        <v>0</v>
      </c>
      <c r="N963" t="n">
        <v>0</v>
      </c>
      <c r="O963" t="n">
        <v>0</v>
      </c>
      <c r="P963" t="n">
        <v>0</v>
      </c>
      <c r="Q963" t="n">
        <v>0</v>
      </c>
      <c r="R963" s="2" t="inlineStr"/>
    </row>
    <row r="964" ht="15" customHeight="1">
      <c r="A964" t="inlineStr">
        <is>
          <t>A 59395-2018</t>
        </is>
      </c>
      <c r="B964" s="1" t="n">
        <v>43418</v>
      </c>
      <c r="C964" s="1" t="n">
        <v>45212</v>
      </c>
      <c r="D964" t="inlineStr">
        <is>
          <t>VÄSTRA GÖTALANDS LÄN</t>
        </is>
      </c>
      <c r="E964" t="inlineStr">
        <is>
          <t>ULRICEHAMN</t>
        </is>
      </c>
      <c r="G964" t="n">
        <v>1.1</v>
      </c>
      <c r="H964" t="n">
        <v>0</v>
      </c>
      <c r="I964" t="n">
        <v>0</v>
      </c>
      <c r="J964" t="n">
        <v>0</v>
      </c>
      <c r="K964" t="n">
        <v>0</v>
      </c>
      <c r="L964" t="n">
        <v>0</v>
      </c>
      <c r="M964" t="n">
        <v>0</v>
      </c>
      <c r="N964" t="n">
        <v>0</v>
      </c>
      <c r="O964" t="n">
        <v>0</v>
      </c>
      <c r="P964" t="n">
        <v>0</v>
      </c>
      <c r="Q964" t="n">
        <v>0</v>
      </c>
      <c r="R964" s="2" t="inlineStr"/>
    </row>
    <row r="965" ht="15" customHeight="1">
      <c r="A965" t="inlineStr">
        <is>
          <t>A 63036-2018</t>
        </is>
      </c>
      <c r="B965" s="1" t="n">
        <v>43418</v>
      </c>
      <c r="C965" s="1" t="n">
        <v>45212</v>
      </c>
      <c r="D965" t="inlineStr">
        <is>
          <t>VÄSTRA GÖTALANDS LÄN</t>
        </is>
      </c>
      <c r="E965" t="inlineStr">
        <is>
          <t>DALS-ED</t>
        </is>
      </c>
      <c r="G965" t="n">
        <v>6.4</v>
      </c>
      <c r="H965" t="n">
        <v>0</v>
      </c>
      <c r="I965" t="n">
        <v>0</v>
      </c>
      <c r="J965" t="n">
        <v>0</v>
      </c>
      <c r="K965" t="n">
        <v>0</v>
      </c>
      <c r="L965" t="n">
        <v>0</v>
      </c>
      <c r="M965" t="n">
        <v>0</v>
      </c>
      <c r="N965" t="n">
        <v>0</v>
      </c>
      <c r="O965" t="n">
        <v>0</v>
      </c>
      <c r="P965" t="n">
        <v>0</v>
      </c>
      <c r="Q965" t="n">
        <v>0</v>
      </c>
      <c r="R965" s="2" t="inlineStr"/>
    </row>
    <row r="966" ht="15" customHeight="1">
      <c r="A966" t="inlineStr">
        <is>
          <t>A 63042-2018</t>
        </is>
      </c>
      <c r="B966" s="1" t="n">
        <v>43418</v>
      </c>
      <c r="C966" s="1" t="n">
        <v>45212</v>
      </c>
      <c r="D966" t="inlineStr">
        <is>
          <t>VÄSTRA GÖTALANDS LÄN</t>
        </is>
      </c>
      <c r="E966" t="inlineStr">
        <is>
          <t>BENGTSFORS</t>
        </is>
      </c>
      <c r="G966" t="n">
        <v>1.7</v>
      </c>
      <c r="H966" t="n">
        <v>0</v>
      </c>
      <c r="I966" t="n">
        <v>0</v>
      </c>
      <c r="J966" t="n">
        <v>0</v>
      </c>
      <c r="K966" t="n">
        <v>0</v>
      </c>
      <c r="L966" t="n">
        <v>0</v>
      </c>
      <c r="M966" t="n">
        <v>0</v>
      </c>
      <c r="N966" t="n">
        <v>0</v>
      </c>
      <c r="O966" t="n">
        <v>0</v>
      </c>
      <c r="P966" t="n">
        <v>0</v>
      </c>
      <c r="Q966" t="n">
        <v>0</v>
      </c>
      <c r="R966" s="2" t="inlineStr"/>
    </row>
    <row r="967" ht="15" customHeight="1">
      <c r="A967" t="inlineStr">
        <is>
          <t>A 63063-2018</t>
        </is>
      </c>
      <c r="B967" s="1" t="n">
        <v>43418</v>
      </c>
      <c r="C967" s="1" t="n">
        <v>45212</v>
      </c>
      <c r="D967" t="inlineStr">
        <is>
          <t>VÄSTRA GÖTALANDS LÄN</t>
        </is>
      </c>
      <c r="E967" t="inlineStr">
        <is>
          <t>BORÅS</t>
        </is>
      </c>
      <c r="G967" t="n">
        <v>0.6</v>
      </c>
      <c r="H967" t="n">
        <v>0</v>
      </c>
      <c r="I967" t="n">
        <v>0</v>
      </c>
      <c r="J967" t="n">
        <v>0</v>
      </c>
      <c r="K967" t="n">
        <v>0</v>
      </c>
      <c r="L967" t="n">
        <v>0</v>
      </c>
      <c r="M967" t="n">
        <v>0</v>
      </c>
      <c r="N967" t="n">
        <v>0</v>
      </c>
      <c r="O967" t="n">
        <v>0</v>
      </c>
      <c r="P967" t="n">
        <v>0</v>
      </c>
      <c r="Q967" t="n">
        <v>0</v>
      </c>
      <c r="R967" s="2" t="inlineStr"/>
    </row>
    <row r="968" ht="15" customHeight="1">
      <c r="A968" t="inlineStr">
        <is>
          <t>A 63107-2018</t>
        </is>
      </c>
      <c r="B968" s="1" t="n">
        <v>43418</v>
      </c>
      <c r="C968" s="1" t="n">
        <v>45212</v>
      </c>
      <c r="D968" t="inlineStr">
        <is>
          <t>VÄSTRA GÖTALANDS LÄN</t>
        </is>
      </c>
      <c r="E968" t="inlineStr">
        <is>
          <t>FÄRGELANDA</t>
        </is>
      </c>
      <c r="G968" t="n">
        <v>2.7</v>
      </c>
      <c r="H968" t="n">
        <v>0</v>
      </c>
      <c r="I968" t="n">
        <v>0</v>
      </c>
      <c r="J968" t="n">
        <v>0</v>
      </c>
      <c r="K968" t="n">
        <v>0</v>
      </c>
      <c r="L968" t="n">
        <v>0</v>
      </c>
      <c r="M968" t="n">
        <v>0</v>
      </c>
      <c r="N968" t="n">
        <v>0</v>
      </c>
      <c r="O968" t="n">
        <v>0</v>
      </c>
      <c r="P968" t="n">
        <v>0</v>
      </c>
      <c r="Q968" t="n">
        <v>0</v>
      </c>
      <c r="R968" s="2" t="inlineStr"/>
    </row>
    <row r="969" ht="15" customHeight="1">
      <c r="A969" t="inlineStr">
        <is>
          <t>A 63155-2018</t>
        </is>
      </c>
      <c r="B969" s="1" t="n">
        <v>43418</v>
      </c>
      <c r="C969" s="1" t="n">
        <v>45212</v>
      </c>
      <c r="D969" t="inlineStr">
        <is>
          <t>VÄSTRA GÖTALANDS LÄN</t>
        </is>
      </c>
      <c r="E969" t="inlineStr">
        <is>
          <t>TÖREBODA</t>
        </is>
      </c>
      <c r="G969" t="n">
        <v>2.6</v>
      </c>
      <c r="H969" t="n">
        <v>0</v>
      </c>
      <c r="I969" t="n">
        <v>0</v>
      </c>
      <c r="J969" t="n">
        <v>0</v>
      </c>
      <c r="K969" t="n">
        <v>0</v>
      </c>
      <c r="L969" t="n">
        <v>0</v>
      </c>
      <c r="M969" t="n">
        <v>0</v>
      </c>
      <c r="N969" t="n">
        <v>0</v>
      </c>
      <c r="O969" t="n">
        <v>0</v>
      </c>
      <c r="P969" t="n">
        <v>0</v>
      </c>
      <c r="Q969" t="n">
        <v>0</v>
      </c>
      <c r="R969" s="2" t="inlineStr"/>
    </row>
    <row r="970" ht="15" customHeight="1">
      <c r="A970" t="inlineStr">
        <is>
          <t>A 63766-2018</t>
        </is>
      </c>
      <c r="B970" s="1" t="n">
        <v>43418</v>
      </c>
      <c r="C970" s="1" t="n">
        <v>45212</v>
      </c>
      <c r="D970" t="inlineStr">
        <is>
          <t>VÄSTRA GÖTALANDS LÄN</t>
        </is>
      </c>
      <c r="E970" t="inlineStr">
        <is>
          <t>GULLSPÅNG</t>
        </is>
      </c>
      <c r="G970" t="n">
        <v>5.1</v>
      </c>
      <c r="H970" t="n">
        <v>0</v>
      </c>
      <c r="I970" t="n">
        <v>0</v>
      </c>
      <c r="J970" t="n">
        <v>0</v>
      </c>
      <c r="K970" t="n">
        <v>0</v>
      </c>
      <c r="L970" t="n">
        <v>0</v>
      </c>
      <c r="M970" t="n">
        <v>0</v>
      </c>
      <c r="N970" t="n">
        <v>0</v>
      </c>
      <c r="O970" t="n">
        <v>0</v>
      </c>
      <c r="P970" t="n">
        <v>0</v>
      </c>
      <c r="Q970" t="n">
        <v>0</v>
      </c>
      <c r="R970" s="2" t="inlineStr"/>
    </row>
    <row r="971" ht="15" customHeight="1">
      <c r="A971" t="inlineStr">
        <is>
          <t>A 63767-2018</t>
        </is>
      </c>
      <c r="B971" s="1" t="n">
        <v>43418</v>
      </c>
      <c r="C971" s="1" t="n">
        <v>45212</v>
      </c>
      <c r="D971" t="inlineStr">
        <is>
          <t>VÄSTRA GÖTALANDS LÄN</t>
        </is>
      </c>
      <c r="E971" t="inlineStr">
        <is>
          <t>GULLSPÅNG</t>
        </is>
      </c>
      <c r="G971" t="n">
        <v>3.5</v>
      </c>
      <c r="H971" t="n">
        <v>0</v>
      </c>
      <c r="I971" t="n">
        <v>0</v>
      </c>
      <c r="J971" t="n">
        <v>0</v>
      </c>
      <c r="K971" t="n">
        <v>0</v>
      </c>
      <c r="L971" t="n">
        <v>0</v>
      </c>
      <c r="M971" t="n">
        <v>0</v>
      </c>
      <c r="N971" t="n">
        <v>0</v>
      </c>
      <c r="O971" t="n">
        <v>0</v>
      </c>
      <c r="P971" t="n">
        <v>0</v>
      </c>
      <c r="Q971" t="n">
        <v>0</v>
      </c>
      <c r="R971" s="2" t="inlineStr"/>
    </row>
    <row r="972" ht="15" customHeight="1">
      <c r="A972" t="inlineStr">
        <is>
          <t>A 63768-2018</t>
        </is>
      </c>
      <c r="B972" s="1" t="n">
        <v>43418</v>
      </c>
      <c r="C972" s="1" t="n">
        <v>45212</v>
      </c>
      <c r="D972" t="inlineStr">
        <is>
          <t>VÄSTRA GÖTALANDS LÄN</t>
        </is>
      </c>
      <c r="E972" t="inlineStr">
        <is>
          <t>GULLSPÅNG</t>
        </is>
      </c>
      <c r="G972" t="n">
        <v>1.4</v>
      </c>
      <c r="H972" t="n">
        <v>0</v>
      </c>
      <c r="I972" t="n">
        <v>0</v>
      </c>
      <c r="J972" t="n">
        <v>0</v>
      </c>
      <c r="K972" t="n">
        <v>0</v>
      </c>
      <c r="L972" t="n">
        <v>0</v>
      </c>
      <c r="M972" t="n">
        <v>0</v>
      </c>
      <c r="N972" t="n">
        <v>0</v>
      </c>
      <c r="O972" t="n">
        <v>0</v>
      </c>
      <c r="P972" t="n">
        <v>0</v>
      </c>
      <c r="Q972" t="n">
        <v>0</v>
      </c>
      <c r="R972" s="2" t="inlineStr"/>
    </row>
    <row r="973" ht="15" customHeight="1">
      <c r="A973" t="inlineStr">
        <is>
          <t>A 63769-2018</t>
        </is>
      </c>
      <c r="B973" s="1" t="n">
        <v>43418</v>
      </c>
      <c r="C973" s="1" t="n">
        <v>45212</v>
      </c>
      <c r="D973" t="inlineStr">
        <is>
          <t>VÄSTRA GÖTALANDS LÄN</t>
        </is>
      </c>
      <c r="E973" t="inlineStr">
        <is>
          <t>GULLSPÅNG</t>
        </is>
      </c>
      <c r="G973" t="n">
        <v>3.5</v>
      </c>
      <c r="H973" t="n">
        <v>0</v>
      </c>
      <c r="I973" t="n">
        <v>0</v>
      </c>
      <c r="J973" t="n">
        <v>0</v>
      </c>
      <c r="K973" t="n">
        <v>0</v>
      </c>
      <c r="L973" t="n">
        <v>0</v>
      </c>
      <c r="M973" t="n">
        <v>0</v>
      </c>
      <c r="N973" t="n">
        <v>0</v>
      </c>
      <c r="O973" t="n">
        <v>0</v>
      </c>
      <c r="P973" t="n">
        <v>0</v>
      </c>
      <c r="Q973" t="n">
        <v>0</v>
      </c>
      <c r="R973" s="2" t="inlineStr"/>
    </row>
    <row r="974" ht="15" customHeight="1">
      <c r="A974" t="inlineStr">
        <is>
          <t>A 59442-2018</t>
        </is>
      </c>
      <c r="B974" s="1" t="n">
        <v>43419</v>
      </c>
      <c r="C974" s="1" t="n">
        <v>45212</v>
      </c>
      <c r="D974" t="inlineStr">
        <is>
          <t>VÄSTRA GÖTALANDS LÄN</t>
        </is>
      </c>
      <c r="E974" t="inlineStr">
        <is>
          <t>TÖREBODA</t>
        </is>
      </c>
      <c r="G974" t="n">
        <v>1.1</v>
      </c>
      <c r="H974" t="n">
        <v>0</v>
      </c>
      <c r="I974" t="n">
        <v>0</v>
      </c>
      <c r="J974" t="n">
        <v>0</v>
      </c>
      <c r="K974" t="n">
        <v>0</v>
      </c>
      <c r="L974" t="n">
        <v>0</v>
      </c>
      <c r="M974" t="n">
        <v>0</v>
      </c>
      <c r="N974" t="n">
        <v>0</v>
      </c>
      <c r="O974" t="n">
        <v>0</v>
      </c>
      <c r="P974" t="n">
        <v>0</v>
      </c>
      <c r="Q974" t="n">
        <v>0</v>
      </c>
      <c r="R974" s="2" t="inlineStr"/>
    </row>
    <row r="975" ht="15" customHeight="1">
      <c r="A975" t="inlineStr">
        <is>
          <t>A 59462-2018</t>
        </is>
      </c>
      <c r="B975" s="1" t="n">
        <v>43419</v>
      </c>
      <c r="C975" s="1" t="n">
        <v>45212</v>
      </c>
      <c r="D975" t="inlineStr">
        <is>
          <t>VÄSTRA GÖTALANDS LÄN</t>
        </is>
      </c>
      <c r="E975" t="inlineStr">
        <is>
          <t>DALS-ED</t>
        </is>
      </c>
      <c r="G975" t="n">
        <v>1</v>
      </c>
      <c r="H975" t="n">
        <v>0</v>
      </c>
      <c r="I975" t="n">
        <v>0</v>
      </c>
      <c r="J975" t="n">
        <v>0</v>
      </c>
      <c r="K975" t="n">
        <v>0</v>
      </c>
      <c r="L975" t="n">
        <v>0</v>
      </c>
      <c r="M975" t="n">
        <v>0</v>
      </c>
      <c r="N975" t="n">
        <v>0</v>
      </c>
      <c r="O975" t="n">
        <v>0</v>
      </c>
      <c r="P975" t="n">
        <v>0</v>
      </c>
      <c r="Q975" t="n">
        <v>0</v>
      </c>
      <c r="R975" s="2" t="inlineStr"/>
    </row>
    <row r="976" ht="15" customHeight="1">
      <c r="A976" t="inlineStr">
        <is>
          <t>A 59649-2018</t>
        </is>
      </c>
      <c r="B976" s="1" t="n">
        <v>43419</v>
      </c>
      <c r="C976" s="1" t="n">
        <v>45212</v>
      </c>
      <c r="D976" t="inlineStr">
        <is>
          <t>VÄSTRA GÖTALANDS LÄN</t>
        </is>
      </c>
      <c r="E976" t="inlineStr">
        <is>
          <t>STENUNGSUND</t>
        </is>
      </c>
      <c r="G976" t="n">
        <v>1.4</v>
      </c>
      <c r="H976" t="n">
        <v>0</v>
      </c>
      <c r="I976" t="n">
        <v>0</v>
      </c>
      <c r="J976" t="n">
        <v>0</v>
      </c>
      <c r="K976" t="n">
        <v>0</v>
      </c>
      <c r="L976" t="n">
        <v>0</v>
      </c>
      <c r="M976" t="n">
        <v>0</v>
      </c>
      <c r="N976" t="n">
        <v>0</v>
      </c>
      <c r="O976" t="n">
        <v>0</v>
      </c>
      <c r="P976" t="n">
        <v>0</v>
      </c>
      <c r="Q976" t="n">
        <v>0</v>
      </c>
      <c r="R976" s="2" t="inlineStr"/>
    </row>
    <row r="977" ht="15" customHeight="1">
      <c r="A977" t="inlineStr">
        <is>
          <t>A 59759-2018</t>
        </is>
      </c>
      <c r="B977" s="1" t="n">
        <v>43419</v>
      </c>
      <c r="C977" s="1" t="n">
        <v>45212</v>
      </c>
      <c r="D977" t="inlineStr">
        <is>
          <t>VÄSTRA GÖTALANDS LÄN</t>
        </is>
      </c>
      <c r="E977" t="inlineStr">
        <is>
          <t>BENGTSFORS</t>
        </is>
      </c>
      <c r="G977" t="n">
        <v>4.1</v>
      </c>
      <c r="H977" t="n">
        <v>0</v>
      </c>
      <c r="I977" t="n">
        <v>0</v>
      </c>
      <c r="J977" t="n">
        <v>0</v>
      </c>
      <c r="K977" t="n">
        <v>0</v>
      </c>
      <c r="L977" t="n">
        <v>0</v>
      </c>
      <c r="M977" t="n">
        <v>0</v>
      </c>
      <c r="N977" t="n">
        <v>0</v>
      </c>
      <c r="O977" t="n">
        <v>0</v>
      </c>
      <c r="P977" t="n">
        <v>0</v>
      </c>
      <c r="Q977" t="n">
        <v>0</v>
      </c>
      <c r="R977" s="2" t="inlineStr"/>
    </row>
    <row r="978" ht="15" customHeight="1">
      <c r="A978" t="inlineStr">
        <is>
          <t>A 64350-2018</t>
        </is>
      </c>
      <c r="B978" s="1" t="n">
        <v>43419</v>
      </c>
      <c r="C978" s="1" t="n">
        <v>45212</v>
      </c>
      <c r="D978" t="inlineStr">
        <is>
          <t>VÄSTRA GÖTALANDS LÄN</t>
        </is>
      </c>
      <c r="E978" t="inlineStr">
        <is>
          <t>LILLA EDET</t>
        </is>
      </c>
      <c r="F978" t="inlineStr">
        <is>
          <t>Kyrkan</t>
        </is>
      </c>
      <c r="G978" t="n">
        <v>0.7</v>
      </c>
      <c r="H978" t="n">
        <v>0</v>
      </c>
      <c r="I978" t="n">
        <v>0</v>
      </c>
      <c r="J978" t="n">
        <v>0</v>
      </c>
      <c r="K978" t="n">
        <v>0</v>
      </c>
      <c r="L978" t="n">
        <v>0</v>
      </c>
      <c r="M978" t="n">
        <v>0</v>
      </c>
      <c r="N978" t="n">
        <v>0</v>
      </c>
      <c r="O978" t="n">
        <v>0</v>
      </c>
      <c r="P978" t="n">
        <v>0</v>
      </c>
      <c r="Q978" t="n">
        <v>0</v>
      </c>
      <c r="R978" s="2" t="inlineStr"/>
    </row>
    <row r="979" ht="15" customHeight="1">
      <c r="A979" t="inlineStr">
        <is>
          <t>A 59435-2018</t>
        </is>
      </c>
      <c r="B979" s="1" t="n">
        <v>43419</v>
      </c>
      <c r="C979" s="1" t="n">
        <v>45212</v>
      </c>
      <c r="D979" t="inlineStr">
        <is>
          <t>VÄSTRA GÖTALANDS LÄN</t>
        </is>
      </c>
      <c r="E979" t="inlineStr">
        <is>
          <t>LILLA EDET</t>
        </is>
      </c>
      <c r="G979" t="n">
        <v>3.9</v>
      </c>
      <c r="H979" t="n">
        <v>0</v>
      </c>
      <c r="I979" t="n">
        <v>0</v>
      </c>
      <c r="J979" t="n">
        <v>0</v>
      </c>
      <c r="K979" t="n">
        <v>0</v>
      </c>
      <c r="L979" t="n">
        <v>0</v>
      </c>
      <c r="M979" t="n">
        <v>0</v>
      </c>
      <c r="N979" t="n">
        <v>0</v>
      </c>
      <c r="O979" t="n">
        <v>0</v>
      </c>
      <c r="P979" t="n">
        <v>0</v>
      </c>
      <c r="Q979" t="n">
        <v>0</v>
      </c>
      <c r="R979" s="2" t="inlineStr"/>
    </row>
    <row r="980" ht="15" customHeight="1">
      <c r="A980" t="inlineStr">
        <is>
          <t>A 64220-2018</t>
        </is>
      </c>
      <c r="B980" s="1" t="n">
        <v>43419</v>
      </c>
      <c r="C980" s="1" t="n">
        <v>45212</v>
      </c>
      <c r="D980" t="inlineStr">
        <is>
          <t>VÄSTRA GÖTALANDS LÄN</t>
        </is>
      </c>
      <c r="E980" t="inlineStr">
        <is>
          <t>SVENLJUNGA</t>
        </is>
      </c>
      <c r="F980" t="inlineStr">
        <is>
          <t>Kommuner</t>
        </is>
      </c>
      <c r="G980" t="n">
        <v>1.7</v>
      </c>
      <c r="H980" t="n">
        <v>0</v>
      </c>
      <c r="I980" t="n">
        <v>0</v>
      </c>
      <c r="J980" t="n">
        <v>0</v>
      </c>
      <c r="K980" t="n">
        <v>0</v>
      </c>
      <c r="L980" t="n">
        <v>0</v>
      </c>
      <c r="M980" t="n">
        <v>0</v>
      </c>
      <c r="N980" t="n">
        <v>0</v>
      </c>
      <c r="O980" t="n">
        <v>0</v>
      </c>
      <c r="P980" t="n">
        <v>0</v>
      </c>
      <c r="Q980" t="n">
        <v>0</v>
      </c>
      <c r="R980" s="2" t="inlineStr"/>
    </row>
    <row r="981" ht="15" customHeight="1">
      <c r="A981" t="inlineStr">
        <is>
          <t>A 59642-2018</t>
        </is>
      </c>
      <c r="B981" s="1" t="n">
        <v>43419</v>
      </c>
      <c r="C981" s="1" t="n">
        <v>45212</v>
      </c>
      <c r="D981" t="inlineStr">
        <is>
          <t>VÄSTRA GÖTALANDS LÄN</t>
        </is>
      </c>
      <c r="E981" t="inlineStr">
        <is>
          <t>TÖREBODA</t>
        </is>
      </c>
      <c r="F981" t="inlineStr">
        <is>
          <t>Övriga statliga verk och myndigheter</t>
        </is>
      </c>
      <c r="G981" t="n">
        <v>1.4</v>
      </c>
      <c r="H981" t="n">
        <v>0</v>
      </c>
      <c r="I981" t="n">
        <v>0</v>
      </c>
      <c r="J981" t="n">
        <v>0</v>
      </c>
      <c r="K981" t="n">
        <v>0</v>
      </c>
      <c r="L981" t="n">
        <v>0</v>
      </c>
      <c r="M981" t="n">
        <v>0</v>
      </c>
      <c r="N981" t="n">
        <v>0</v>
      </c>
      <c r="O981" t="n">
        <v>0</v>
      </c>
      <c r="P981" t="n">
        <v>0</v>
      </c>
      <c r="Q981" t="n">
        <v>0</v>
      </c>
      <c r="R981" s="2" t="inlineStr"/>
    </row>
    <row r="982" ht="15" customHeight="1">
      <c r="A982" t="inlineStr">
        <is>
          <t>A 59646-2018</t>
        </is>
      </c>
      <c r="B982" s="1" t="n">
        <v>43419</v>
      </c>
      <c r="C982" s="1" t="n">
        <v>45212</v>
      </c>
      <c r="D982" t="inlineStr">
        <is>
          <t>VÄSTRA GÖTALANDS LÄN</t>
        </is>
      </c>
      <c r="E982" t="inlineStr">
        <is>
          <t>STENUNGSUND</t>
        </is>
      </c>
      <c r="G982" t="n">
        <v>0.5</v>
      </c>
      <c r="H982" t="n">
        <v>0</v>
      </c>
      <c r="I982" t="n">
        <v>0</v>
      </c>
      <c r="J982" t="n">
        <v>0</v>
      </c>
      <c r="K982" t="n">
        <v>0</v>
      </c>
      <c r="L982" t="n">
        <v>0</v>
      </c>
      <c r="M982" t="n">
        <v>0</v>
      </c>
      <c r="N982" t="n">
        <v>0</v>
      </c>
      <c r="O982" t="n">
        <v>0</v>
      </c>
      <c r="P982" t="n">
        <v>0</v>
      </c>
      <c r="Q982" t="n">
        <v>0</v>
      </c>
      <c r="R982" s="2" t="inlineStr"/>
    </row>
    <row r="983" ht="15" customHeight="1">
      <c r="A983" t="inlineStr">
        <is>
          <t>A 61385-2018</t>
        </is>
      </c>
      <c r="B983" s="1" t="n">
        <v>43419</v>
      </c>
      <c r="C983" s="1" t="n">
        <v>45212</v>
      </c>
      <c r="D983" t="inlineStr">
        <is>
          <t>VÄSTRA GÖTALANDS LÄN</t>
        </is>
      </c>
      <c r="E983" t="inlineStr">
        <is>
          <t>BOLLEBYGD</t>
        </is>
      </c>
      <c r="G983" t="n">
        <v>1.5</v>
      </c>
      <c r="H983" t="n">
        <v>0</v>
      </c>
      <c r="I983" t="n">
        <v>0</v>
      </c>
      <c r="J983" t="n">
        <v>0</v>
      </c>
      <c r="K983" t="n">
        <v>0</v>
      </c>
      <c r="L983" t="n">
        <v>0</v>
      </c>
      <c r="M983" t="n">
        <v>0</v>
      </c>
      <c r="N983" t="n">
        <v>0</v>
      </c>
      <c r="O983" t="n">
        <v>0</v>
      </c>
      <c r="P983" t="n">
        <v>0</v>
      </c>
      <c r="Q983" t="n">
        <v>0</v>
      </c>
      <c r="R983" s="2" t="inlineStr"/>
    </row>
    <row r="984" ht="15" customHeight="1">
      <c r="A984" t="inlineStr">
        <is>
          <t>A 64346-2018</t>
        </is>
      </c>
      <c r="B984" s="1" t="n">
        <v>43419</v>
      </c>
      <c r="C984" s="1" t="n">
        <v>45212</v>
      </c>
      <c r="D984" t="inlineStr">
        <is>
          <t>VÄSTRA GÖTALANDS LÄN</t>
        </is>
      </c>
      <c r="E984" t="inlineStr">
        <is>
          <t>LIDKÖPING</t>
        </is>
      </c>
      <c r="G984" t="n">
        <v>1.2</v>
      </c>
      <c r="H984" t="n">
        <v>0</v>
      </c>
      <c r="I984" t="n">
        <v>0</v>
      </c>
      <c r="J984" t="n">
        <v>0</v>
      </c>
      <c r="K984" t="n">
        <v>0</v>
      </c>
      <c r="L984" t="n">
        <v>0</v>
      </c>
      <c r="M984" t="n">
        <v>0</v>
      </c>
      <c r="N984" t="n">
        <v>0</v>
      </c>
      <c r="O984" t="n">
        <v>0</v>
      </c>
      <c r="P984" t="n">
        <v>0</v>
      </c>
      <c r="Q984" t="n">
        <v>0</v>
      </c>
      <c r="R984" s="2" t="inlineStr"/>
    </row>
    <row r="985" ht="15" customHeight="1">
      <c r="A985" t="inlineStr">
        <is>
          <t>A 59488-2018</t>
        </is>
      </c>
      <c r="B985" s="1" t="n">
        <v>43419</v>
      </c>
      <c r="C985" s="1" t="n">
        <v>45212</v>
      </c>
      <c r="D985" t="inlineStr">
        <is>
          <t>VÄSTRA GÖTALANDS LÄN</t>
        </is>
      </c>
      <c r="E985" t="inlineStr">
        <is>
          <t>MELLERUD</t>
        </is>
      </c>
      <c r="G985" t="n">
        <v>7.6</v>
      </c>
      <c r="H985" t="n">
        <v>0</v>
      </c>
      <c r="I985" t="n">
        <v>0</v>
      </c>
      <c r="J985" t="n">
        <v>0</v>
      </c>
      <c r="K985" t="n">
        <v>0</v>
      </c>
      <c r="L985" t="n">
        <v>0</v>
      </c>
      <c r="M985" t="n">
        <v>0</v>
      </c>
      <c r="N985" t="n">
        <v>0</v>
      </c>
      <c r="O985" t="n">
        <v>0</v>
      </c>
      <c r="P985" t="n">
        <v>0</v>
      </c>
      <c r="Q985" t="n">
        <v>0</v>
      </c>
      <c r="R985" s="2" t="inlineStr"/>
    </row>
    <row r="986" ht="15" customHeight="1">
      <c r="A986" t="inlineStr">
        <is>
          <t>A 59502-2018</t>
        </is>
      </c>
      <c r="B986" s="1" t="n">
        <v>43419</v>
      </c>
      <c r="C986" s="1" t="n">
        <v>45212</v>
      </c>
      <c r="D986" t="inlineStr">
        <is>
          <t>VÄSTRA GÖTALANDS LÄN</t>
        </is>
      </c>
      <c r="E986" t="inlineStr">
        <is>
          <t>BORÅS</t>
        </is>
      </c>
      <c r="G986" t="n">
        <v>1.9</v>
      </c>
      <c r="H986" t="n">
        <v>0</v>
      </c>
      <c r="I986" t="n">
        <v>0</v>
      </c>
      <c r="J986" t="n">
        <v>0</v>
      </c>
      <c r="K986" t="n">
        <v>0</v>
      </c>
      <c r="L986" t="n">
        <v>0</v>
      </c>
      <c r="M986" t="n">
        <v>0</v>
      </c>
      <c r="N986" t="n">
        <v>0</v>
      </c>
      <c r="O986" t="n">
        <v>0</v>
      </c>
      <c r="P986" t="n">
        <v>0</v>
      </c>
      <c r="Q986" t="n">
        <v>0</v>
      </c>
      <c r="R986" s="2" t="inlineStr"/>
    </row>
    <row r="987" ht="15" customHeight="1">
      <c r="A987" t="inlineStr">
        <is>
          <t>A 59829-2018</t>
        </is>
      </c>
      <c r="B987" s="1" t="n">
        <v>43419</v>
      </c>
      <c r="C987" s="1" t="n">
        <v>45212</v>
      </c>
      <c r="D987" t="inlineStr">
        <is>
          <t>VÄSTRA GÖTALANDS LÄN</t>
        </is>
      </c>
      <c r="E987" t="inlineStr">
        <is>
          <t>TÖREBODA</t>
        </is>
      </c>
      <c r="G987" t="n">
        <v>0.2</v>
      </c>
      <c r="H987" t="n">
        <v>0</v>
      </c>
      <c r="I987" t="n">
        <v>0</v>
      </c>
      <c r="J987" t="n">
        <v>0</v>
      </c>
      <c r="K987" t="n">
        <v>0</v>
      </c>
      <c r="L987" t="n">
        <v>0</v>
      </c>
      <c r="M987" t="n">
        <v>0</v>
      </c>
      <c r="N987" t="n">
        <v>0</v>
      </c>
      <c r="O987" t="n">
        <v>0</v>
      </c>
      <c r="P987" t="n">
        <v>0</v>
      </c>
      <c r="Q987" t="n">
        <v>0</v>
      </c>
      <c r="R987" s="2" t="inlineStr"/>
    </row>
    <row r="988" ht="15" customHeight="1">
      <c r="A988" t="inlineStr">
        <is>
          <t>A 64312-2018</t>
        </is>
      </c>
      <c r="B988" s="1" t="n">
        <v>43419</v>
      </c>
      <c r="C988" s="1" t="n">
        <v>45212</v>
      </c>
      <c r="D988" t="inlineStr">
        <is>
          <t>VÄSTRA GÖTALANDS LÄN</t>
        </is>
      </c>
      <c r="E988" t="inlineStr">
        <is>
          <t>LERUM</t>
        </is>
      </c>
      <c r="G988" t="n">
        <v>3</v>
      </c>
      <c r="H988" t="n">
        <v>0</v>
      </c>
      <c r="I988" t="n">
        <v>0</v>
      </c>
      <c r="J988" t="n">
        <v>0</v>
      </c>
      <c r="K988" t="n">
        <v>0</v>
      </c>
      <c r="L988" t="n">
        <v>0</v>
      </c>
      <c r="M988" t="n">
        <v>0</v>
      </c>
      <c r="N988" t="n">
        <v>0</v>
      </c>
      <c r="O988" t="n">
        <v>0</v>
      </c>
      <c r="P988" t="n">
        <v>0</v>
      </c>
      <c r="Q988" t="n">
        <v>0</v>
      </c>
      <c r="R988" s="2" t="inlineStr"/>
    </row>
    <row r="989" ht="15" customHeight="1">
      <c r="A989" t="inlineStr">
        <is>
          <t>A 60328-2018</t>
        </is>
      </c>
      <c r="B989" s="1" t="n">
        <v>43420</v>
      </c>
      <c r="C989" s="1" t="n">
        <v>45212</v>
      </c>
      <c r="D989" t="inlineStr">
        <is>
          <t>VÄSTRA GÖTALANDS LÄN</t>
        </is>
      </c>
      <c r="E989" t="inlineStr">
        <is>
          <t>MARK</t>
        </is>
      </c>
      <c r="G989" t="n">
        <v>1</v>
      </c>
      <c r="H989" t="n">
        <v>0</v>
      </c>
      <c r="I989" t="n">
        <v>0</v>
      </c>
      <c r="J989" t="n">
        <v>0</v>
      </c>
      <c r="K989" t="n">
        <v>0</v>
      </c>
      <c r="L989" t="n">
        <v>0</v>
      </c>
      <c r="M989" t="n">
        <v>0</v>
      </c>
      <c r="N989" t="n">
        <v>0</v>
      </c>
      <c r="O989" t="n">
        <v>0</v>
      </c>
      <c r="P989" t="n">
        <v>0</v>
      </c>
      <c r="Q989" t="n">
        <v>0</v>
      </c>
      <c r="R989" s="2" t="inlineStr"/>
    </row>
    <row r="990" ht="15" customHeight="1">
      <c r="A990" t="inlineStr">
        <is>
          <t>A 60345-2018</t>
        </is>
      </c>
      <c r="B990" s="1" t="n">
        <v>43420</v>
      </c>
      <c r="C990" s="1" t="n">
        <v>45212</v>
      </c>
      <c r="D990" t="inlineStr">
        <is>
          <t>VÄSTRA GÖTALANDS LÄN</t>
        </is>
      </c>
      <c r="E990" t="inlineStr">
        <is>
          <t>MARK</t>
        </is>
      </c>
      <c r="G990" t="n">
        <v>2.7</v>
      </c>
      <c r="H990" t="n">
        <v>0</v>
      </c>
      <c r="I990" t="n">
        <v>0</v>
      </c>
      <c r="J990" t="n">
        <v>0</v>
      </c>
      <c r="K990" t="n">
        <v>0</v>
      </c>
      <c r="L990" t="n">
        <v>0</v>
      </c>
      <c r="M990" t="n">
        <v>0</v>
      </c>
      <c r="N990" t="n">
        <v>0</v>
      </c>
      <c r="O990" t="n">
        <v>0</v>
      </c>
      <c r="P990" t="n">
        <v>0</v>
      </c>
      <c r="Q990" t="n">
        <v>0</v>
      </c>
      <c r="R990" s="2" t="inlineStr"/>
    </row>
    <row r="991" ht="15" customHeight="1">
      <c r="A991" t="inlineStr">
        <is>
          <t>A 60624-2018</t>
        </is>
      </c>
      <c r="B991" s="1" t="n">
        <v>43420</v>
      </c>
      <c r="C991" s="1" t="n">
        <v>45212</v>
      </c>
      <c r="D991" t="inlineStr">
        <is>
          <t>VÄSTRA GÖTALANDS LÄN</t>
        </is>
      </c>
      <c r="E991" t="inlineStr">
        <is>
          <t>BENGTSFORS</t>
        </is>
      </c>
      <c r="G991" t="n">
        <v>0.3</v>
      </c>
      <c r="H991" t="n">
        <v>0</v>
      </c>
      <c r="I991" t="n">
        <v>0</v>
      </c>
      <c r="J991" t="n">
        <v>0</v>
      </c>
      <c r="K991" t="n">
        <v>0</v>
      </c>
      <c r="L991" t="n">
        <v>0</v>
      </c>
      <c r="M991" t="n">
        <v>0</v>
      </c>
      <c r="N991" t="n">
        <v>0</v>
      </c>
      <c r="O991" t="n">
        <v>0</v>
      </c>
      <c r="P991" t="n">
        <v>0</v>
      </c>
      <c r="Q991" t="n">
        <v>0</v>
      </c>
      <c r="R991" s="2" t="inlineStr"/>
    </row>
    <row r="992" ht="15" customHeight="1">
      <c r="A992" t="inlineStr">
        <is>
          <t>A 60333-2018</t>
        </is>
      </c>
      <c r="B992" s="1" t="n">
        <v>43420</v>
      </c>
      <c r="C992" s="1" t="n">
        <v>45212</v>
      </c>
      <c r="D992" t="inlineStr">
        <is>
          <t>VÄSTRA GÖTALANDS LÄN</t>
        </is>
      </c>
      <c r="E992" t="inlineStr">
        <is>
          <t>MARK</t>
        </is>
      </c>
      <c r="G992" t="n">
        <v>1.2</v>
      </c>
      <c r="H992" t="n">
        <v>0</v>
      </c>
      <c r="I992" t="n">
        <v>0</v>
      </c>
      <c r="J992" t="n">
        <v>0</v>
      </c>
      <c r="K992" t="n">
        <v>0</v>
      </c>
      <c r="L992" t="n">
        <v>0</v>
      </c>
      <c r="M992" t="n">
        <v>0</v>
      </c>
      <c r="N992" t="n">
        <v>0</v>
      </c>
      <c r="O992" t="n">
        <v>0</v>
      </c>
      <c r="P992" t="n">
        <v>0</v>
      </c>
      <c r="Q992" t="n">
        <v>0</v>
      </c>
      <c r="R992" s="2" t="inlineStr"/>
    </row>
    <row r="993" ht="15" customHeight="1">
      <c r="A993" t="inlineStr">
        <is>
          <t>A 64503-2018</t>
        </is>
      </c>
      <c r="B993" s="1" t="n">
        <v>43420</v>
      </c>
      <c r="C993" s="1" t="n">
        <v>45212</v>
      </c>
      <c r="D993" t="inlineStr">
        <is>
          <t>VÄSTRA GÖTALANDS LÄN</t>
        </is>
      </c>
      <c r="E993" t="inlineStr">
        <is>
          <t>TANUM</t>
        </is>
      </c>
      <c r="G993" t="n">
        <v>1.6</v>
      </c>
      <c r="H993" t="n">
        <v>0</v>
      </c>
      <c r="I993" t="n">
        <v>0</v>
      </c>
      <c r="J993" t="n">
        <v>0</v>
      </c>
      <c r="K993" t="n">
        <v>0</v>
      </c>
      <c r="L993" t="n">
        <v>0</v>
      </c>
      <c r="M993" t="n">
        <v>0</v>
      </c>
      <c r="N993" t="n">
        <v>0</v>
      </c>
      <c r="O993" t="n">
        <v>0</v>
      </c>
      <c r="P993" t="n">
        <v>0</v>
      </c>
      <c r="Q993" t="n">
        <v>0</v>
      </c>
      <c r="R993" s="2" t="inlineStr"/>
    </row>
    <row r="994" ht="15" customHeight="1">
      <c r="A994" t="inlineStr">
        <is>
          <t>A 64602-2018</t>
        </is>
      </c>
      <c r="B994" s="1" t="n">
        <v>43420</v>
      </c>
      <c r="C994" s="1" t="n">
        <v>45212</v>
      </c>
      <c r="D994" t="inlineStr">
        <is>
          <t>VÄSTRA GÖTALANDS LÄN</t>
        </is>
      </c>
      <c r="E994" t="inlineStr">
        <is>
          <t>DALS-ED</t>
        </is>
      </c>
      <c r="G994" t="n">
        <v>0.6</v>
      </c>
      <c r="H994" t="n">
        <v>0</v>
      </c>
      <c r="I994" t="n">
        <v>0</v>
      </c>
      <c r="J994" t="n">
        <v>0</v>
      </c>
      <c r="K994" t="n">
        <v>0</v>
      </c>
      <c r="L994" t="n">
        <v>0</v>
      </c>
      <c r="M994" t="n">
        <v>0</v>
      </c>
      <c r="N994" t="n">
        <v>0</v>
      </c>
      <c r="O994" t="n">
        <v>0</v>
      </c>
      <c r="P994" t="n">
        <v>0</v>
      </c>
      <c r="Q994" t="n">
        <v>0</v>
      </c>
      <c r="R994" s="2" t="inlineStr"/>
    </row>
    <row r="995" ht="15" customHeight="1">
      <c r="A995" t="inlineStr">
        <is>
          <t>A 60342-2018</t>
        </is>
      </c>
      <c r="B995" s="1" t="n">
        <v>43420</v>
      </c>
      <c r="C995" s="1" t="n">
        <v>45212</v>
      </c>
      <c r="D995" t="inlineStr">
        <is>
          <t>VÄSTRA GÖTALANDS LÄN</t>
        </is>
      </c>
      <c r="E995" t="inlineStr">
        <is>
          <t>TRANEMO</t>
        </is>
      </c>
      <c r="G995" t="n">
        <v>1.3</v>
      </c>
      <c r="H995" t="n">
        <v>0</v>
      </c>
      <c r="I995" t="n">
        <v>0</v>
      </c>
      <c r="J995" t="n">
        <v>0</v>
      </c>
      <c r="K995" t="n">
        <v>0</v>
      </c>
      <c r="L995" t="n">
        <v>0</v>
      </c>
      <c r="M995" t="n">
        <v>0</v>
      </c>
      <c r="N995" t="n">
        <v>0</v>
      </c>
      <c r="O995" t="n">
        <v>0</v>
      </c>
      <c r="P995" t="n">
        <v>0</v>
      </c>
      <c r="Q995" t="n">
        <v>0</v>
      </c>
      <c r="R995" s="2" t="inlineStr"/>
    </row>
    <row r="996" ht="15" customHeight="1">
      <c r="A996" t="inlineStr">
        <is>
          <t>A 60353-2018</t>
        </is>
      </c>
      <c r="B996" s="1" t="n">
        <v>43420</v>
      </c>
      <c r="C996" s="1" t="n">
        <v>45212</v>
      </c>
      <c r="D996" t="inlineStr">
        <is>
          <t>VÄSTRA GÖTALANDS LÄN</t>
        </is>
      </c>
      <c r="E996" t="inlineStr">
        <is>
          <t>MARK</t>
        </is>
      </c>
      <c r="G996" t="n">
        <v>0.6</v>
      </c>
      <c r="H996" t="n">
        <v>0</v>
      </c>
      <c r="I996" t="n">
        <v>0</v>
      </c>
      <c r="J996" t="n">
        <v>0</v>
      </c>
      <c r="K996" t="n">
        <v>0</v>
      </c>
      <c r="L996" t="n">
        <v>0</v>
      </c>
      <c r="M996" t="n">
        <v>0</v>
      </c>
      <c r="N996" t="n">
        <v>0</v>
      </c>
      <c r="O996" t="n">
        <v>0</v>
      </c>
      <c r="P996" t="n">
        <v>0</v>
      </c>
      <c r="Q996" t="n">
        <v>0</v>
      </c>
      <c r="R996" s="2" t="inlineStr"/>
    </row>
    <row r="997" ht="15" customHeight="1">
      <c r="A997" t="inlineStr">
        <is>
          <t>A 60533-2018</t>
        </is>
      </c>
      <c r="B997" s="1" t="n">
        <v>43420</v>
      </c>
      <c r="C997" s="1" t="n">
        <v>45212</v>
      </c>
      <c r="D997" t="inlineStr">
        <is>
          <t>VÄSTRA GÖTALANDS LÄN</t>
        </is>
      </c>
      <c r="E997" t="inlineStr">
        <is>
          <t>ULRICEHAMN</t>
        </is>
      </c>
      <c r="G997" t="n">
        <v>0.9</v>
      </c>
      <c r="H997" t="n">
        <v>0</v>
      </c>
      <c r="I997" t="n">
        <v>0</v>
      </c>
      <c r="J997" t="n">
        <v>0</v>
      </c>
      <c r="K997" t="n">
        <v>0</v>
      </c>
      <c r="L997" t="n">
        <v>0</v>
      </c>
      <c r="M997" t="n">
        <v>0</v>
      </c>
      <c r="N997" t="n">
        <v>0</v>
      </c>
      <c r="O997" t="n">
        <v>0</v>
      </c>
      <c r="P997" t="n">
        <v>0</v>
      </c>
      <c r="Q997" t="n">
        <v>0</v>
      </c>
      <c r="R997" s="2" t="inlineStr"/>
    </row>
    <row r="998" ht="15" customHeight="1">
      <c r="A998" t="inlineStr">
        <is>
          <t>A 60893-2018</t>
        </is>
      </c>
      <c r="B998" s="1" t="n">
        <v>43423</v>
      </c>
      <c r="C998" s="1" t="n">
        <v>45212</v>
      </c>
      <c r="D998" t="inlineStr">
        <is>
          <t>VÄSTRA GÖTALANDS LÄN</t>
        </is>
      </c>
      <c r="E998" t="inlineStr">
        <is>
          <t>TRANEMO</t>
        </is>
      </c>
      <c r="G998" t="n">
        <v>6.1</v>
      </c>
      <c r="H998" t="n">
        <v>0</v>
      </c>
      <c r="I998" t="n">
        <v>0</v>
      </c>
      <c r="J998" t="n">
        <v>0</v>
      </c>
      <c r="K998" t="n">
        <v>0</v>
      </c>
      <c r="L998" t="n">
        <v>0</v>
      </c>
      <c r="M998" t="n">
        <v>0</v>
      </c>
      <c r="N998" t="n">
        <v>0</v>
      </c>
      <c r="O998" t="n">
        <v>0</v>
      </c>
      <c r="P998" t="n">
        <v>0</v>
      </c>
      <c r="Q998" t="n">
        <v>0</v>
      </c>
      <c r="R998" s="2" t="inlineStr"/>
    </row>
    <row r="999" ht="15" customHeight="1">
      <c r="A999" t="inlineStr">
        <is>
          <t>A 61031-2018</t>
        </is>
      </c>
      <c r="B999" s="1" t="n">
        <v>43423</v>
      </c>
      <c r="C999" s="1" t="n">
        <v>45212</v>
      </c>
      <c r="D999" t="inlineStr">
        <is>
          <t>VÄSTRA GÖTALANDS LÄN</t>
        </is>
      </c>
      <c r="E999" t="inlineStr">
        <is>
          <t>STENUNGSUND</t>
        </is>
      </c>
      <c r="G999" t="n">
        <v>0.5</v>
      </c>
      <c r="H999" t="n">
        <v>0</v>
      </c>
      <c r="I999" t="n">
        <v>0</v>
      </c>
      <c r="J999" t="n">
        <v>0</v>
      </c>
      <c r="K999" t="n">
        <v>0</v>
      </c>
      <c r="L999" t="n">
        <v>0</v>
      </c>
      <c r="M999" t="n">
        <v>0</v>
      </c>
      <c r="N999" t="n">
        <v>0</v>
      </c>
      <c r="O999" t="n">
        <v>0</v>
      </c>
      <c r="P999" t="n">
        <v>0</v>
      </c>
      <c r="Q999" t="n">
        <v>0</v>
      </c>
      <c r="R999" s="2" t="inlineStr"/>
    </row>
    <row r="1000" ht="15" customHeight="1">
      <c r="A1000" t="inlineStr">
        <is>
          <t>A 61073-2018</t>
        </is>
      </c>
      <c r="B1000" s="1" t="n">
        <v>43423</v>
      </c>
      <c r="C1000" s="1" t="n">
        <v>45212</v>
      </c>
      <c r="D1000" t="inlineStr">
        <is>
          <t>VÄSTRA GÖTALANDS LÄN</t>
        </is>
      </c>
      <c r="E1000" t="inlineStr">
        <is>
          <t>DALS-ED</t>
        </is>
      </c>
      <c r="G1000" t="n">
        <v>3.3</v>
      </c>
      <c r="H1000" t="n">
        <v>0</v>
      </c>
      <c r="I1000" t="n">
        <v>0</v>
      </c>
      <c r="J1000" t="n">
        <v>0</v>
      </c>
      <c r="K1000" t="n">
        <v>0</v>
      </c>
      <c r="L1000" t="n">
        <v>0</v>
      </c>
      <c r="M1000" t="n">
        <v>0</v>
      </c>
      <c r="N1000" t="n">
        <v>0</v>
      </c>
      <c r="O1000" t="n">
        <v>0</v>
      </c>
      <c r="P1000" t="n">
        <v>0</v>
      </c>
      <c r="Q1000" t="n">
        <v>0</v>
      </c>
      <c r="R1000" s="2" t="inlineStr"/>
    </row>
    <row r="1001" ht="15" customHeight="1">
      <c r="A1001" t="inlineStr">
        <is>
          <t>A 61175-2018</t>
        </is>
      </c>
      <c r="B1001" s="1" t="n">
        <v>43423</v>
      </c>
      <c r="C1001" s="1" t="n">
        <v>45212</v>
      </c>
      <c r="D1001" t="inlineStr">
        <is>
          <t>VÄSTRA GÖTALANDS LÄN</t>
        </is>
      </c>
      <c r="E1001" t="inlineStr">
        <is>
          <t>KUNGÄLV</t>
        </is>
      </c>
      <c r="G1001" t="n">
        <v>5.6</v>
      </c>
      <c r="H1001" t="n">
        <v>0</v>
      </c>
      <c r="I1001" t="n">
        <v>0</v>
      </c>
      <c r="J1001" t="n">
        <v>0</v>
      </c>
      <c r="K1001" t="n">
        <v>0</v>
      </c>
      <c r="L1001" t="n">
        <v>0</v>
      </c>
      <c r="M1001" t="n">
        <v>0</v>
      </c>
      <c r="N1001" t="n">
        <v>0</v>
      </c>
      <c r="O1001" t="n">
        <v>0</v>
      </c>
      <c r="P1001" t="n">
        <v>0</v>
      </c>
      <c r="Q1001" t="n">
        <v>0</v>
      </c>
      <c r="R1001" s="2" t="inlineStr"/>
    </row>
    <row r="1002" ht="15" customHeight="1">
      <c r="A1002" t="inlineStr">
        <is>
          <t>A 60941-2018</t>
        </is>
      </c>
      <c r="B1002" s="1" t="n">
        <v>43423</v>
      </c>
      <c r="C1002" s="1" t="n">
        <v>45212</v>
      </c>
      <c r="D1002" t="inlineStr">
        <is>
          <t>VÄSTRA GÖTALANDS LÄN</t>
        </is>
      </c>
      <c r="E1002" t="inlineStr">
        <is>
          <t>BORÅS</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60961-2018</t>
        </is>
      </c>
      <c r="B1003" s="1" t="n">
        <v>43423</v>
      </c>
      <c r="C1003" s="1" t="n">
        <v>45212</v>
      </c>
      <c r="D1003" t="inlineStr">
        <is>
          <t>VÄSTRA GÖTALANDS LÄN</t>
        </is>
      </c>
      <c r="E1003" t="inlineStr">
        <is>
          <t>FÄRGELANDA</t>
        </is>
      </c>
      <c r="G1003" t="n">
        <v>4.6</v>
      </c>
      <c r="H1003" t="n">
        <v>0</v>
      </c>
      <c r="I1003" t="n">
        <v>0</v>
      </c>
      <c r="J1003" t="n">
        <v>0</v>
      </c>
      <c r="K1003" t="n">
        <v>0</v>
      </c>
      <c r="L1003" t="n">
        <v>0</v>
      </c>
      <c r="M1003" t="n">
        <v>0</v>
      </c>
      <c r="N1003" t="n">
        <v>0</v>
      </c>
      <c r="O1003" t="n">
        <v>0</v>
      </c>
      <c r="P1003" t="n">
        <v>0</v>
      </c>
      <c r="Q1003" t="n">
        <v>0</v>
      </c>
      <c r="R1003" s="2" t="inlineStr"/>
    </row>
    <row r="1004" ht="15" customHeight="1">
      <c r="A1004" t="inlineStr">
        <is>
          <t>A 61179-2018</t>
        </is>
      </c>
      <c r="B1004" s="1" t="n">
        <v>43423</v>
      </c>
      <c r="C1004" s="1" t="n">
        <v>45212</v>
      </c>
      <c r="D1004" t="inlineStr">
        <is>
          <t>VÄSTRA GÖTALANDS LÄN</t>
        </is>
      </c>
      <c r="E1004" t="inlineStr">
        <is>
          <t>ESSUNGA</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61231-2018</t>
        </is>
      </c>
      <c r="B1005" s="1" t="n">
        <v>43423</v>
      </c>
      <c r="C1005" s="1" t="n">
        <v>45212</v>
      </c>
      <c r="D1005" t="inlineStr">
        <is>
          <t>VÄSTRA GÖTALANDS LÄN</t>
        </is>
      </c>
      <c r="E1005" t="inlineStr">
        <is>
          <t>KUNGÄLV</t>
        </is>
      </c>
      <c r="G1005" t="n">
        <v>2.1</v>
      </c>
      <c r="H1005" t="n">
        <v>0</v>
      </c>
      <c r="I1005" t="n">
        <v>0</v>
      </c>
      <c r="J1005" t="n">
        <v>0</v>
      </c>
      <c r="K1005" t="n">
        <v>0</v>
      </c>
      <c r="L1005" t="n">
        <v>0</v>
      </c>
      <c r="M1005" t="n">
        <v>0</v>
      </c>
      <c r="N1005" t="n">
        <v>0</v>
      </c>
      <c r="O1005" t="n">
        <v>0</v>
      </c>
      <c r="P1005" t="n">
        <v>0</v>
      </c>
      <c r="Q1005" t="n">
        <v>0</v>
      </c>
      <c r="R1005" s="2" t="inlineStr"/>
    </row>
    <row r="1006" ht="15" customHeight="1">
      <c r="A1006" t="inlineStr">
        <is>
          <t>A 60936-2018</t>
        </is>
      </c>
      <c r="B1006" s="1" t="n">
        <v>43423</v>
      </c>
      <c r="C1006" s="1" t="n">
        <v>45212</v>
      </c>
      <c r="D1006" t="inlineStr">
        <is>
          <t>VÄSTRA GÖTALANDS LÄN</t>
        </is>
      </c>
      <c r="E1006" t="inlineStr">
        <is>
          <t>ALINGSÅS</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60952-2018</t>
        </is>
      </c>
      <c r="B1007" s="1" t="n">
        <v>43423</v>
      </c>
      <c r="C1007" s="1" t="n">
        <v>45212</v>
      </c>
      <c r="D1007" t="inlineStr">
        <is>
          <t>VÄSTRA GÖTALANDS LÄN</t>
        </is>
      </c>
      <c r="E1007" t="inlineStr">
        <is>
          <t>FALKÖPING</t>
        </is>
      </c>
      <c r="G1007" t="n">
        <v>0.5</v>
      </c>
      <c r="H1007" t="n">
        <v>0</v>
      </c>
      <c r="I1007" t="n">
        <v>0</v>
      </c>
      <c r="J1007" t="n">
        <v>0</v>
      </c>
      <c r="K1007" t="n">
        <v>0</v>
      </c>
      <c r="L1007" t="n">
        <v>0</v>
      </c>
      <c r="M1007" t="n">
        <v>0</v>
      </c>
      <c r="N1007" t="n">
        <v>0</v>
      </c>
      <c r="O1007" t="n">
        <v>0</v>
      </c>
      <c r="P1007" t="n">
        <v>0</v>
      </c>
      <c r="Q1007" t="n">
        <v>0</v>
      </c>
      <c r="R1007" s="2" t="inlineStr"/>
    </row>
    <row r="1008" ht="15" customHeight="1">
      <c r="A1008" t="inlineStr">
        <is>
          <t>A 61024-2018</t>
        </is>
      </c>
      <c r="B1008" s="1" t="n">
        <v>43423</v>
      </c>
      <c r="C1008" s="1" t="n">
        <v>45212</v>
      </c>
      <c r="D1008" t="inlineStr">
        <is>
          <t>VÄSTRA GÖTALANDS LÄN</t>
        </is>
      </c>
      <c r="E1008" t="inlineStr">
        <is>
          <t>TIDAHOLM</t>
        </is>
      </c>
      <c r="F1008" t="inlineStr">
        <is>
          <t>Sveaskog</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61111-2018</t>
        </is>
      </c>
      <c r="B1009" s="1" t="n">
        <v>43423</v>
      </c>
      <c r="C1009" s="1" t="n">
        <v>45212</v>
      </c>
      <c r="D1009" t="inlineStr">
        <is>
          <t>VÄSTRA GÖTALANDS LÄN</t>
        </is>
      </c>
      <c r="E1009" t="inlineStr">
        <is>
          <t>KUNGÄLV</t>
        </is>
      </c>
      <c r="G1009" t="n">
        <v>5.5</v>
      </c>
      <c r="H1009" t="n">
        <v>0</v>
      </c>
      <c r="I1009" t="n">
        <v>0</v>
      </c>
      <c r="J1009" t="n">
        <v>0</v>
      </c>
      <c r="K1009" t="n">
        <v>0</v>
      </c>
      <c r="L1009" t="n">
        <v>0</v>
      </c>
      <c r="M1009" t="n">
        <v>0</v>
      </c>
      <c r="N1009" t="n">
        <v>0</v>
      </c>
      <c r="O1009" t="n">
        <v>0</v>
      </c>
      <c r="P1009" t="n">
        <v>0</v>
      </c>
      <c r="Q1009" t="n">
        <v>0</v>
      </c>
      <c r="R1009" s="2" t="inlineStr"/>
    </row>
    <row r="1010" ht="15" customHeight="1">
      <c r="A1010" t="inlineStr">
        <is>
          <t>A 60954-2018</t>
        </is>
      </c>
      <c r="B1010" s="1" t="n">
        <v>43423</v>
      </c>
      <c r="C1010" s="1" t="n">
        <v>45212</v>
      </c>
      <c r="D1010" t="inlineStr">
        <is>
          <t>VÄSTRA GÖTALANDS LÄN</t>
        </is>
      </c>
      <c r="E1010" t="inlineStr">
        <is>
          <t>TROLLHÄTTAN</t>
        </is>
      </c>
      <c r="F1010" t="inlineStr">
        <is>
          <t>Kommuner</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61025-2018</t>
        </is>
      </c>
      <c r="B1011" s="1" t="n">
        <v>43423</v>
      </c>
      <c r="C1011" s="1" t="n">
        <v>45212</v>
      </c>
      <c r="D1011" t="inlineStr">
        <is>
          <t>VÄSTRA GÖTALANDS LÄN</t>
        </is>
      </c>
      <c r="E1011" t="inlineStr">
        <is>
          <t>TIDAHOLM</t>
        </is>
      </c>
      <c r="F1011" t="inlineStr">
        <is>
          <t>Sveaskog</t>
        </is>
      </c>
      <c r="G1011" t="n">
        <v>1.4</v>
      </c>
      <c r="H1011" t="n">
        <v>0</v>
      </c>
      <c r="I1011" t="n">
        <v>0</v>
      </c>
      <c r="J1011" t="n">
        <v>0</v>
      </c>
      <c r="K1011" t="n">
        <v>0</v>
      </c>
      <c r="L1011" t="n">
        <v>0</v>
      </c>
      <c r="M1011" t="n">
        <v>0</v>
      </c>
      <c r="N1011" t="n">
        <v>0</v>
      </c>
      <c r="O1011" t="n">
        <v>0</v>
      </c>
      <c r="P1011" t="n">
        <v>0</v>
      </c>
      <c r="Q1011" t="n">
        <v>0</v>
      </c>
      <c r="R1011" s="2" t="inlineStr"/>
    </row>
    <row r="1012" ht="15" customHeight="1">
      <c r="A1012" t="inlineStr">
        <is>
          <t>A 61155-2018</t>
        </is>
      </c>
      <c r="B1012" s="1" t="n">
        <v>43423</v>
      </c>
      <c r="C1012" s="1" t="n">
        <v>45212</v>
      </c>
      <c r="D1012" t="inlineStr">
        <is>
          <t>VÄSTRA GÖTALANDS LÄN</t>
        </is>
      </c>
      <c r="E1012" t="inlineStr">
        <is>
          <t>BORÅS</t>
        </is>
      </c>
      <c r="G1012" t="n">
        <v>20.8</v>
      </c>
      <c r="H1012" t="n">
        <v>0</v>
      </c>
      <c r="I1012" t="n">
        <v>0</v>
      </c>
      <c r="J1012" t="n">
        <v>0</v>
      </c>
      <c r="K1012" t="n">
        <v>0</v>
      </c>
      <c r="L1012" t="n">
        <v>0</v>
      </c>
      <c r="M1012" t="n">
        <v>0</v>
      </c>
      <c r="N1012" t="n">
        <v>0</v>
      </c>
      <c r="O1012" t="n">
        <v>0</v>
      </c>
      <c r="P1012" t="n">
        <v>0</v>
      </c>
      <c r="Q1012" t="n">
        <v>0</v>
      </c>
      <c r="R1012" s="2" t="inlineStr"/>
    </row>
    <row r="1013" ht="15" customHeight="1">
      <c r="A1013" t="inlineStr">
        <is>
          <t>A 61252-2018</t>
        </is>
      </c>
      <c r="B1013" s="1" t="n">
        <v>43423</v>
      </c>
      <c r="C1013" s="1" t="n">
        <v>45212</v>
      </c>
      <c r="D1013" t="inlineStr">
        <is>
          <t>VÄSTRA GÖTALANDS LÄN</t>
        </is>
      </c>
      <c r="E1013" t="inlineStr">
        <is>
          <t>SVENLJUNGA</t>
        </is>
      </c>
      <c r="G1013" t="n">
        <v>0.8</v>
      </c>
      <c r="H1013" t="n">
        <v>0</v>
      </c>
      <c r="I1013" t="n">
        <v>0</v>
      </c>
      <c r="J1013" t="n">
        <v>0</v>
      </c>
      <c r="K1013" t="n">
        <v>0</v>
      </c>
      <c r="L1013" t="n">
        <v>0</v>
      </c>
      <c r="M1013" t="n">
        <v>0</v>
      </c>
      <c r="N1013" t="n">
        <v>0</v>
      </c>
      <c r="O1013" t="n">
        <v>0</v>
      </c>
      <c r="P1013" t="n">
        <v>0</v>
      </c>
      <c r="Q1013" t="n">
        <v>0</v>
      </c>
      <c r="R1013" s="2" t="inlineStr"/>
    </row>
    <row r="1014" ht="15" customHeight="1">
      <c r="A1014" t="inlineStr">
        <is>
          <t>A 66875-2018</t>
        </is>
      </c>
      <c r="B1014" s="1" t="n">
        <v>43423</v>
      </c>
      <c r="C1014" s="1" t="n">
        <v>45212</v>
      </c>
      <c r="D1014" t="inlineStr">
        <is>
          <t>VÄSTRA GÖTALANDS LÄN</t>
        </is>
      </c>
      <c r="E1014" t="inlineStr">
        <is>
          <t>VARA</t>
        </is>
      </c>
      <c r="G1014" t="n">
        <v>2</v>
      </c>
      <c r="H1014" t="n">
        <v>0</v>
      </c>
      <c r="I1014" t="n">
        <v>0</v>
      </c>
      <c r="J1014" t="n">
        <v>0</v>
      </c>
      <c r="K1014" t="n">
        <v>0</v>
      </c>
      <c r="L1014" t="n">
        <v>0</v>
      </c>
      <c r="M1014" t="n">
        <v>0</v>
      </c>
      <c r="N1014" t="n">
        <v>0</v>
      </c>
      <c r="O1014" t="n">
        <v>0</v>
      </c>
      <c r="P1014" t="n">
        <v>0</v>
      </c>
      <c r="Q1014" t="n">
        <v>0</v>
      </c>
      <c r="R1014" s="2" t="inlineStr"/>
    </row>
    <row r="1015" ht="15" customHeight="1">
      <c r="A1015" t="inlineStr">
        <is>
          <t>A 61396-2018</t>
        </is>
      </c>
      <c r="B1015" s="1" t="n">
        <v>43424</v>
      </c>
      <c r="C1015" s="1" t="n">
        <v>45212</v>
      </c>
      <c r="D1015" t="inlineStr">
        <is>
          <t>VÄSTRA GÖTALANDS LÄN</t>
        </is>
      </c>
      <c r="E1015" t="inlineStr">
        <is>
          <t>HÄRRYDA</t>
        </is>
      </c>
      <c r="G1015" t="n">
        <v>0.9</v>
      </c>
      <c r="H1015" t="n">
        <v>0</v>
      </c>
      <c r="I1015" t="n">
        <v>0</v>
      </c>
      <c r="J1015" t="n">
        <v>0</v>
      </c>
      <c r="K1015" t="n">
        <v>0</v>
      </c>
      <c r="L1015" t="n">
        <v>0</v>
      </c>
      <c r="M1015" t="n">
        <v>0</v>
      </c>
      <c r="N1015" t="n">
        <v>0</v>
      </c>
      <c r="O1015" t="n">
        <v>0</v>
      </c>
      <c r="P1015" t="n">
        <v>0</v>
      </c>
      <c r="Q1015" t="n">
        <v>0</v>
      </c>
      <c r="R1015" s="2" t="inlineStr"/>
    </row>
    <row r="1016" ht="15" customHeight="1">
      <c r="A1016" t="inlineStr">
        <is>
          <t>A 61454-2018</t>
        </is>
      </c>
      <c r="B1016" s="1" t="n">
        <v>43424</v>
      </c>
      <c r="C1016" s="1" t="n">
        <v>45212</v>
      </c>
      <c r="D1016" t="inlineStr">
        <is>
          <t>VÄSTRA GÖTALANDS LÄN</t>
        </is>
      </c>
      <c r="E1016" t="inlineStr">
        <is>
          <t>FALKÖPING</t>
        </is>
      </c>
      <c r="G1016" t="n">
        <v>4</v>
      </c>
      <c r="H1016" t="n">
        <v>0</v>
      </c>
      <c r="I1016" t="n">
        <v>0</v>
      </c>
      <c r="J1016" t="n">
        <v>0</v>
      </c>
      <c r="K1016" t="n">
        <v>0</v>
      </c>
      <c r="L1016" t="n">
        <v>0</v>
      </c>
      <c r="M1016" t="n">
        <v>0</v>
      </c>
      <c r="N1016" t="n">
        <v>0</v>
      </c>
      <c r="O1016" t="n">
        <v>0</v>
      </c>
      <c r="P1016" t="n">
        <v>0</v>
      </c>
      <c r="Q1016" t="n">
        <v>0</v>
      </c>
      <c r="R1016" s="2" t="inlineStr"/>
    </row>
    <row r="1017" ht="15" customHeight="1">
      <c r="A1017" t="inlineStr">
        <is>
          <t>A 61509-2018</t>
        </is>
      </c>
      <c r="B1017" s="1" t="n">
        <v>43424</v>
      </c>
      <c r="C1017" s="1" t="n">
        <v>45212</v>
      </c>
      <c r="D1017" t="inlineStr">
        <is>
          <t>VÄSTRA GÖTALANDS LÄN</t>
        </is>
      </c>
      <c r="E1017" t="inlineStr">
        <is>
          <t>VÅRGÅRDA</t>
        </is>
      </c>
      <c r="G1017" t="n">
        <v>7</v>
      </c>
      <c r="H1017" t="n">
        <v>0</v>
      </c>
      <c r="I1017" t="n">
        <v>0</v>
      </c>
      <c r="J1017" t="n">
        <v>0</v>
      </c>
      <c r="K1017" t="n">
        <v>0</v>
      </c>
      <c r="L1017" t="n">
        <v>0</v>
      </c>
      <c r="M1017" t="n">
        <v>0</v>
      </c>
      <c r="N1017" t="n">
        <v>0</v>
      </c>
      <c r="O1017" t="n">
        <v>0</v>
      </c>
      <c r="P1017" t="n">
        <v>0</v>
      </c>
      <c r="Q1017" t="n">
        <v>0</v>
      </c>
      <c r="R1017" s="2" t="inlineStr"/>
    </row>
    <row r="1018" ht="15" customHeight="1">
      <c r="A1018" t="inlineStr">
        <is>
          <t>A 61590-2018</t>
        </is>
      </c>
      <c r="B1018" s="1" t="n">
        <v>43424</v>
      </c>
      <c r="C1018" s="1" t="n">
        <v>45212</v>
      </c>
      <c r="D1018" t="inlineStr">
        <is>
          <t>VÄSTRA GÖTALANDS LÄN</t>
        </is>
      </c>
      <c r="E1018" t="inlineStr">
        <is>
          <t>TIDAHOLM</t>
        </is>
      </c>
      <c r="G1018" t="n">
        <v>4.6</v>
      </c>
      <c r="H1018" t="n">
        <v>0</v>
      </c>
      <c r="I1018" t="n">
        <v>0</v>
      </c>
      <c r="J1018" t="n">
        <v>0</v>
      </c>
      <c r="K1018" t="n">
        <v>0</v>
      </c>
      <c r="L1018" t="n">
        <v>0</v>
      </c>
      <c r="M1018" t="n">
        <v>0</v>
      </c>
      <c r="N1018" t="n">
        <v>0</v>
      </c>
      <c r="O1018" t="n">
        <v>0</v>
      </c>
      <c r="P1018" t="n">
        <v>0</v>
      </c>
      <c r="Q1018" t="n">
        <v>0</v>
      </c>
      <c r="R1018" s="2" t="inlineStr"/>
    </row>
    <row r="1019" ht="15" customHeight="1">
      <c r="A1019" t="inlineStr">
        <is>
          <t>A 61340-2018</t>
        </is>
      </c>
      <c r="B1019" s="1" t="n">
        <v>43424</v>
      </c>
      <c r="C1019" s="1" t="n">
        <v>45212</v>
      </c>
      <c r="D1019" t="inlineStr">
        <is>
          <t>VÄSTRA GÖTALANDS LÄN</t>
        </is>
      </c>
      <c r="E1019" t="inlineStr">
        <is>
          <t>DALS-ED</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61461-2018</t>
        </is>
      </c>
      <c r="B1020" s="1" t="n">
        <v>43424</v>
      </c>
      <c r="C1020" s="1" t="n">
        <v>45212</v>
      </c>
      <c r="D1020" t="inlineStr">
        <is>
          <t>VÄSTRA GÖTALANDS LÄN</t>
        </is>
      </c>
      <c r="E1020" t="inlineStr">
        <is>
          <t>BORÅS</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61599-2018</t>
        </is>
      </c>
      <c r="B1021" s="1" t="n">
        <v>43424</v>
      </c>
      <c r="C1021" s="1" t="n">
        <v>45212</v>
      </c>
      <c r="D1021" t="inlineStr">
        <is>
          <t>VÄSTRA GÖTALANDS LÄN</t>
        </is>
      </c>
      <c r="E1021" t="inlineStr">
        <is>
          <t>TRANEMO</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65191-2018</t>
        </is>
      </c>
      <c r="B1022" s="1" t="n">
        <v>43424</v>
      </c>
      <c r="C1022" s="1" t="n">
        <v>45212</v>
      </c>
      <c r="D1022" t="inlineStr">
        <is>
          <t>VÄSTRA GÖTALANDS LÄN</t>
        </is>
      </c>
      <c r="E1022" t="inlineStr">
        <is>
          <t>FALKÖPING</t>
        </is>
      </c>
      <c r="G1022" t="n">
        <v>1.7</v>
      </c>
      <c r="H1022" t="n">
        <v>0</v>
      </c>
      <c r="I1022" t="n">
        <v>0</v>
      </c>
      <c r="J1022" t="n">
        <v>0</v>
      </c>
      <c r="K1022" t="n">
        <v>0</v>
      </c>
      <c r="L1022" t="n">
        <v>0</v>
      </c>
      <c r="M1022" t="n">
        <v>0</v>
      </c>
      <c r="N1022" t="n">
        <v>0</v>
      </c>
      <c r="O1022" t="n">
        <v>0</v>
      </c>
      <c r="P1022" t="n">
        <v>0</v>
      </c>
      <c r="Q1022" t="n">
        <v>0</v>
      </c>
      <c r="R1022" s="2" t="inlineStr"/>
    </row>
    <row r="1023" ht="15" customHeight="1">
      <c r="A1023" t="inlineStr">
        <is>
          <t>A 61307-2018</t>
        </is>
      </c>
      <c r="B1023" s="1" t="n">
        <v>43424</v>
      </c>
      <c r="C1023" s="1" t="n">
        <v>45212</v>
      </c>
      <c r="D1023" t="inlineStr">
        <is>
          <t>VÄSTRA GÖTALANDS LÄN</t>
        </is>
      </c>
      <c r="E1023" t="inlineStr">
        <is>
          <t>UDDEVALLA</t>
        </is>
      </c>
      <c r="G1023" t="n">
        <v>6.4</v>
      </c>
      <c r="H1023" t="n">
        <v>0</v>
      </c>
      <c r="I1023" t="n">
        <v>0</v>
      </c>
      <c r="J1023" t="n">
        <v>0</v>
      </c>
      <c r="K1023" t="n">
        <v>0</v>
      </c>
      <c r="L1023" t="n">
        <v>0</v>
      </c>
      <c r="M1023" t="n">
        <v>0</v>
      </c>
      <c r="N1023" t="n">
        <v>0</v>
      </c>
      <c r="O1023" t="n">
        <v>0</v>
      </c>
      <c r="P1023" t="n">
        <v>0</v>
      </c>
      <c r="Q1023" t="n">
        <v>0</v>
      </c>
      <c r="R1023" s="2" t="inlineStr"/>
    </row>
    <row r="1024" ht="15" customHeight="1">
      <c r="A1024" t="inlineStr">
        <is>
          <t>A 61424-2018</t>
        </is>
      </c>
      <c r="B1024" s="1" t="n">
        <v>43424</v>
      </c>
      <c r="C1024" s="1" t="n">
        <v>45212</v>
      </c>
      <c r="D1024" t="inlineStr">
        <is>
          <t>VÄSTRA GÖTALANDS LÄN</t>
        </is>
      </c>
      <c r="E1024" t="inlineStr">
        <is>
          <t>TIDAHOLM</t>
        </is>
      </c>
      <c r="F1024" t="inlineStr">
        <is>
          <t>Sveaskog</t>
        </is>
      </c>
      <c r="G1024" t="n">
        <v>3.9</v>
      </c>
      <c r="H1024" t="n">
        <v>0</v>
      </c>
      <c r="I1024" t="n">
        <v>0</v>
      </c>
      <c r="J1024" t="n">
        <v>0</v>
      </c>
      <c r="K1024" t="n">
        <v>0</v>
      </c>
      <c r="L1024" t="n">
        <v>0</v>
      </c>
      <c r="M1024" t="n">
        <v>0</v>
      </c>
      <c r="N1024" t="n">
        <v>0</v>
      </c>
      <c r="O1024" t="n">
        <v>0</v>
      </c>
      <c r="P1024" t="n">
        <v>0</v>
      </c>
      <c r="Q1024" t="n">
        <v>0</v>
      </c>
      <c r="R1024" s="2" t="inlineStr"/>
    </row>
    <row r="1025" ht="15" customHeight="1">
      <c r="A1025" t="inlineStr">
        <is>
          <t>A 61432-2018</t>
        </is>
      </c>
      <c r="B1025" s="1" t="n">
        <v>43424</v>
      </c>
      <c r="C1025" s="1" t="n">
        <v>45212</v>
      </c>
      <c r="D1025" t="inlineStr">
        <is>
          <t>VÄSTRA GÖTALANDS LÄN</t>
        </is>
      </c>
      <c r="E1025" t="inlineStr">
        <is>
          <t>FALKÖPING</t>
        </is>
      </c>
      <c r="G1025" t="n">
        <v>1.7</v>
      </c>
      <c r="H1025" t="n">
        <v>0</v>
      </c>
      <c r="I1025" t="n">
        <v>0</v>
      </c>
      <c r="J1025" t="n">
        <v>0</v>
      </c>
      <c r="K1025" t="n">
        <v>0</v>
      </c>
      <c r="L1025" t="n">
        <v>0</v>
      </c>
      <c r="M1025" t="n">
        <v>0</v>
      </c>
      <c r="N1025" t="n">
        <v>0</v>
      </c>
      <c r="O1025" t="n">
        <v>0</v>
      </c>
      <c r="P1025" t="n">
        <v>0</v>
      </c>
      <c r="Q1025" t="n">
        <v>0</v>
      </c>
      <c r="R1025" s="2" t="inlineStr"/>
    </row>
    <row r="1026" ht="15" customHeight="1">
      <c r="A1026" t="inlineStr">
        <is>
          <t>A 61393-2018</t>
        </is>
      </c>
      <c r="B1026" s="1" t="n">
        <v>43424</v>
      </c>
      <c r="C1026" s="1" t="n">
        <v>45212</v>
      </c>
      <c r="D1026" t="inlineStr">
        <is>
          <t>VÄSTRA GÖTALANDS LÄN</t>
        </is>
      </c>
      <c r="E1026" t="inlineStr">
        <is>
          <t>SVENLJUNGA</t>
        </is>
      </c>
      <c r="G1026" t="n">
        <v>3.9</v>
      </c>
      <c r="H1026" t="n">
        <v>0</v>
      </c>
      <c r="I1026" t="n">
        <v>0</v>
      </c>
      <c r="J1026" t="n">
        <v>0</v>
      </c>
      <c r="K1026" t="n">
        <v>0</v>
      </c>
      <c r="L1026" t="n">
        <v>0</v>
      </c>
      <c r="M1026" t="n">
        <v>0</v>
      </c>
      <c r="N1026" t="n">
        <v>0</v>
      </c>
      <c r="O1026" t="n">
        <v>0</v>
      </c>
      <c r="P1026" t="n">
        <v>0</v>
      </c>
      <c r="Q1026" t="n">
        <v>0</v>
      </c>
      <c r="R1026" s="2" t="inlineStr"/>
    </row>
    <row r="1027" ht="15" customHeight="1">
      <c r="A1027" t="inlineStr">
        <is>
          <t>A 61415-2018</t>
        </is>
      </c>
      <c r="B1027" s="1" t="n">
        <v>43424</v>
      </c>
      <c r="C1027" s="1" t="n">
        <v>45212</v>
      </c>
      <c r="D1027" t="inlineStr">
        <is>
          <t>VÄSTRA GÖTALANDS LÄN</t>
        </is>
      </c>
      <c r="E1027" t="inlineStr">
        <is>
          <t>MARK</t>
        </is>
      </c>
      <c r="F1027" t="inlineStr">
        <is>
          <t>Kommuner</t>
        </is>
      </c>
      <c r="G1027" t="n">
        <v>4.8</v>
      </c>
      <c r="H1027" t="n">
        <v>0</v>
      </c>
      <c r="I1027" t="n">
        <v>0</v>
      </c>
      <c r="J1027" t="n">
        <v>0</v>
      </c>
      <c r="K1027" t="n">
        <v>0</v>
      </c>
      <c r="L1027" t="n">
        <v>0</v>
      </c>
      <c r="M1027" t="n">
        <v>0</v>
      </c>
      <c r="N1027" t="n">
        <v>0</v>
      </c>
      <c r="O1027" t="n">
        <v>0</v>
      </c>
      <c r="P1027" t="n">
        <v>0</v>
      </c>
      <c r="Q1027" t="n">
        <v>0</v>
      </c>
      <c r="R1027" s="2" t="inlineStr"/>
    </row>
    <row r="1028" ht="15" customHeight="1">
      <c r="A1028" t="inlineStr">
        <is>
          <t>A 61791-2018</t>
        </is>
      </c>
      <c r="B1028" s="1" t="n">
        <v>43425</v>
      </c>
      <c r="C1028" s="1" t="n">
        <v>45212</v>
      </c>
      <c r="D1028" t="inlineStr">
        <is>
          <t>VÄSTRA GÖTALANDS LÄN</t>
        </is>
      </c>
      <c r="E1028" t="inlineStr">
        <is>
          <t>TRANEMO</t>
        </is>
      </c>
      <c r="G1028" t="n">
        <v>1.5</v>
      </c>
      <c r="H1028" t="n">
        <v>0</v>
      </c>
      <c r="I1028" t="n">
        <v>0</v>
      </c>
      <c r="J1028" t="n">
        <v>0</v>
      </c>
      <c r="K1028" t="n">
        <v>0</v>
      </c>
      <c r="L1028" t="n">
        <v>0</v>
      </c>
      <c r="M1028" t="n">
        <v>0</v>
      </c>
      <c r="N1028" t="n">
        <v>0</v>
      </c>
      <c r="O1028" t="n">
        <v>0</v>
      </c>
      <c r="P1028" t="n">
        <v>0</v>
      </c>
      <c r="Q1028" t="n">
        <v>0</v>
      </c>
      <c r="R1028" s="2" t="inlineStr"/>
    </row>
    <row r="1029" ht="15" customHeight="1">
      <c r="A1029" t="inlineStr">
        <is>
          <t>A 61810-2018</t>
        </is>
      </c>
      <c r="B1029" s="1" t="n">
        <v>43425</v>
      </c>
      <c r="C1029" s="1" t="n">
        <v>45212</v>
      </c>
      <c r="D1029" t="inlineStr">
        <is>
          <t>VÄSTRA GÖTALANDS LÄN</t>
        </is>
      </c>
      <c r="E1029" t="inlineStr">
        <is>
          <t>SKARA</t>
        </is>
      </c>
      <c r="G1029" t="n">
        <v>5</v>
      </c>
      <c r="H1029" t="n">
        <v>0</v>
      </c>
      <c r="I1029" t="n">
        <v>0</v>
      </c>
      <c r="J1029" t="n">
        <v>0</v>
      </c>
      <c r="K1029" t="n">
        <v>0</v>
      </c>
      <c r="L1029" t="n">
        <v>0</v>
      </c>
      <c r="M1029" t="n">
        <v>0</v>
      </c>
      <c r="N1029" t="n">
        <v>0</v>
      </c>
      <c r="O1029" t="n">
        <v>0</v>
      </c>
      <c r="P1029" t="n">
        <v>0</v>
      </c>
      <c r="Q1029" t="n">
        <v>0</v>
      </c>
      <c r="R1029" s="2" t="inlineStr"/>
    </row>
    <row r="1030" ht="15" customHeight="1">
      <c r="A1030" t="inlineStr">
        <is>
          <t>A 61932-2018</t>
        </is>
      </c>
      <c r="B1030" s="1" t="n">
        <v>43425</v>
      </c>
      <c r="C1030" s="1" t="n">
        <v>45212</v>
      </c>
      <c r="D1030" t="inlineStr">
        <is>
          <t>VÄSTRA GÖTALANDS LÄN</t>
        </is>
      </c>
      <c r="E1030" t="inlineStr">
        <is>
          <t>TROLLHÄTTAN</t>
        </is>
      </c>
      <c r="G1030" t="n">
        <v>4.3</v>
      </c>
      <c r="H1030" t="n">
        <v>0</v>
      </c>
      <c r="I1030" t="n">
        <v>0</v>
      </c>
      <c r="J1030" t="n">
        <v>0</v>
      </c>
      <c r="K1030" t="n">
        <v>0</v>
      </c>
      <c r="L1030" t="n">
        <v>0</v>
      </c>
      <c r="M1030" t="n">
        <v>0</v>
      </c>
      <c r="N1030" t="n">
        <v>0</v>
      </c>
      <c r="O1030" t="n">
        <v>0</v>
      </c>
      <c r="P1030" t="n">
        <v>0</v>
      </c>
      <c r="Q1030" t="n">
        <v>0</v>
      </c>
      <c r="R1030" s="2" t="inlineStr"/>
    </row>
    <row r="1031" ht="15" customHeight="1">
      <c r="A1031" t="inlineStr">
        <is>
          <t>A 62154-2018</t>
        </is>
      </c>
      <c r="B1031" s="1" t="n">
        <v>43425</v>
      </c>
      <c r="C1031" s="1" t="n">
        <v>45212</v>
      </c>
      <c r="D1031" t="inlineStr">
        <is>
          <t>VÄSTRA GÖTALANDS LÄN</t>
        </is>
      </c>
      <c r="E1031" t="inlineStr">
        <is>
          <t>FALKÖPING</t>
        </is>
      </c>
      <c r="G1031" t="n">
        <v>1.9</v>
      </c>
      <c r="H1031" t="n">
        <v>0</v>
      </c>
      <c r="I1031" t="n">
        <v>0</v>
      </c>
      <c r="J1031" t="n">
        <v>0</v>
      </c>
      <c r="K1031" t="n">
        <v>0</v>
      </c>
      <c r="L1031" t="n">
        <v>0</v>
      </c>
      <c r="M1031" t="n">
        <v>0</v>
      </c>
      <c r="N1031" t="n">
        <v>0</v>
      </c>
      <c r="O1031" t="n">
        <v>0</v>
      </c>
      <c r="P1031" t="n">
        <v>0</v>
      </c>
      <c r="Q1031" t="n">
        <v>0</v>
      </c>
      <c r="R1031" s="2" t="inlineStr"/>
    </row>
    <row r="1032" ht="15" customHeight="1">
      <c r="A1032" t="inlineStr">
        <is>
          <t>A 62219-2018</t>
        </is>
      </c>
      <c r="B1032" s="1" t="n">
        <v>43425</v>
      </c>
      <c r="C1032" s="1" t="n">
        <v>45212</v>
      </c>
      <c r="D1032" t="inlineStr">
        <is>
          <t>VÄSTRA GÖTALANDS LÄN</t>
        </is>
      </c>
      <c r="E1032" t="inlineStr">
        <is>
          <t>ÅMÅL</t>
        </is>
      </c>
      <c r="G1032" t="n">
        <v>1</v>
      </c>
      <c r="H1032" t="n">
        <v>0</v>
      </c>
      <c r="I1032" t="n">
        <v>0</v>
      </c>
      <c r="J1032" t="n">
        <v>0</v>
      </c>
      <c r="K1032" t="n">
        <v>0</v>
      </c>
      <c r="L1032" t="n">
        <v>0</v>
      </c>
      <c r="M1032" t="n">
        <v>0</v>
      </c>
      <c r="N1032" t="n">
        <v>0</v>
      </c>
      <c r="O1032" t="n">
        <v>0</v>
      </c>
      <c r="P1032" t="n">
        <v>0</v>
      </c>
      <c r="Q1032" t="n">
        <v>0</v>
      </c>
      <c r="R1032" s="2" t="inlineStr"/>
    </row>
    <row r="1033" ht="15" customHeight="1">
      <c r="A1033" t="inlineStr">
        <is>
          <t>A 65530-2018</t>
        </is>
      </c>
      <c r="B1033" s="1" t="n">
        <v>43425</v>
      </c>
      <c r="C1033" s="1" t="n">
        <v>45212</v>
      </c>
      <c r="D1033" t="inlineStr">
        <is>
          <t>VÄSTRA GÖTALANDS LÄN</t>
        </is>
      </c>
      <c r="E1033" t="inlineStr">
        <is>
          <t>STRÖMSTAD</t>
        </is>
      </c>
      <c r="G1033" t="n">
        <v>0.8</v>
      </c>
      <c r="H1033" t="n">
        <v>0</v>
      </c>
      <c r="I1033" t="n">
        <v>0</v>
      </c>
      <c r="J1033" t="n">
        <v>0</v>
      </c>
      <c r="K1033" t="n">
        <v>0</v>
      </c>
      <c r="L1033" t="n">
        <v>0</v>
      </c>
      <c r="M1033" t="n">
        <v>0</v>
      </c>
      <c r="N1033" t="n">
        <v>0</v>
      </c>
      <c r="O1033" t="n">
        <v>0</v>
      </c>
      <c r="P1033" t="n">
        <v>0</v>
      </c>
      <c r="Q1033" t="n">
        <v>0</v>
      </c>
      <c r="R1033" s="2" t="inlineStr"/>
    </row>
    <row r="1034" ht="15" customHeight="1">
      <c r="A1034" t="inlineStr">
        <is>
          <t>A 61831-2018</t>
        </is>
      </c>
      <c r="B1034" s="1" t="n">
        <v>43425</v>
      </c>
      <c r="C1034" s="1" t="n">
        <v>45212</v>
      </c>
      <c r="D1034" t="inlineStr">
        <is>
          <t>VÄSTRA GÖTALANDS LÄN</t>
        </is>
      </c>
      <c r="E1034" t="inlineStr">
        <is>
          <t>SVENLJUNGA</t>
        </is>
      </c>
      <c r="G1034" t="n">
        <v>20.1</v>
      </c>
      <c r="H1034" t="n">
        <v>0</v>
      </c>
      <c r="I1034" t="n">
        <v>0</v>
      </c>
      <c r="J1034" t="n">
        <v>0</v>
      </c>
      <c r="K1034" t="n">
        <v>0</v>
      </c>
      <c r="L1034" t="n">
        <v>0</v>
      </c>
      <c r="M1034" t="n">
        <v>0</v>
      </c>
      <c r="N1034" t="n">
        <v>0</v>
      </c>
      <c r="O1034" t="n">
        <v>0</v>
      </c>
      <c r="P1034" t="n">
        <v>0</v>
      </c>
      <c r="Q1034" t="n">
        <v>0</v>
      </c>
      <c r="R1034" s="2" t="inlineStr"/>
    </row>
    <row r="1035" ht="15" customHeight="1">
      <c r="A1035" t="inlineStr">
        <is>
          <t>A 61931-2018</t>
        </is>
      </c>
      <c r="B1035" s="1" t="n">
        <v>43425</v>
      </c>
      <c r="C1035" s="1" t="n">
        <v>45212</v>
      </c>
      <c r="D1035" t="inlineStr">
        <is>
          <t>VÄSTRA GÖTALANDS LÄN</t>
        </is>
      </c>
      <c r="E1035" t="inlineStr">
        <is>
          <t>FALKÖPING</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65655-2018</t>
        </is>
      </c>
      <c r="B1036" s="1" t="n">
        <v>43425</v>
      </c>
      <c r="C1036" s="1" t="n">
        <v>45212</v>
      </c>
      <c r="D1036" t="inlineStr">
        <is>
          <t>VÄSTRA GÖTALANDS LÄN</t>
        </is>
      </c>
      <c r="E1036" t="inlineStr">
        <is>
          <t>GULLSPÅNG</t>
        </is>
      </c>
      <c r="G1036" t="n">
        <v>2.1</v>
      </c>
      <c r="H1036" t="n">
        <v>0</v>
      </c>
      <c r="I1036" t="n">
        <v>0</v>
      </c>
      <c r="J1036" t="n">
        <v>0</v>
      </c>
      <c r="K1036" t="n">
        <v>0</v>
      </c>
      <c r="L1036" t="n">
        <v>0</v>
      </c>
      <c r="M1036" t="n">
        <v>0</v>
      </c>
      <c r="N1036" t="n">
        <v>0</v>
      </c>
      <c r="O1036" t="n">
        <v>0</v>
      </c>
      <c r="P1036" t="n">
        <v>0</v>
      </c>
      <c r="Q1036" t="n">
        <v>0</v>
      </c>
      <c r="R1036" s="2" t="inlineStr"/>
    </row>
    <row r="1037" ht="15" customHeight="1">
      <c r="A1037" t="inlineStr">
        <is>
          <t>A 61679-2018</t>
        </is>
      </c>
      <c r="B1037" s="1" t="n">
        <v>43425</v>
      </c>
      <c r="C1037" s="1" t="n">
        <v>45212</v>
      </c>
      <c r="D1037" t="inlineStr">
        <is>
          <t>VÄSTRA GÖTALANDS LÄN</t>
        </is>
      </c>
      <c r="E1037" t="inlineStr">
        <is>
          <t>TJÖRN</t>
        </is>
      </c>
      <c r="G1037" t="n">
        <v>4</v>
      </c>
      <c r="H1037" t="n">
        <v>0</v>
      </c>
      <c r="I1037" t="n">
        <v>0</v>
      </c>
      <c r="J1037" t="n">
        <v>0</v>
      </c>
      <c r="K1037" t="n">
        <v>0</v>
      </c>
      <c r="L1037" t="n">
        <v>0</v>
      </c>
      <c r="M1037" t="n">
        <v>0</v>
      </c>
      <c r="N1037" t="n">
        <v>0</v>
      </c>
      <c r="O1037" t="n">
        <v>0</v>
      </c>
      <c r="P1037" t="n">
        <v>0</v>
      </c>
      <c r="Q1037" t="n">
        <v>0</v>
      </c>
      <c r="R1037" s="2" t="inlineStr"/>
    </row>
    <row r="1038" ht="15" customHeight="1">
      <c r="A1038" t="inlineStr">
        <is>
          <t>A 61793-2018</t>
        </is>
      </c>
      <c r="B1038" s="1" t="n">
        <v>43425</v>
      </c>
      <c r="C1038" s="1" t="n">
        <v>45212</v>
      </c>
      <c r="D1038" t="inlineStr">
        <is>
          <t>VÄSTRA GÖTALANDS LÄN</t>
        </is>
      </c>
      <c r="E1038" t="inlineStr">
        <is>
          <t>TRANEMO</t>
        </is>
      </c>
      <c r="G1038" t="n">
        <v>4.3</v>
      </c>
      <c r="H1038" t="n">
        <v>0</v>
      </c>
      <c r="I1038" t="n">
        <v>0</v>
      </c>
      <c r="J1038" t="n">
        <v>0</v>
      </c>
      <c r="K1038" t="n">
        <v>0</v>
      </c>
      <c r="L1038" t="n">
        <v>0</v>
      </c>
      <c r="M1038" t="n">
        <v>0</v>
      </c>
      <c r="N1038" t="n">
        <v>0</v>
      </c>
      <c r="O1038" t="n">
        <v>0</v>
      </c>
      <c r="P1038" t="n">
        <v>0</v>
      </c>
      <c r="Q1038" t="n">
        <v>0</v>
      </c>
      <c r="R1038" s="2" t="inlineStr"/>
    </row>
    <row r="1039" ht="15" customHeight="1">
      <c r="A1039" t="inlineStr">
        <is>
          <t>A 61827-2018</t>
        </is>
      </c>
      <c r="B1039" s="1" t="n">
        <v>43425</v>
      </c>
      <c r="C1039" s="1" t="n">
        <v>45212</v>
      </c>
      <c r="D1039" t="inlineStr">
        <is>
          <t>VÄSTRA GÖTALANDS LÄN</t>
        </is>
      </c>
      <c r="E1039" t="inlineStr">
        <is>
          <t>BENGTSFORS</t>
        </is>
      </c>
      <c r="G1039" t="n">
        <v>3</v>
      </c>
      <c r="H1039" t="n">
        <v>0</v>
      </c>
      <c r="I1039" t="n">
        <v>0</v>
      </c>
      <c r="J1039" t="n">
        <v>0</v>
      </c>
      <c r="K1039" t="n">
        <v>0</v>
      </c>
      <c r="L1039" t="n">
        <v>0</v>
      </c>
      <c r="M1039" t="n">
        <v>0</v>
      </c>
      <c r="N1039" t="n">
        <v>0</v>
      </c>
      <c r="O1039" t="n">
        <v>0</v>
      </c>
      <c r="P1039" t="n">
        <v>0</v>
      </c>
      <c r="Q1039" t="n">
        <v>0</v>
      </c>
      <c r="R1039" s="2" t="inlineStr"/>
    </row>
    <row r="1040" ht="15" customHeight="1">
      <c r="A1040" t="inlineStr">
        <is>
          <t>A 61850-2018</t>
        </is>
      </c>
      <c r="B1040" s="1" t="n">
        <v>43425</v>
      </c>
      <c r="C1040" s="1" t="n">
        <v>45212</v>
      </c>
      <c r="D1040" t="inlineStr">
        <is>
          <t>VÄSTRA GÖTALANDS LÄN</t>
        </is>
      </c>
      <c r="E1040" t="inlineStr">
        <is>
          <t>SVENLJUNGA</t>
        </is>
      </c>
      <c r="G1040" t="n">
        <v>3.6</v>
      </c>
      <c r="H1040" t="n">
        <v>0</v>
      </c>
      <c r="I1040" t="n">
        <v>0</v>
      </c>
      <c r="J1040" t="n">
        <v>0</v>
      </c>
      <c r="K1040" t="n">
        <v>0</v>
      </c>
      <c r="L1040" t="n">
        <v>0</v>
      </c>
      <c r="M1040" t="n">
        <v>0</v>
      </c>
      <c r="N1040" t="n">
        <v>0</v>
      </c>
      <c r="O1040" t="n">
        <v>0</v>
      </c>
      <c r="P1040" t="n">
        <v>0</v>
      </c>
      <c r="Q1040" t="n">
        <v>0</v>
      </c>
      <c r="R1040" s="2" t="inlineStr"/>
    </row>
    <row r="1041" ht="15" customHeight="1">
      <c r="A1041" t="inlineStr">
        <is>
          <t>A 62172-2018</t>
        </is>
      </c>
      <c r="B1041" s="1" t="n">
        <v>43425</v>
      </c>
      <c r="C1041" s="1" t="n">
        <v>45212</v>
      </c>
      <c r="D1041" t="inlineStr">
        <is>
          <t>VÄSTRA GÖTALANDS LÄN</t>
        </is>
      </c>
      <c r="E1041" t="inlineStr">
        <is>
          <t>VARA</t>
        </is>
      </c>
      <c r="G1041" t="n">
        <v>0.7</v>
      </c>
      <c r="H1041" t="n">
        <v>0</v>
      </c>
      <c r="I1041" t="n">
        <v>0</v>
      </c>
      <c r="J1041" t="n">
        <v>0</v>
      </c>
      <c r="K1041" t="n">
        <v>0</v>
      </c>
      <c r="L1041" t="n">
        <v>0</v>
      </c>
      <c r="M1041" t="n">
        <v>0</v>
      </c>
      <c r="N1041" t="n">
        <v>0</v>
      </c>
      <c r="O1041" t="n">
        <v>0</v>
      </c>
      <c r="P1041" t="n">
        <v>0</v>
      </c>
      <c r="Q1041" t="n">
        <v>0</v>
      </c>
      <c r="R1041" s="2" t="inlineStr"/>
    </row>
    <row r="1042" ht="15" customHeight="1">
      <c r="A1042" t="inlineStr">
        <is>
          <t>A 62210-2018</t>
        </is>
      </c>
      <c r="B1042" s="1" t="n">
        <v>43425</v>
      </c>
      <c r="C1042" s="1" t="n">
        <v>45212</v>
      </c>
      <c r="D1042" t="inlineStr">
        <is>
          <t>VÄSTRA GÖTALANDS LÄN</t>
        </is>
      </c>
      <c r="E1042" t="inlineStr">
        <is>
          <t>STRÖMSTAD</t>
        </is>
      </c>
      <c r="G1042" t="n">
        <v>4.6</v>
      </c>
      <c r="H1042" t="n">
        <v>0</v>
      </c>
      <c r="I1042" t="n">
        <v>0</v>
      </c>
      <c r="J1042" t="n">
        <v>0</v>
      </c>
      <c r="K1042" t="n">
        <v>0</v>
      </c>
      <c r="L1042" t="n">
        <v>0</v>
      </c>
      <c r="M1042" t="n">
        <v>0</v>
      </c>
      <c r="N1042" t="n">
        <v>0</v>
      </c>
      <c r="O1042" t="n">
        <v>0</v>
      </c>
      <c r="P1042" t="n">
        <v>0</v>
      </c>
      <c r="Q1042" t="n">
        <v>0</v>
      </c>
      <c r="R1042" s="2" t="inlineStr"/>
    </row>
    <row r="1043" ht="15" customHeight="1">
      <c r="A1043" t="inlineStr">
        <is>
          <t>A 61670-2018</t>
        </is>
      </c>
      <c r="B1043" s="1" t="n">
        <v>43425</v>
      </c>
      <c r="C1043" s="1" t="n">
        <v>45212</v>
      </c>
      <c r="D1043" t="inlineStr">
        <is>
          <t>VÄSTRA GÖTALANDS LÄN</t>
        </is>
      </c>
      <c r="E1043" t="inlineStr">
        <is>
          <t>SKÖVDE</t>
        </is>
      </c>
      <c r="G1043" t="n">
        <v>2</v>
      </c>
      <c r="H1043" t="n">
        <v>0</v>
      </c>
      <c r="I1043" t="n">
        <v>0</v>
      </c>
      <c r="J1043" t="n">
        <v>0</v>
      </c>
      <c r="K1043" t="n">
        <v>0</v>
      </c>
      <c r="L1043" t="n">
        <v>0</v>
      </c>
      <c r="M1043" t="n">
        <v>0</v>
      </c>
      <c r="N1043" t="n">
        <v>0</v>
      </c>
      <c r="O1043" t="n">
        <v>0</v>
      </c>
      <c r="P1043" t="n">
        <v>0</v>
      </c>
      <c r="Q1043" t="n">
        <v>0</v>
      </c>
      <c r="R1043" s="2" t="inlineStr"/>
    </row>
    <row r="1044" ht="15" customHeight="1">
      <c r="A1044" t="inlineStr">
        <is>
          <t>A 61682-2018</t>
        </is>
      </c>
      <c r="B1044" s="1" t="n">
        <v>43425</v>
      </c>
      <c r="C1044" s="1" t="n">
        <v>45212</v>
      </c>
      <c r="D1044" t="inlineStr">
        <is>
          <t>VÄSTRA GÖTALANDS LÄN</t>
        </is>
      </c>
      <c r="E1044" t="inlineStr">
        <is>
          <t>DALS-ED</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61799-2018</t>
        </is>
      </c>
      <c r="B1045" s="1" t="n">
        <v>43425</v>
      </c>
      <c r="C1045" s="1" t="n">
        <v>45212</v>
      </c>
      <c r="D1045" t="inlineStr">
        <is>
          <t>VÄSTRA GÖTALANDS LÄN</t>
        </is>
      </c>
      <c r="E1045" t="inlineStr">
        <is>
          <t>BENGTSFORS</t>
        </is>
      </c>
      <c r="G1045" t="n">
        <v>8.1</v>
      </c>
      <c r="H1045" t="n">
        <v>0</v>
      </c>
      <c r="I1045" t="n">
        <v>0</v>
      </c>
      <c r="J1045" t="n">
        <v>0</v>
      </c>
      <c r="K1045" t="n">
        <v>0</v>
      </c>
      <c r="L1045" t="n">
        <v>0</v>
      </c>
      <c r="M1045" t="n">
        <v>0</v>
      </c>
      <c r="N1045" t="n">
        <v>0</v>
      </c>
      <c r="O1045" t="n">
        <v>0</v>
      </c>
      <c r="P1045" t="n">
        <v>0</v>
      </c>
      <c r="Q1045" t="n">
        <v>0</v>
      </c>
      <c r="R1045" s="2" t="inlineStr"/>
    </row>
    <row r="1046" ht="15" customHeight="1">
      <c r="A1046" t="inlineStr">
        <is>
          <t>A 61812-2018</t>
        </is>
      </c>
      <c r="B1046" s="1" t="n">
        <v>43425</v>
      </c>
      <c r="C1046" s="1" t="n">
        <v>45212</v>
      </c>
      <c r="D1046" t="inlineStr">
        <is>
          <t>VÄSTRA GÖTALANDS LÄN</t>
        </is>
      </c>
      <c r="E1046" t="inlineStr">
        <is>
          <t>SKARA</t>
        </is>
      </c>
      <c r="G1046" t="n">
        <v>0.5</v>
      </c>
      <c r="H1046" t="n">
        <v>0</v>
      </c>
      <c r="I1046" t="n">
        <v>0</v>
      </c>
      <c r="J1046" t="n">
        <v>0</v>
      </c>
      <c r="K1046" t="n">
        <v>0</v>
      </c>
      <c r="L1046" t="n">
        <v>0</v>
      </c>
      <c r="M1046" t="n">
        <v>0</v>
      </c>
      <c r="N1046" t="n">
        <v>0</v>
      </c>
      <c r="O1046" t="n">
        <v>0</v>
      </c>
      <c r="P1046" t="n">
        <v>0</v>
      </c>
      <c r="Q1046" t="n">
        <v>0</v>
      </c>
      <c r="R1046" s="2" t="inlineStr"/>
    </row>
    <row r="1047" ht="15" customHeight="1">
      <c r="A1047" t="inlineStr">
        <is>
          <t>A 61830-2018</t>
        </is>
      </c>
      <c r="B1047" s="1" t="n">
        <v>43425</v>
      </c>
      <c r="C1047" s="1" t="n">
        <v>45212</v>
      </c>
      <c r="D1047" t="inlineStr">
        <is>
          <t>VÄSTRA GÖTALANDS LÄN</t>
        </is>
      </c>
      <c r="E1047" t="inlineStr">
        <is>
          <t>TRANEMO</t>
        </is>
      </c>
      <c r="G1047" t="n">
        <v>3.4</v>
      </c>
      <c r="H1047" t="n">
        <v>0</v>
      </c>
      <c r="I1047" t="n">
        <v>0</v>
      </c>
      <c r="J1047" t="n">
        <v>0</v>
      </c>
      <c r="K1047" t="n">
        <v>0</v>
      </c>
      <c r="L1047" t="n">
        <v>0</v>
      </c>
      <c r="M1047" t="n">
        <v>0</v>
      </c>
      <c r="N1047" t="n">
        <v>0</v>
      </c>
      <c r="O1047" t="n">
        <v>0</v>
      </c>
      <c r="P1047" t="n">
        <v>0</v>
      </c>
      <c r="Q1047" t="n">
        <v>0</v>
      </c>
      <c r="R1047" s="2" t="inlineStr"/>
    </row>
    <row r="1048" ht="15" customHeight="1">
      <c r="A1048" t="inlineStr">
        <is>
          <t>A 65632-2018</t>
        </is>
      </c>
      <c r="B1048" s="1" t="n">
        <v>43426</v>
      </c>
      <c r="C1048" s="1" t="n">
        <v>45212</v>
      </c>
      <c r="D1048" t="inlineStr">
        <is>
          <t>VÄSTRA GÖTALANDS LÄN</t>
        </is>
      </c>
      <c r="E1048" t="inlineStr">
        <is>
          <t>SKARA</t>
        </is>
      </c>
      <c r="F1048" t="inlineStr">
        <is>
          <t>Kommuner</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66244-2018</t>
        </is>
      </c>
      <c r="B1049" s="1" t="n">
        <v>43426</v>
      </c>
      <c r="C1049" s="1" t="n">
        <v>45212</v>
      </c>
      <c r="D1049" t="inlineStr">
        <is>
          <t>VÄSTRA GÖTALANDS LÄN</t>
        </is>
      </c>
      <c r="E1049" t="inlineStr">
        <is>
          <t>FALKÖPING</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62606-2018</t>
        </is>
      </c>
      <c r="B1050" s="1" t="n">
        <v>43426</v>
      </c>
      <c r="C1050" s="1" t="n">
        <v>45212</v>
      </c>
      <c r="D1050" t="inlineStr">
        <is>
          <t>VÄSTRA GÖTALANDS LÄN</t>
        </is>
      </c>
      <c r="E1050" t="inlineStr">
        <is>
          <t>STENUNGSUND</t>
        </is>
      </c>
      <c r="G1050" t="n">
        <v>1.8</v>
      </c>
      <c r="H1050" t="n">
        <v>0</v>
      </c>
      <c r="I1050" t="n">
        <v>0</v>
      </c>
      <c r="J1050" t="n">
        <v>0</v>
      </c>
      <c r="K1050" t="n">
        <v>0</v>
      </c>
      <c r="L1050" t="n">
        <v>0</v>
      </c>
      <c r="M1050" t="n">
        <v>0</v>
      </c>
      <c r="N1050" t="n">
        <v>0</v>
      </c>
      <c r="O1050" t="n">
        <v>0</v>
      </c>
      <c r="P1050" t="n">
        <v>0</v>
      </c>
      <c r="Q1050" t="n">
        <v>0</v>
      </c>
      <c r="R1050" s="2" t="inlineStr"/>
    </row>
    <row r="1051" ht="15" customHeight="1">
      <c r="A1051" t="inlineStr">
        <is>
          <t>A 62895-2018</t>
        </is>
      </c>
      <c r="B1051" s="1" t="n">
        <v>43426</v>
      </c>
      <c r="C1051" s="1" t="n">
        <v>45212</v>
      </c>
      <c r="D1051" t="inlineStr">
        <is>
          <t>VÄSTRA GÖTALANDS LÄN</t>
        </is>
      </c>
      <c r="E1051" t="inlineStr">
        <is>
          <t>DALS-ED</t>
        </is>
      </c>
      <c r="G1051" t="n">
        <v>3.8</v>
      </c>
      <c r="H1051" t="n">
        <v>0</v>
      </c>
      <c r="I1051" t="n">
        <v>0</v>
      </c>
      <c r="J1051" t="n">
        <v>0</v>
      </c>
      <c r="K1051" t="n">
        <v>0</v>
      </c>
      <c r="L1051" t="n">
        <v>0</v>
      </c>
      <c r="M1051" t="n">
        <v>0</v>
      </c>
      <c r="N1051" t="n">
        <v>0</v>
      </c>
      <c r="O1051" t="n">
        <v>0</v>
      </c>
      <c r="P1051" t="n">
        <v>0</v>
      </c>
      <c r="Q1051" t="n">
        <v>0</v>
      </c>
      <c r="R1051" s="2" t="inlineStr"/>
    </row>
    <row r="1052" ht="15" customHeight="1">
      <c r="A1052" t="inlineStr">
        <is>
          <t>A 63217-2018</t>
        </is>
      </c>
      <c r="B1052" s="1" t="n">
        <v>43426</v>
      </c>
      <c r="C1052" s="1" t="n">
        <v>45212</v>
      </c>
      <c r="D1052" t="inlineStr">
        <is>
          <t>VÄSTRA GÖTALANDS LÄN</t>
        </is>
      </c>
      <c r="E1052" t="inlineStr">
        <is>
          <t>SVENLJUNGA</t>
        </is>
      </c>
      <c r="G1052" t="n">
        <v>2.3</v>
      </c>
      <c r="H1052" t="n">
        <v>0</v>
      </c>
      <c r="I1052" t="n">
        <v>0</v>
      </c>
      <c r="J1052" t="n">
        <v>0</v>
      </c>
      <c r="K1052" t="n">
        <v>0</v>
      </c>
      <c r="L1052" t="n">
        <v>0</v>
      </c>
      <c r="M1052" t="n">
        <v>0</v>
      </c>
      <c r="N1052" t="n">
        <v>0</v>
      </c>
      <c r="O1052" t="n">
        <v>0</v>
      </c>
      <c r="P1052" t="n">
        <v>0</v>
      </c>
      <c r="Q1052" t="n">
        <v>0</v>
      </c>
      <c r="R1052" s="2" t="inlineStr"/>
    </row>
    <row r="1053" ht="15" customHeight="1">
      <c r="A1053" t="inlineStr">
        <is>
          <t>A 65637-2018</t>
        </is>
      </c>
      <c r="B1053" s="1" t="n">
        <v>43426</v>
      </c>
      <c r="C1053" s="1" t="n">
        <v>45212</v>
      </c>
      <c r="D1053" t="inlineStr">
        <is>
          <t>VÄSTRA GÖTALANDS LÄN</t>
        </is>
      </c>
      <c r="E1053" t="inlineStr">
        <is>
          <t>TÖREBODA</t>
        </is>
      </c>
      <c r="F1053" t="inlineStr">
        <is>
          <t>Kommuner</t>
        </is>
      </c>
      <c r="G1053" t="n">
        <v>3.3</v>
      </c>
      <c r="H1053" t="n">
        <v>0</v>
      </c>
      <c r="I1053" t="n">
        <v>0</v>
      </c>
      <c r="J1053" t="n">
        <v>0</v>
      </c>
      <c r="K1053" t="n">
        <v>0</v>
      </c>
      <c r="L1053" t="n">
        <v>0</v>
      </c>
      <c r="M1053" t="n">
        <v>0</v>
      </c>
      <c r="N1053" t="n">
        <v>0</v>
      </c>
      <c r="O1053" t="n">
        <v>0</v>
      </c>
      <c r="P1053" t="n">
        <v>0</v>
      </c>
      <c r="Q1053" t="n">
        <v>0</v>
      </c>
      <c r="R1053" s="2" t="inlineStr"/>
    </row>
    <row r="1054" ht="15" customHeight="1">
      <c r="A1054" t="inlineStr">
        <is>
          <t>A 62622-2018</t>
        </is>
      </c>
      <c r="B1054" s="1" t="n">
        <v>43426</v>
      </c>
      <c r="C1054" s="1" t="n">
        <v>45212</v>
      </c>
      <c r="D1054" t="inlineStr">
        <is>
          <t>VÄSTRA GÖTALANDS LÄN</t>
        </is>
      </c>
      <c r="E1054" t="inlineStr">
        <is>
          <t>MUNKEDAL</t>
        </is>
      </c>
      <c r="G1054" t="n">
        <v>2</v>
      </c>
      <c r="H1054" t="n">
        <v>0</v>
      </c>
      <c r="I1054" t="n">
        <v>0</v>
      </c>
      <c r="J1054" t="n">
        <v>0</v>
      </c>
      <c r="K1054" t="n">
        <v>0</v>
      </c>
      <c r="L1054" t="n">
        <v>0</v>
      </c>
      <c r="M1054" t="n">
        <v>0</v>
      </c>
      <c r="N1054" t="n">
        <v>0</v>
      </c>
      <c r="O1054" t="n">
        <v>0</v>
      </c>
      <c r="P1054" t="n">
        <v>0</v>
      </c>
      <c r="Q1054" t="n">
        <v>0</v>
      </c>
      <c r="R1054" s="2" t="inlineStr"/>
    </row>
    <row r="1055" ht="15" customHeight="1">
      <c r="A1055" t="inlineStr">
        <is>
          <t>A 62897-2018</t>
        </is>
      </c>
      <c r="B1055" s="1" t="n">
        <v>43426</v>
      </c>
      <c r="C1055" s="1" t="n">
        <v>45212</v>
      </c>
      <c r="D1055" t="inlineStr">
        <is>
          <t>VÄSTRA GÖTALANDS LÄN</t>
        </is>
      </c>
      <c r="E1055" t="inlineStr">
        <is>
          <t>LERUM</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65882-2018</t>
        </is>
      </c>
      <c r="B1056" s="1" t="n">
        <v>43426</v>
      </c>
      <c r="C1056" s="1" t="n">
        <v>45212</v>
      </c>
      <c r="D1056" t="inlineStr">
        <is>
          <t>VÄSTRA GÖTALANDS LÄN</t>
        </is>
      </c>
      <c r="E1056" t="inlineStr">
        <is>
          <t>VARA</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66243-2018</t>
        </is>
      </c>
      <c r="B1057" s="1" t="n">
        <v>43426</v>
      </c>
      <c r="C1057" s="1" t="n">
        <v>45212</v>
      </c>
      <c r="D1057" t="inlineStr">
        <is>
          <t>VÄSTRA GÖTALANDS LÄN</t>
        </is>
      </c>
      <c r="E1057" t="inlineStr">
        <is>
          <t>FALKÖPING</t>
        </is>
      </c>
      <c r="G1057" t="n">
        <v>1</v>
      </c>
      <c r="H1057" t="n">
        <v>0</v>
      </c>
      <c r="I1057" t="n">
        <v>0</v>
      </c>
      <c r="J1057" t="n">
        <v>0</v>
      </c>
      <c r="K1057" t="n">
        <v>0</v>
      </c>
      <c r="L1057" t="n">
        <v>0</v>
      </c>
      <c r="M1057" t="n">
        <v>0</v>
      </c>
      <c r="N1057" t="n">
        <v>0</v>
      </c>
      <c r="O1057" t="n">
        <v>0</v>
      </c>
      <c r="P1057" t="n">
        <v>0</v>
      </c>
      <c r="Q1057" t="n">
        <v>0</v>
      </c>
      <c r="R1057" s="2" t="inlineStr"/>
    </row>
    <row r="1058" ht="15" customHeight="1">
      <c r="A1058" t="inlineStr">
        <is>
          <t>A 62570-2018</t>
        </is>
      </c>
      <c r="B1058" s="1" t="n">
        <v>43426</v>
      </c>
      <c r="C1058" s="1" t="n">
        <v>45212</v>
      </c>
      <c r="D1058" t="inlineStr">
        <is>
          <t>VÄSTRA GÖTALANDS LÄN</t>
        </is>
      </c>
      <c r="E1058" t="inlineStr">
        <is>
          <t>MUNKEDAL</t>
        </is>
      </c>
      <c r="G1058" t="n">
        <v>4.5</v>
      </c>
      <c r="H1058" t="n">
        <v>0</v>
      </c>
      <c r="I1058" t="n">
        <v>0</v>
      </c>
      <c r="J1058" t="n">
        <v>0</v>
      </c>
      <c r="K1058" t="n">
        <v>0</v>
      </c>
      <c r="L1058" t="n">
        <v>0</v>
      </c>
      <c r="M1058" t="n">
        <v>0</v>
      </c>
      <c r="N1058" t="n">
        <v>0</v>
      </c>
      <c r="O1058" t="n">
        <v>0</v>
      </c>
      <c r="P1058" t="n">
        <v>0</v>
      </c>
      <c r="Q1058" t="n">
        <v>0</v>
      </c>
      <c r="R1058" s="2" t="inlineStr"/>
    </row>
    <row r="1059" ht="15" customHeight="1">
      <c r="A1059" t="inlineStr">
        <is>
          <t>A 62582-2018</t>
        </is>
      </c>
      <c r="B1059" s="1" t="n">
        <v>43426</v>
      </c>
      <c r="C1059" s="1" t="n">
        <v>45212</v>
      </c>
      <c r="D1059" t="inlineStr">
        <is>
          <t>VÄSTRA GÖTALANDS LÄN</t>
        </is>
      </c>
      <c r="E1059" t="inlineStr">
        <is>
          <t>MELLERUD</t>
        </is>
      </c>
      <c r="G1059" t="n">
        <v>9.4</v>
      </c>
      <c r="H1059" t="n">
        <v>0</v>
      </c>
      <c r="I1059" t="n">
        <v>0</v>
      </c>
      <c r="J1059" t="n">
        <v>0</v>
      </c>
      <c r="K1059" t="n">
        <v>0</v>
      </c>
      <c r="L1059" t="n">
        <v>0</v>
      </c>
      <c r="M1059" t="n">
        <v>0</v>
      </c>
      <c r="N1059" t="n">
        <v>0</v>
      </c>
      <c r="O1059" t="n">
        <v>0</v>
      </c>
      <c r="P1059" t="n">
        <v>0</v>
      </c>
      <c r="Q1059" t="n">
        <v>0</v>
      </c>
      <c r="R1059" s="2" t="inlineStr"/>
    </row>
    <row r="1060" ht="15" customHeight="1">
      <c r="A1060" t="inlineStr">
        <is>
          <t>A 62627-2018</t>
        </is>
      </c>
      <c r="B1060" s="1" t="n">
        <v>43426</v>
      </c>
      <c r="C1060" s="1" t="n">
        <v>45212</v>
      </c>
      <c r="D1060" t="inlineStr">
        <is>
          <t>VÄSTRA GÖTALANDS LÄN</t>
        </is>
      </c>
      <c r="E1060" t="inlineStr">
        <is>
          <t>TANUM</t>
        </is>
      </c>
      <c r="G1060" t="n">
        <v>4.1</v>
      </c>
      <c r="H1060" t="n">
        <v>0</v>
      </c>
      <c r="I1060" t="n">
        <v>0</v>
      </c>
      <c r="J1060" t="n">
        <v>0</v>
      </c>
      <c r="K1060" t="n">
        <v>0</v>
      </c>
      <c r="L1060" t="n">
        <v>0</v>
      </c>
      <c r="M1060" t="n">
        <v>0</v>
      </c>
      <c r="N1060" t="n">
        <v>0</v>
      </c>
      <c r="O1060" t="n">
        <v>0</v>
      </c>
      <c r="P1060" t="n">
        <v>0</v>
      </c>
      <c r="Q1060" t="n">
        <v>0</v>
      </c>
      <c r="R1060" s="2" t="inlineStr"/>
    </row>
    <row r="1061" ht="15" customHeight="1">
      <c r="A1061" t="inlineStr">
        <is>
          <t>A 62867-2018</t>
        </is>
      </c>
      <c r="B1061" s="1" t="n">
        <v>43426</v>
      </c>
      <c r="C1061" s="1" t="n">
        <v>45212</v>
      </c>
      <c r="D1061" t="inlineStr">
        <is>
          <t>VÄSTRA GÖTALANDS LÄN</t>
        </is>
      </c>
      <c r="E1061" t="inlineStr">
        <is>
          <t>TÖREBODA</t>
        </is>
      </c>
      <c r="G1061" t="n">
        <v>0.4</v>
      </c>
      <c r="H1061" t="n">
        <v>0</v>
      </c>
      <c r="I1061" t="n">
        <v>0</v>
      </c>
      <c r="J1061" t="n">
        <v>0</v>
      </c>
      <c r="K1061" t="n">
        <v>0</v>
      </c>
      <c r="L1061" t="n">
        <v>0</v>
      </c>
      <c r="M1061" t="n">
        <v>0</v>
      </c>
      <c r="N1061" t="n">
        <v>0</v>
      </c>
      <c r="O1061" t="n">
        <v>0</v>
      </c>
      <c r="P1061" t="n">
        <v>0</v>
      </c>
      <c r="Q1061" t="n">
        <v>0</v>
      </c>
      <c r="R1061" s="2" t="inlineStr"/>
    </row>
    <row r="1062" ht="15" customHeight="1">
      <c r="A1062" t="inlineStr">
        <is>
          <t>A 62892-2018</t>
        </is>
      </c>
      <c r="B1062" s="1" t="n">
        <v>43426</v>
      </c>
      <c r="C1062" s="1" t="n">
        <v>45212</v>
      </c>
      <c r="D1062" t="inlineStr">
        <is>
          <t>VÄSTRA GÖTALANDS LÄN</t>
        </is>
      </c>
      <c r="E1062" t="inlineStr">
        <is>
          <t>DALS-ED</t>
        </is>
      </c>
      <c r="G1062" t="n">
        <v>3.2</v>
      </c>
      <c r="H1062" t="n">
        <v>0</v>
      </c>
      <c r="I1062" t="n">
        <v>0</v>
      </c>
      <c r="J1062" t="n">
        <v>0</v>
      </c>
      <c r="K1062" t="n">
        <v>0</v>
      </c>
      <c r="L1062" t="n">
        <v>0</v>
      </c>
      <c r="M1062" t="n">
        <v>0</v>
      </c>
      <c r="N1062" t="n">
        <v>0</v>
      </c>
      <c r="O1062" t="n">
        <v>0</v>
      </c>
      <c r="P1062" t="n">
        <v>0</v>
      </c>
      <c r="Q1062" t="n">
        <v>0</v>
      </c>
      <c r="R1062" s="2" t="inlineStr"/>
    </row>
    <row r="1063" ht="15" customHeight="1">
      <c r="A1063" t="inlineStr">
        <is>
          <t>A 65648-2018</t>
        </is>
      </c>
      <c r="B1063" s="1" t="n">
        <v>43426</v>
      </c>
      <c r="C1063" s="1" t="n">
        <v>45212</v>
      </c>
      <c r="D1063" t="inlineStr">
        <is>
          <t>VÄSTRA GÖTALANDS LÄN</t>
        </is>
      </c>
      <c r="E1063" t="inlineStr">
        <is>
          <t>STRÖMSTAD</t>
        </is>
      </c>
      <c r="G1063" t="n">
        <v>7.5</v>
      </c>
      <c r="H1063" t="n">
        <v>0</v>
      </c>
      <c r="I1063" t="n">
        <v>0</v>
      </c>
      <c r="J1063" t="n">
        <v>0</v>
      </c>
      <c r="K1063" t="n">
        <v>0</v>
      </c>
      <c r="L1063" t="n">
        <v>0</v>
      </c>
      <c r="M1063" t="n">
        <v>0</v>
      </c>
      <c r="N1063" t="n">
        <v>0</v>
      </c>
      <c r="O1063" t="n">
        <v>0</v>
      </c>
      <c r="P1063" t="n">
        <v>0</v>
      </c>
      <c r="Q1063" t="n">
        <v>0</v>
      </c>
      <c r="R1063" s="2" t="inlineStr"/>
    </row>
    <row r="1064" ht="15" customHeight="1">
      <c r="A1064" t="inlineStr">
        <is>
          <t>A 62561-2018</t>
        </is>
      </c>
      <c r="B1064" s="1" t="n">
        <v>43426</v>
      </c>
      <c r="C1064" s="1" t="n">
        <v>45212</v>
      </c>
      <c r="D1064" t="inlineStr">
        <is>
          <t>VÄSTRA GÖTALANDS LÄN</t>
        </is>
      </c>
      <c r="E1064" t="inlineStr">
        <is>
          <t>BOLLEBYGD</t>
        </is>
      </c>
      <c r="G1064" t="n">
        <v>3.9</v>
      </c>
      <c r="H1064" t="n">
        <v>0</v>
      </c>
      <c r="I1064" t="n">
        <v>0</v>
      </c>
      <c r="J1064" t="n">
        <v>0</v>
      </c>
      <c r="K1064" t="n">
        <v>0</v>
      </c>
      <c r="L1064" t="n">
        <v>0</v>
      </c>
      <c r="M1064" t="n">
        <v>0</v>
      </c>
      <c r="N1064" t="n">
        <v>0</v>
      </c>
      <c r="O1064" t="n">
        <v>0</v>
      </c>
      <c r="P1064" t="n">
        <v>0</v>
      </c>
      <c r="Q1064" t="n">
        <v>0</v>
      </c>
      <c r="R1064" s="2" t="inlineStr"/>
    </row>
    <row r="1065" ht="15" customHeight="1">
      <c r="A1065" t="inlineStr">
        <is>
          <t>A 62609-2018</t>
        </is>
      </c>
      <c r="B1065" s="1" t="n">
        <v>43426</v>
      </c>
      <c r="C1065" s="1" t="n">
        <v>45212</v>
      </c>
      <c r="D1065" t="inlineStr">
        <is>
          <t>VÄSTRA GÖTALANDS LÄN</t>
        </is>
      </c>
      <c r="E1065" t="inlineStr">
        <is>
          <t>FÄRGELANDA</t>
        </is>
      </c>
      <c r="G1065" t="n">
        <v>2.1</v>
      </c>
      <c r="H1065" t="n">
        <v>0</v>
      </c>
      <c r="I1065" t="n">
        <v>0</v>
      </c>
      <c r="J1065" t="n">
        <v>0</v>
      </c>
      <c r="K1065" t="n">
        <v>0</v>
      </c>
      <c r="L1065" t="n">
        <v>0</v>
      </c>
      <c r="M1065" t="n">
        <v>0</v>
      </c>
      <c r="N1065" t="n">
        <v>0</v>
      </c>
      <c r="O1065" t="n">
        <v>0</v>
      </c>
      <c r="P1065" t="n">
        <v>0</v>
      </c>
      <c r="Q1065" t="n">
        <v>0</v>
      </c>
      <c r="R1065" s="2" t="inlineStr"/>
    </row>
    <row r="1066" ht="15" customHeight="1">
      <c r="A1066" t="inlineStr">
        <is>
          <t>A 63402-2018</t>
        </is>
      </c>
      <c r="B1066" s="1" t="n">
        <v>43427</v>
      </c>
      <c r="C1066" s="1" t="n">
        <v>45212</v>
      </c>
      <c r="D1066" t="inlineStr">
        <is>
          <t>VÄSTRA GÖTALANDS LÄN</t>
        </is>
      </c>
      <c r="E1066" t="inlineStr">
        <is>
          <t>TRANEMO</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66130-2018</t>
        </is>
      </c>
      <c r="B1067" s="1" t="n">
        <v>43427</v>
      </c>
      <c r="C1067" s="1" t="n">
        <v>45212</v>
      </c>
      <c r="D1067" t="inlineStr">
        <is>
          <t>VÄSTRA GÖTALANDS LÄN</t>
        </is>
      </c>
      <c r="E1067" t="inlineStr">
        <is>
          <t>BORÅS</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66262-2018</t>
        </is>
      </c>
      <c r="B1068" s="1" t="n">
        <v>43427</v>
      </c>
      <c r="C1068" s="1" t="n">
        <v>45212</v>
      </c>
      <c r="D1068" t="inlineStr">
        <is>
          <t>VÄSTRA GÖTALANDS LÄN</t>
        </is>
      </c>
      <c r="E1068" t="inlineStr">
        <is>
          <t>TIDAHOLM</t>
        </is>
      </c>
      <c r="G1068" t="n">
        <v>2.7</v>
      </c>
      <c r="H1068" t="n">
        <v>0</v>
      </c>
      <c r="I1068" t="n">
        <v>0</v>
      </c>
      <c r="J1068" t="n">
        <v>0</v>
      </c>
      <c r="K1068" t="n">
        <v>0</v>
      </c>
      <c r="L1068" t="n">
        <v>0</v>
      </c>
      <c r="M1068" t="n">
        <v>0</v>
      </c>
      <c r="N1068" t="n">
        <v>0</v>
      </c>
      <c r="O1068" t="n">
        <v>0</v>
      </c>
      <c r="P1068" t="n">
        <v>0</v>
      </c>
      <c r="Q1068" t="n">
        <v>0</v>
      </c>
      <c r="R1068" s="2" t="inlineStr"/>
    </row>
    <row r="1069" ht="15" customHeight="1">
      <c r="A1069" t="inlineStr">
        <is>
          <t>A 66279-2018</t>
        </is>
      </c>
      <c r="B1069" s="1" t="n">
        <v>43427</v>
      </c>
      <c r="C1069" s="1" t="n">
        <v>45212</v>
      </c>
      <c r="D1069" t="inlineStr">
        <is>
          <t>VÄSTRA GÖTALANDS LÄN</t>
        </is>
      </c>
      <c r="E1069" t="inlineStr">
        <is>
          <t>FALKÖPING</t>
        </is>
      </c>
      <c r="G1069" t="n">
        <v>7.3</v>
      </c>
      <c r="H1069" t="n">
        <v>0</v>
      </c>
      <c r="I1069" t="n">
        <v>0</v>
      </c>
      <c r="J1069" t="n">
        <v>0</v>
      </c>
      <c r="K1069" t="n">
        <v>0</v>
      </c>
      <c r="L1069" t="n">
        <v>0</v>
      </c>
      <c r="M1069" t="n">
        <v>0</v>
      </c>
      <c r="N1069" t="n">
        <v>0</v>
      </c>
      <c r="O1069" t="n">
        <v>0</v>
      </c>
      <c r="P1069" t="n">
        <v>0</v>
      </c>
      <c r="Q1069" t="n">
        <v>0</v>
      </c>
      <c r="R1069" s="2" t="inlineStr"/>
    </row>
    <row r="1070" ht="15" customHeight="1">
      <c r="A1070" t="inlineStr">
        <is>
          <t>A 63397-2018</t>
        </is>
      </c>
      <c r="B1070" s="1" t="n">
        <v>43427</v>
      </c>
      <c r="C1070" s="1" t="n">
        <v>45212</v>
      </c>
      <c r="D1070" t="inlineStr">
        <is>
          <t>VÄSTRA GÖTALANDS LÄN</t>
        </is>
      </c>
      <c r="E1070" t="inlineStr">
        <is>
          <t>TRANEMO</t>
        </is>
      </c>
      <c r="G1070" t="n">
        <v>8.1</v>
      </c>
      <c r="H1070" t="n">
        <v>0</v>
      </c>
      <c r="I1070" t="n">
        <v>0</v>
      </c>
      <c r="J1070" t="n">
        <v>0</v>
      </c>
      <c r="K1070" t="n">
        <v>0</v>
      </c>
      <c r="L1070" t="n">
        <v>0</v>
      </c>
      <c r="M1070" t="n">
        <v>0</v>
      </c>
      <c r="N1070" t="n">
        <v>0</v>
      </c>
      <c r="O1070" t="n">
        <v>0</v>
      </c>
      <c r="P1070" t="n">
        <v>0</v>
      </c>
      <c r="Q1070" t="n">
        <v>0</v>
      </c>
      <c r="R1070" s="2" t="inlineStr"/>
    </row>
    <row r="1071" ht="15" customHeight="1">
      <c r="A1071" t="inlineStr">
        <is>
          <t>A 66258-2018</t>
        </is>
      </c>
      <c r="B1071" s="1" t="n">
        <v>43427</v>
      </c>
      <c r="C1071" s="1" t="n">
        <v>45212</v>
      </c>
      <c r="D1071" t="inlineStr">
        <is>
          <t>VÄSTRA GÖTALANDS LÄN</t>
        </is>
      </c>
      <c r="E1071" t="inlineStr">
        <is>
          <t>BENGTSFORS</t>
        </is>
      </c>
      <c r="G1071" t="n">
        <v>4.6</v>
      </c>
      <c r="H1071" t="n">
        <v>0</v>
      </c>
      <c r="I1071" t="n">
        <v>0</v>
      </c>
      <c r="J1071" t="n">
        <v>0</v>
      </c>
      <c r="K1071" t="n">
        <v>0</v>
      </c>
      <c r="L1071" t="n">
        <v>0</v>
      </c>
      <c r="M1071" t="n">
        <v>0</v>
      </c>
      <c r="N1071" t="n">
        <v>0</v>
      </c>
      <c r="O1071" t="n">
        <v>0</v>
      </c>
      <c r="P1071" t="n">
        <v>0</v>
      </c>
      <c r="Q1071" t="n">
        <v>0</v>
      </c>
      <c r="R1071" s="2" t="inlineStr"/>
    </row>
    <row r="1072" ht="15" customHeight="1">
      <c r="A1072" t="inlineStr">
        <is>
          <t>A 63432-2018</t>
        </is>
      </c>
      <c r="B1072" s="1" t="n">
        <v>43427</v>
      </c>
      <c r="C1072" s="1" t="n">
        <v>45212</v>
      </c>
      <c r="D1072" t="inlineStr">
        <is>
          <t>VÄSTRA GÖTALANDS LÄN</t>
        </is>
      </c>
      <c r="E1072" t="inlineStr">
        <is>
          <t>BENGTSFORS</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63671-2018</t>
        </is>
      </c>
      <c r="B1073" s="1" t="n">
        <v>43428</v>
      </c>
      <c r="C1073" s="1" t="n">
        <v>45212</v>
      </c>
      <c r="D1073" t="inlineStr">
        <is>
          <t>VÄSTRA GÖTALANDS LÄN</t>
        </is>
      </c>
      <c r="E1073" t="inlineStr">
        <is>
          <t>MELLERUD</t>
        </is>
      </c>
      <c r="G1073" t="n">
        <v>4.1</v>
      </c>
      <c r="H1073" t="n">
        <v>0</v>
      </c>
      <c r="I1073" t="n">
        <v>0</v>
      </c>
      <c r="J1073" t="n">
        <v>0</v>
      </c>
      <c r="K1073" t="n">
        <v>0</v>
      </c>
      <c r="L1073" t="n">
        <v>0</v>
      </c>
      <c r="M1073" t="n">
        <v>0</v>
      </c>
      <c r="N1073" t="n">
        <v>0</v>
      </c>
      <c r="O1073" t="n">
        <v>0</v>
      </c>
      <c r="P1073" t="n">
        <v>0</v>
      </c>
      <c r="Q1073" t="n">
        <v>0</v>
      </c>
      <c r="R1073" s="2" t="inlineStr"/>
    </row>
    <row r="1074" ht="15" customHeight="1">
      <c r="A1074" t="inlineStr">
        <is>
          <t>A 63702-2018</t>
        </is>
      </c>
      <c r="B1074" s="1" t="n">
        <v>43428</v>
      </c>
      <c r="C1074" s="1" t="n">
        <v>45212</v>
      </c>
      <c r="D1074" t="inlineStr">
        <is>
          <t>VÄSTRA GÖTALANDS LÄN</t>
        </is>
      </c>
      <c r="E1074" t="inlineStr">
        <is>
          <t>SVENLJUNGA</t>
        </is>
      </c>
      <c r="G1074" t="n">
        <v>3.8</v>
      </c>
      <c r="H1074" t="n">
        <v>0</v>
      </c>
      <c r="I1074" t="n">
        <v>0</v>
      </c>
      <c r="J1074" t="n">
        <v>0</v>
      </c>
      <c r="K1074" t="n">
        <v>0</v>
      </c>
      <c r="L1074" t="n">
        <v>0</v>
      </c>
      <c r="M1074" t="n">
        <v>0</v>
      </c>
      <c r="N1074" t="n">
        <v>0</v>
      </c>
      <c r="O1074" t="n">
        <v>0</v>
      </c>
      <c r="P1074" t="n">
        <v>0</v>
      </c>
      <c r="Q1074" t="n">
        <v>0</v>
      </c>
      <c r="R1074" s="2" t="inlineStr"/>
    </row>
    <row r="1075" ht="15" customHeight="1">
      <c r="A1075" t="inlineStr">
        <is>
          <t>A 64030-2018</t>
        </is>
      </c>
      <c r="B1075" s="1" t="n">
        <v>43430</v>
      </c>
      <c r="C1075" s="1" t="n">
        <v>45212</v>
      </c>
      <c r="D1075" t="inlineStr">
        <is>
          <t>VÄSTRA GÖTALANDS LÄN</t>
        </is>
      </c>
      <c r="E1075" t="inlineStr">
        <is>
          <t>TRANEMO</t>
        </is>
      </c>
      <c r="G1075" t="n">
        <v>0.9</v>
      </c>
      <c r="H1075" t="n">
        <v>0</v>
      </c>
      <c r="I1075" t="n">
        <v>0</v>
      </c>
      <c r="J1075" t="n">
        <v>0</v>
      </c>
      <c r="K1075" t="n">
        <v>0</v>
      </c>
      <c r="L1075" t="n">
        <v>0</v>
      </c>
      <c r="M1075" t="n">
        <v>0</v>
      </c>
      <c r="N1075" t="n">
        <v>0</v>
      </c>
      <c r="O1075" t="n">
        <v>0</v>
      </c>
      <c r="P1075" t="n">
        <v>0</v>
      </c>
      <c r="Q1075" t="n">
        <v>0</v>
      </c>
      <c r="R1075" s="2" t="inlineStr"/>
    </row>
    <row r="1076" ht="15" customHeight="1">
      <c r="A1076" t="inlineStr">
        <is>
          <t>A 64179-2018</t>
        </is>
      </c>
      <c r="B1076" s="1" t="n">
        <v>43430</v>
      </c>
      <c r="C1076" s="1" t="n">
        <v>45212</v>
      </c>
      <c r="D1076" t="inlineStr">
        <is>
          <t>VÄSTRA GÖTALANDS LÄN</t>
        </is>
      </c>
      <c r="E1076" t="inlineStr">
        <is>
          <t>VÅRGÅRDA</t>
        </is>
      </c>
      <c r="G1076" t="n">
        <v>1.3</v>
      </c>
      <c r="H1076" t="n">
        <v>0</v>
      </c>
      <c r="I1076" t="n">
        <v>0</v>
      </c>
      <c r="J1076" t="n">
        <v>0</v>
      </c>
      <c r="K1076" t="n">
        <v>0</v>
      </c>
      <c r="L1076" t="n">
        <v>0</v>
      </c>
      <c r="M1076" t="n">
        <v>0</v>
      </c>
      <c r="N1076" t="n">
        <v>0</v>
      </c>
      <c r="O1076" t="n">
        <v>0</v>
      </c>
      <c r="P1076" t="n">
        <v>0</v>
      </c>
      <c r="Q1076" t="n">
        <v>0</v>
      </c>
      <c r="R1076" s="2" t="inlineStr"/>
    </row>
    <row r="1077" ht="15" customHeight="1">
      <c r="A1077" t="inlineStr">
        <is>
          <t>A 64194-2018</t>
        </is>
      </c>
      <c r="B1077" s="1" t="n">
        <v>43430</v>
      </c>
      <c r="C1077" s="1" t="n">
        <v>45212</v>
      </c>
      <c r="D1077" t="inlineStr">
        <is>
          <t>VÄSTRA GÖTALANDS LÄN</t>
        </is>
      </c>
      <c r="E1077" t="inlineStr">
        <is>
          <t>ALINGSÅS</t>
        </is>
      </c>
      <c r="G1077" t="n">
        <v>0.6</v>
      </c>
      <c r="H1077" t="n">
        <v>0</v>
      </c>
      <c r="I1077" t="n">
        <v>0</v>
      </c>
      <c r="J1077" t="n">
        <v>0</v>
      </c>
      <c r="K1077" t="n">
        <v>0</v>
      </c>
      <c r="L1077" t="n">
        <v>0</v>
      </c>
      <c r="M1077" t="n">
        <v>0</v>
      </c>
      <c r="N1077" t="n">
        <v>0</v>
      </c>
      <c r="O1077" t="n">
        <v>0</v>
      </c>
      <c r="P1077" t="n">
        <v>0</v>
      </c>
      <c r="Q1077" t="n">
        <v>0</v>
      </c>
      <c r="R1077" s="2" t="inlineStr"/>
    </row>
    <row r="1078" ht="15" customHeight="1">
      <c r="A1078" t="inlineStr">
        <is>
          <t>A 64218-2018</t>
        </is>
      </c>
      <c r="B1078" s="1" t="n">
        <v>43430</v>
      </c>
      <c r="C1078" s="1" t="n">
        <v>45212</v>
      </c>
      <c r="D1078" t="inlineStr">
        <is>
          <t>VÄSTRA GÖTALANDS LÄN</t>
        </is>
      </c>
      <c r="E1078" t="inlineStr">
        <is>
          <t>LYSEKIL</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64289-2018</t>
        </is>
      </c>
      <c r="B1079" s="1" t="n">
        <v>43430</v>
      </c>
      <c r="C1079" s="1" t="n">
        <v>45212</v>
      </c>
      <c r="D1079" t="inlineStr">
        <is>
          <t>VÄSTRA GÖTALANDS LÄN</t>
        </is>
      </c>
      <c r="E1079" t="inlineStr">
        <is>
          <t>ALINGSÅS</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64351-2018</t>
        </is>
      </c>
      <c r="B1080" s="1" t="n">
        <v>43430</v>
      </c>
      <c r="C1080" s="1" t="n">
        <v>45212</v>
      </c>
      <c r="D1080" t="inlineStr">
        <is>
          <t>VÄSTRA GÖTALANDS LÄN</t>
        </is>
      </c>
      <c r="E1080" t="inlineStr">
        <is>
          <t>BORÅS</t>
        </is>
      </c>
      <c r="G1080" t="n">
        <v>0.7</v>
      </c>
      <c r="H1080" t="n">
        <v>0</v>
      </c>
      <c r="I1080" t="n">
        <v>0</v>
      </c>
      <c r="J1080" t="n">
        <v>0</v>
      </c>
      <c r="K1080" t="n">
        <v>0</v>
      </c>
      <c r="L1080" t="n">
        <v>0</v>
      </c>
      <c r="M1080" t="n">
        <v>0</v>
      </c>
      <c r="N1080" t="n">
        <v>0</v>
      </c>
      <c r="O1080" t="n">
        <v>0</v>
      </c>
      <c r="P1080" t="n">
        <v>0</v>
      </c>
      <c r="Q1080" t="n">
        <v>0</v>
      </c>
      <c r="R1080" s="2" t="inlineStr"/>
    </row>
    <row r="1081" ht="15" customHeight="1">
      <c r="A1081" t="inlineStr">
        <is>
          <t>A 64396-2018</t>
        </is>
      </c>
      <c r="B1081" s="1" t="n">
        <v>43430</v>
      </c>
      <c r="C1081" s="1" t="n">
        <v>45212</v>
      </c>
      <c r="D1081" t="inlineStr">
        <is>
          <t>VÄSTRA GÖTALANDS LÄN</t>
        </is>
      </c>
      <c r="E1081" t="inlineStr">
        <is>
          <t>FALKÖPING</t>
        </is>
      </c>
      <c r="G1081" t="n">
        <v>8.300000000000001</v>
      </c>
      <c r="H1081" t="n">
        <v>0</v>
      </c>
      <c r="I1081" t="n">
        <v>0</v>
      </c>
      <c r="J1081" t="n">
        <v>0</v>
      </c>
      <c r="K1081" t="n">
        <v>0</v>
      </c>
      <c r="L1081" t="n">
        <v>0</v>
      </c>
      <c r="M1081" t="n">
        <v>0</v>
      </c>
      <c r="N1081" t="n">
        <v>0</v>
      </c>
      <c r="O1081" t="n">
        <v>0</v>
      </c>
      <c r="P1081" t="n">
        <v>0</v>
      </c>
      <c r="Q1081" t="n">
        <v>0</v>
      </c>
      <c r="R1081" s="2" t="inlineStr"/>
    </row>
    <row r="1082" ht="15" customHeight="1">
      <c r="A1082" t="inlineStr">
        <is>
          <t>A 66585-2018</t>
        </is>
      </c>
      <c r="B1082" s="1" t="n">
        <v>43430</v>
      </c>
      <c r="C1082" s="1" t="n">
        <v>45212</v>
      </c>
      <c r="D1082" t="inlineStr">
        <is>
          <t>VÄSTRA GÖTALANDS LÄN</t>
        </is>
      </c>
      <c r="E1082" t="inlineStr">
        <is>
          <t>UDDEVALLA</t>
        </is>
      </c>
      <c r="G1082" t="n">
        <v>2</v>
      </c>
      <c r="H1082" t="n">
        <v>0</v>
      </c>
      <c r="I1082" t="n">
        <v>0</v>
      </c>
      <c r="J1082" t="n">
        <v>0</v>
      </c>
      <c r="K1082" t="n">
        <v>0</v>
      </c>
      <c r="L1082" t="n">
        <v>0</v>
      </c>
      <c r="M1082" t="n">
        <v>0</v>
      </c>
      <c r="N1082" t="n">
        <v>0</v>
      </c>
      <c r="O1082" t="n">
        <v>0</v>
      </c>
      <c r="P1082" t="n">
        <v>0</v>
      </c>
      <c r="Q1082" t="n">
        <v>0</v>
      </c>
      <c r="R1082" s="2" t="inlineStr"/>
    </row>
    <row r="1083" ht="15" customHeight="1">
      <c r="A1083" t="inlineStr">
        <is>
          <t>A 64244-2018</t>
        </is>
      </c>
      <c r="B1083" s="1" t="n">
        <v>43430</v>
      </c>
      <c r="C1083" s="1" t="n">
        <v>45212</v>
      </c>
      <c r="D1083" t="inlineStr">
        <is>
          <t>VÄSTRA GÖTALANDS LÄN</t>
        </is>
      </c>
      <c r="E1083" t="inlineStr">
        <is>
          <t>TRANEMO</t>
        </is>
      </c>
      <c r="G1083" t="n">
        <v>3.2</v>
      </c>
      <c r="H1083" t="n">
        <v>0</v>
      </c>
      <c r="I1083" t="n">
        <v>0</v>
      </c>
      <c r="J1083" t="n">
        <v>0</v>
      </c>
      <c r="K1083" t="n">
        <v>0</v>
      </c>
      <c r="L1083" t="n">
        <v>0</v>
      </c>
      <c r="M1083" t="n">
        <v>0</v>
      </c>
      <c r="N1083" t="n">
        <v>0</v>
      </c>
      <c r="O1083" t="n">
        <v>0</v>
      </c>
      <c r="P1083" t="n">
        <v>0</v>
      </c>
      <c r="Q1083" t="n">
        <v>0</v>
      </c>
      <c r="R1083" s="2" t="inlineStr"/>
    </row>
    <row r="1084" ht="15" customHeight="1">
      <c r="A1084" t="inlineStr">
        <is>
          <t>A 64254-2018</t>
        </is>
      </c>
      <c r="B1084" s="1" t="n">
        <v>43430</v>
      </c>
      <c r="C1084" s="1" t="n">
        <v>45212</v>
      </c>
      <c r="D1084" t="inlineStr">
        <is>
          <t>VÄSTRA GÖTALANDS LÄN</t>
        </is>
      </c>
      <c r="E1084" t="inlineStr">
        <is>
          <t>TRANEMO</t>
        </is>
      </c>
      <c r="G1084" t="n">
        <v>4.3</v>
      </c>
      <c r="H1084" t="n">
        <v>0</v>
      </c>
      <c r="I1084" t="n">
        <v>0</v>
      </c>
      <c r="J1084" t="n">
        <v>0</v>
      </c>
      <c r="K1084" t="n">
        <v>0</v>
      </c>
      <c r="L1084" t="n">
        <v>0</v>
      </c>
      <c r="M1084" t="n">
        <v>0</v>
      </c>
      <c r="N1084" t="n">
        <v>0</v>
      </c>
      <c r="O1084" t="n">
        <v>0</v>
      </c>
      <c r="P1084" t="n">
        <v>0</v>
      </c>
      <c r="Q1084" t="n">
        <v>0</v>
      </c>
      <c r="R1084" s="2" t="inlineStr"/>
    </row>
    <row r="1085" ht="15" customHeight="1">
      <c r="A1085" t="inlineStr">
        <is>
          <t>A 64368-2018</t>
        </is>
      </c>
      <c r="B1085" s="1" t="n">
        <v>43430</v>
      </c>
      <c r="C1085" s="1" t="n">
        <v>45212</v>
      </c>
      <c r="D1085" t="inlineStr">
        <is>
          <t>VÄSTRA GÖTALANDS LÄN</t>
        </is>
      </c>
      <c r="E1085" t="inlineStr">
        <is>
          <t>HERRLJUNGA</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66442-2018</t>
        </is>
      </c>
      <c r="B1086" s="1" t="n">
        <v>43430</v>
      </c>
      <c r="C1086" s="1" t="n">
        <v>45212</v>
      </c>
      <c r="D1086" t="inlineStr">
        <is>
          <t>VÄSTRA GÖTALANDS LÄN</t>
        </is>
      </c>
      <c r="E1086" t="inlineStr">
        <is>
          <t>STRÖMSTAD</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66512-2018</t>
        </is>
      </c>
      <c r="B1087" s="1" t="n">
        <v>43430</v>
      </c>
      <c r="C1087" s="1" t="n">
        <v>45212</v>
      </c>
      <c r="D1087" t="inlineStr">
        <is>
          <t>VÄSTRA GÖTALANDS LÄN</t>
        </is>
      </c>
      <c r="E1087" t="inlineStr">
        <is>
          <t>SOTENÄS</t>
        </is>
      </c>
      <c r="G1087" t="n">
        <v>2.1</v>
      </c>
      <c r="H1087" t="n">
        <v>0</v>
      </c>
      <c r="I1087" t="n">
        <v>0</v>
      </c>
      <c r="J1087" t="n">
        <v>0</v>
      </c>
      <c r="K1087" t="n">
        <v>0</v>
      </c>
      <c r="L1087" t="n">
        <v>0</v>
      </c>
      <c r="M1087" t="n">
        <v>0</v>
      </c>
      <c r="N1087" t="n">
        <v>0</v>
      </c>
      <c r="O1087" t="n">
        <v>0</v>
      </c>
      <c r="P1087" t="n">
        <v>0</v>
      </c>
      <c r="Q1087" t="n">
        <v>0</v>
      </c>
      <c r="R1087" s="2" t="inlineStr"/>
    </row>
    <row r="1088" ht="15" customHeight="1">
      <c r="A1088" t="inlineStr">
        <is>
          <t>A 64039-2018</t>
        </is>
      </c>
      <c r="B1088" s="1" t="n">
        <v>43430</v>
      </c>
      <c r="C1088" s="1" t="n">
        <v>45212</v>
      </c>
      <c r="D1088" t="inlineStr">
        <is>
          <t>VÄSTRA GÖTALANDS LÄN</t>
        </is>
      </c>
      <c r="E1088" t="inlineStr">
        <is>
          <t>SVENLJUNGA</t>
        </is>
      </c>
      <c r="G1088" t="n">
        <v>8.4</v>
      </c>
      <c r="H1088" t="n">
        <v>0</v>
      </c>
      <c r="I1088" t="n">
        <v>0</v>
      </c>
      <c r="J1088" t="n">
        <v>0</v>
      </c>
      <c r="K1088" t="n">
        <v>0</v>
      </c>
      <c r="L1088" t="n">
        <v>0</v>
      </c>
      <c r="M1088" t="n">
        <v>0</v>
      </c>
      <c r="N1088" t="n">
        <v>0</v>
      </c>
      <c r="O1088" t="n">
        <v>0</v>
      </c>
      <c r="P1088" t="n">
        <v>0</v>
      </c>
      <c r="Q1088" t="n">
        <v>0</v>
      </c>
      <c r="R1088" s="2" t="inlineStr"/>
    </row>
    <row r="1089" ht="15" customHeight="1">
      <c r="A1089" t="inlineStr">
        <is>
          <t>A 64109-2018</t>
        </is>
      </c>
      <c r="B1089" s="1" t="n">
        <v>43430</v>
      </c>
      <c r="C1089" s="1" t="n">
        <v>45212</v>
      </c>
      <c r="D1089" t="inlineStr">
        <is>
          <t>VÄSTRA GÖTALANDS LÄN</t>
        </is>
      </c>
      <c r="E1089" t="inlineStr">
        <is>
          <t>TIDAHOLM</t>
        </is>
      </c>
      <c r="G1089" t="n">
        <v>6.5</v>
      </c>
      <c r="H1089" t="n">
        <v>0</v>
      </c>
      <c r="I1089" t="n">
        <v>0</v>
      </c>
      <c r="J1089" t="n">
        <v>0</v>
      </c>
      <c r="K1089" t="n">
        <v>0</v>
      </c>
      <c r="L1089" t="n">
        <v>0</v>
      </c>
      <c r="M1089" t="n">
        <v>0</v>
      </c>
      <c r="N1089" t="n">
        <v>0</v>
      </c>
      <c r="O1089" t="n">
        <v>0</v>
      </c>
      <c r="P1089" t="n">
        <v>0</v>
      </c>
      <c r="Q1089" t="n">
        <v>0</v>
      </c>
      <c r="R1089" s="2" t="inlineStr"/>
    </row>
    <row r="1090" ht="15" customHeight="1">
      <c r="A1090" t="inlineStr">
        <is>
          <t>A 64178-2018</t>
        </is>
      </c>
      <c r="B1090" s="1" t="n">
        <v>43430</v>
      </c>
      <c r="C1090" s="1" t="n">
        <v>45212</v>
      </c>
      <c r="D1090" t="inlineStr">
        <is>
          <t>VÄSTRA GÖTALANDS LÄN</t>
        </is>
      </c>
      <c r="E1090" t="inlineStr">
        <is>
          <t>TANUM</t>
        </is>
      </c>
      <c r="G1090" t="n">
        <v>0.9</v>
      </c>
      <c r="H1090" t="n">
        <v>0</v>
      </c>
      <c r="I1090" t="n">
        <v>0</v>
      </c>
      <c r="J1090" t="n">
        <v>0</v>
      </c>
      <c r="K1090" t="n">
        <v>0</v>
      </c>
      <c r="L1090" t="n">
        <v>0</v>
      </c>
      <c r="M1090" t="n">
        <v>0</v>
      </c>
      <c r="N1090" t="n">
        <v>0</v>
      </c>
      <c r="O1090" t="n">
        <v>0</v>
      </c>
      <c r="P1090" t="n">
        <v>0</v>
      </c>
      <c r="Q1090" t="n">
        <v>0</v>
      </c>
      <c r="R1090" s="2" t="inlineStr"/>
    </row>
    <row r="1091" ht="15" customHeight="1">
      <c r="A1091" t="inlineStr">
        <is>
          <t>A 63966-2018</t>
        </is>
      </c>
      <c r="B1091" s="1" t="n">
        <v>43430</v>
      </c>
      <c r="C1091" s="1" t="n">
        <v>45212</v>
      </c>
      <c r="D1091" t="inlineStr">
        <is>
          <t>VÄSTRA GÖTALANDS LÄN</t>
        </is>
      </c>
      <c r="E1091" t="inlineStr">
        <is>
          <t>UDDEVALLA</t>
        </is>
      </c>
      <c r="G1091" t="n">
        <v>3.2</v>
      </c>
      <c r="H1091" t="n">
        <v>0</v>
      </c>
      <c r="I1091" t="n">
        <v>0</v>
      </c>
      <c r="J1091" t="n">
        <v>0</v>
      </c>
      <c r="K1091" t="n">
        <v>0</v>
      </c>
      <c r="L1091" t="n">
        <v>0</v>
      </c>
      <c r="M1091" t="n">
        <v>0</v>
      </c>
      <c r="N1091" t="n">
        <v>0</v>
      </c>
      <c r="O1091" t="n">
        <v>0</v>
      </c>
      <c r="P1091" t="n">
        <v>0</v>
      </c>
      <c r="Q1091" t="n">
        <v>0</v>
      </c>
      <c r="R1091" s="2" t="inlineStr"/>
    </row>
    <row r="1092" ht="15" customHeight="1">
      <c r="A1092" t="inlineStr">
        <is>
          <t>A 64033-2018</t>
        </is>
      </c>
      <c r="B1092" s="1" t="n">
        <v>43430</v>
      </c>
      <c r="C1092" s="1" t="n">
        <v>45212</v>
      </c>
      <c r="D1092" t="inlineStr">
        <is>
          <t>VÄSTRA GÖTALANDS LÄN</t>
        </is>
      </c>
      <c r="E1092" t="inlineStr">
        <is>
          <t>SKÖVDE</t>
        </is>
      </c>
      <c r="G1092" t="n">
        <v>7.4</v>
      </c>
      <c r="H1092" t="n">
        <v>0</v>
      </c>
      <c r="I1092" t="n">
        <v>0</v>
      </c>
      <c r="J1092" t="n">
        <v>0</v>
      </c>
      <c r="K1092" t="n">
        <v>0</v>
      </c>
      <c r="L1092" t="n">
        <v>0</v>
      </c>
      <c r="M1092" t="n">
        <v>0</v>
      </c>
      <c r="N1092" t="n">
        <v>0</v>
      </c>
      <c r="O1092" t="n">
        <v>0</v>
      </c>
      <c r="P1092" t="n">
        <v>0</v>
      </c>
      <c r="Q1092" t="n">
        <v>0</v>
      </c>
      <c r="R1092" s="2" t="inlineStr"/>
    </row>
    <row r="1093" ht="15" customHeight="1">
      <c r="A1093" t="inlineStr">
        <is>
          <t>A 64161-2018</t>
        </is>
      </c>
      <c r="B1093" s="1" t="n">
        <v>43430</v>
      </c>
      <c r="C1093" s="1" t="n">
        <v>45212</v>
      </c>
      <c r="D1093" t="inlineStr">
        <is>
          <t>VÄSTRA GÖTALANDS LÄN</t>
        </is>
      </c>
      <c r="E1093" t="inlineStr">
        <is>
          <t>TANUM</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64183-2018</t>
        </is>
      </c>
      <c r="B1094" s="1" t="n">
        <v>43430</v>
      </c>
      <c r="C1094" s="1" t="n">
        <v>45212</v>
      </c>
      <c r="D1094" t="inlineStr">
        <is>
          <t>VÄSTRA GÖTALANDS LÄN</t>
        </is>
      </c>
      <c r="E1094" t="inlineStr">
        <is>
          <t>TANUM</t>
        </is>
      </c>
      <c r="G1094" t="n">
        <v>5.6</v>
      </c>
      <c r="H1094" t="n">
        <v>0</v>
      </c>
      <c r="I1094" t="n">
        <v>0</v>
      </c>
      <c r="J1094" t="n">
        <v>0</v>
      </c>
      <c r="K1094" t="n">
        <v>0</v>
      </c>
      <c r="L1094" t="n">
        <v>0</v>
      </c>
      <c r="M1094" t="n">
        <v>0</v>
      </c>
      <c r="N1094" t="n">
        <v>0</v>
      </c>
      <c r="O1094" t="n">
        <v>0</v>
      </c>
      <c r="P1094" t="n">
        <v>0</v>
      </c>
      <c r="Q1094" t="n">
        <v>0</v>
      </c>
      <c r="R1094" s="2" t="inlineStr"/>
    </row>
    <row r="1095" ht="15" customHeight="1">
      <c r="A1095" t="inlineStr">
        <is>
          <t>A 64240-2018</t>
        </is>
      </c>
      <c r="B1095" s="1" t="n">
        <v>43430</v>
      </c>
      <c r="C1095" s="1" t="n">
        <v>45212</v>
      </c>
      <c r="D1095" t="inlineStr">
        <is>
          <t>VÄSTRA GÖTALANDS LÄN</t>
        </is>
      </c>
      <c r="E1095" t="inlineStr">
        <is>
          <t>MUNKEDAL</t>
        </is>
      </c>
      <c r="G1095" t="n">
        <v>6.2</v>
      </c>
      <c r="H1095" t="n">
        <v>0</v>
      </c>
      <c r="I1095" t="n">
        <v>0</v>
      </c>
      <c r="J1095" t="n">
        <v>0</v>
      </c>
      <c r="K1095" t="n">
        <v>0</v>
      </c>
      <c r="L1095" t="n">
        <v>0</v>
      </c>
      <c r="M1095" t="n">
        <v>0</v>
      </c>
      <c r="N1095" t="n">
        <v>0</v>
      </c>
      <c r="O1095" t="n">
        <v>0</v>
      </c>
      <c r="P1095" t="n">
        <v>0</v>
      </c>
      <c r="Q1095" t="n">
        <v>0</v>
      </c>
      <c r="R1095" s="2" t="inlineStr"/>
    </row>
    <row r="1096" ht="15" customHeight="1">
      <c r="A1096" t="inlineStr">
        <is>
          <t>A 64250-2018</t>
        </is>
      </c>
      <c r="B1096" s="1" t="n">
        <v>43430</v>
      </c>
      <c r="C1096" s="1" t="n">
        <v>45212</v>
      </c>
      <c r="D1096" t="inlineStr">
        <is>
          <t>VÄSTRA GÖTALANDS LÄN</t>
        </is>
      </c>
      <c r="E1096" t="inlineStr">
        <is>
          <t>BORÅS</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66468-2018</t>
        </is>
      </c>
      <c r="B1097" s="1" t="n">
        <v>43430</v>
      </c>
      <c r="C1097" s="1" t="n">
        <v>45212</v>
      </c>
      <c r="D1097" t="inlineStr">
        <is>
          <t>VÄSTRA GÖTALANDS LÄN</t>
        </is>
      </c>
      <c r="E1097" t="inlineStr">
        <is>
          <t>MUNKEDAL</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66636-2018</t>
        </is>
      </c>
      <c r="B1098" s="1" t="n">
        <v>43430</v>
      </c>
      <c r="C1098" s="1" t="n">
        <v>45212</v>
      </c>
      <c r="D1098" t="inlineStr">
        <is>
          <t>VÄSTRA GÖTALANDS LÄN</t>
        </is>
      </c>
      <c r="E1098" t="inlineStr">
        <is>
          <t>VARA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64532-2018</t>
        </is>
      </c>
      <c r="B1099" s="1" t="n">
        <v>43431</v>
      </c>
      <c r="C1099" s="1" t="n">
        <v>45212</v>
      </c>
      <c r="D1099" t="inlineStr">
        <is>
          <t>VÄSTRA GÖTALANDS LÄN</t>
        </is>
      </c>
      <c r="E1099" t="inlineStr">
        <is>
          <t>HERRLJUNGA</t>
        </is>
      </c>
      <c r="G1099" t="n">
        <v>1.4</v>
      </c>
      <c r="H1099" t="n">
        <v>0</v>
      </c>
      <c r="I1099" t="n">
        <v>0</v>
      </c>
      <c r="J1099" t="n">
        <v>0</v>
      </c>
      <c r="K1099" t="n">
        <v>0</v>
      </c>
      <c r="L1099" t="n">
        <v>0</v>
      </c>
      <c r="M1099" t="n">
        <v>0</v>
      </c>
      <c r="N1099" t="n">
        <v>0</v>
      </c>
      <c r="O1099" t="n">
        <v>0</v>
      </c>
      <c r="P1099" t="n">
        <v>0</v>
      </c>
      <c r="Q1099" t="n">
        <v>0</v>
      </c>
      <c r="R1099" s="2" t="inlineStr"/>
    </row>
    <row r="1100" ht="15" customHeight="1">
      <c r="A1100" t="inlineStr">
        <is>
          <t>A 64629-2018</t>
        </is>
      </c>
      <c r="B1100" s="1" t="n">
        <v>43431</v>
      </c>
      <c r="C1100" s="1" t="n">
        <v>45212</v>
      </c>
      <c r="D1100" t="inlineStr">
        <is>
          <t>VÄSTRA GÖTALANDS LÄN</t>
        </is>
      </c>
      <c r="E1100" t="inlineStr">
        <is>
          <t>GÖTENE</t>
        </is>
      </c>
      <c r="G1100" t="n">
        <v>0.7</v>
      </c>
      <c r="H1100" t="n">
        <v>0</v>
      </c>
      <c r="I1100" t="n">
        <v>0</v>
      </c>
      <c r="J1100" t="n">
        <v>0</v>
      </c>
      <c r="K1100" t="n">
        <v>0</v>
      </c>
      <c r="L1100" t="n">
        <v>0</v>
      </c>
      <c r="M1100" t="n">
        <v>0</v>
      </c>
      <c r="N1100" t="n">
        <v>0</v>
      </c>
      <c r="O1100" t="n">
        <v>0</v>
      </c>
      <c r="P1100" t="n">
        <v>0</v>
      </c>
      <c r="Q1100" t="n">
        <v>0</v>
      </c>
      <c r="R1100" s="2" t="inlineStr"/>
    </row>
    <row r="1101" ht="15" customHeight="1">
      <c r="A1101" t="inlineStr">
        <is>
          <t>A 64835-2018</t>
        </is>
      </c>
      <c r="B1101" s="1" t="n">
        <v>43431</v>
      </c>
      <c r="C1101" s="1" t="n">
        <v>45212</v>
      </c>
      <c r="D1101" t="inlineStr">
        <is>
          <t>VÄSTRA GÖTALANDS LÄN</t>
        </is>
      </c>
      <c r="E1101" t="inlineStr">
        <is>
          <t>FALKÖPING</t>
        </is>
      </c>
      <c r="G1101" t="n">
        <v>1.5</v>
      </c>
      <c r="H1101" t="n">
        <v>0</v>
      </c>
      <c r="I1101" t="n">
        <v>0</v>
      </c>
      <c r="J1101" t="n">
        <v>0</v>
      </c>
      <c r="K1101" t="n">
        <v>0</v>
      </c>
      <c r="L1101" t="n">
        <v>0</v>
      </c>
      <c r="M1101" t="n">
        <v>0</v>
      </c>
      <c r="N1101" t="n">
        <v>0</v>
      </c>
      <c r="O1101" t="n">
        <v>0</v>
      </c>
      <c r="P1101" t="n">
        <v>0</v>
      </c>
      <c r="Q1101" t="n">
        <v>0</v>
      </c>
      <c r="R1101" s="2" t="inlineStr"/>
    </row>
    <row r="1102" ht="15" customHeight="1">
      <c r="A1102" t="inlineStr">
        <is>
          <t>A 66960-2018</t>
        </is>
      </c>
      <c r="B1102" s="1" t="n">
        <v>43431</v>
      </c>
      <c r="C1102" s="1" t="n">
        <v>45212</v>
      </c>
      <c r="D1102" t="inlineStr">
        <is>
          <t>VÄSTRA GÖTALANDS LÄN</t>
        </is>
      </c>
      <c r="E1102" t="inlineStr">
        <is>
          <t>GULLSPÅNG</t>
        </is>
      </c>
      <c r="G1102" t="n">
        <v>1.1</v>
      </c>
      <c r="H1102" t="n">
        <v>0</v>
      </c>
      <c r="I1102" t="n">
        <v>0</v>
      </c>
      <c r="J1102" t="n">
        <v>0</v>
      </c>
      <c r="K1102" t="n">
        <v>0</v>
      </c>
      <c r="L1102" t="n">
        <v>0</v>
      </c>
      <c r="M1102" t="n">
        <v>0</v>
      </c>
      <c r="N1102" t="n">
        <v>0</v>
      </c>
      <c r="O1102" t="n">
        <v>0</v>
      </c>
      <c r="P1102" t="n">
        <v>0</v>
      </c>
      <c r="Q1102" t="n">
        <v>0</v>
      </c>
      <c r="R1102" s="2" t="inlineStr"/>
    </row>
    <row r="1103" ht="15" customHeight="1">
      <c r="A1103" t="inlineStr">
        <is>
          <t>A 67020-2018</t>
        </is>
      </c>
      <c r="B1103" s="1" t="n">
        <v>43431</v>
      </c>
      <c r="C1103" s="1" t="n">
        <v>45212</v>
      </c>
      <c r="D1103" t="inlineStr">
        <is>
          <t>VÄSTRA GÖTALANDS LÄN</t>
        </is>
      </c>
      <c r="E1103" t="inlineStr">
        <is>
          <t>MUNKEDAL</t>
        </is>
      </c>
      <c r="F1103" t="inlineStr">
        <is>
          <t>Kyrkan</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67099-2018</t>
        </is>
      </c>
      <c r="B1104" s="1" t="n">
        <v>43431</v>
      </c>
      <c r="C1104" s="1" t="n">
        <v>45212</v>
      </c>
      <c r="D1104" t="inlineStr">
        <is>
          <t>VÄSTRA GÖTALANDS LÄN</t>
        </is>
      </c>
      <c r="E1104" t="inlineStr">
        <is>
          <t>HJO</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64495-2018</t>
        </is>
      </c>
      <c r="B1105" s="1" t="n">
        <v>43431</v>
      </c>
      <c r="C1105" s="1" t="n">
        <v>45212</v>
      </c>
      <c r="D1105" t="inlineStr">
        <is>
          <t>VÄSTRA GÖTALANDS LÄN</t>
        </is>
      </c>
      <c r="E1105" t="inlineStr">
        <is>
          <t>SOTENÄS</t>
        </is>
      </c>
      <c r="G1105" t="n">
        <v>4.7</v>
      </c>
      <c r="H1105" t="n">
        <v>0</v>
      </c>
      <c r="I1105" t="n">
        <v>0</v>
      </c>
      <c r="J1105" t="n">
        <v>0</v>
      </c>
      <c r="K1105" t="n">
        <v>0</v>
      </c>
      <c r="L1105" t="n">
        <v>0</v>
      </c>
      <c r="M1105" t="n">
        <v>0</v>
      </c>
      <c r="N1105" t="n">
        <v>0</v>
      </c>
      <c r="O1105" t="n">
        <v>0</v>
      </c>
      <c r="P1105" t="n">
        <v>0</v>
      </c>
      <c r="Q1105" t="n">
        <v>0</v>
      </c>
      <c r="R1105" s="2" t="inlineStr"/>
    </row>
    <row r="1106" ht="15" customHeight="1">
      <c r="A1106" t="inlineStr">
        <is>
          <t>A 64520-2018</t>
        </is>
      </c>
      <c r="B1106" s="1" t="n">
        <v>43431</v>
      </c>
      <c r="C1106" s="1" t="n">
        <v>45212</v>
      </c>
      <c r="D1106" t="inlineStr">
        <is>
          <t>VÄSTRA GÖTALANDS LÄN</t>
        </is>
      </c>
      <c r="E1106" t="inlineStr">
        <is>
          <t>TIDAHOLM</t>
        </is>
      </c>
      <c r="F1106" t="inlineStr">
        <is>
          <t>Sveaskog</t>
        </is>
      </c>
      <c r="G1106" t="n">
        <v>0.8</v>
      </c>
      <c r="H1106" t="n">
        <v>0</v>
      </c>
      <c r="I1106" t="n">
        <v>0</v>
      </c>
      <c r="J1106" t="n">
        <v>0</v>
      </c>
      <c r="K1106" t="n">
        <v>0</v>
      </c>
      <c r="L1106" t="n">
        <v>0</v>
      </c>
      <c r="M1106" t="n">
        <v>0</v>
      </c>
      <c r="N1106" t="n">
        <v>0</v>
      </c>
      <c r="O1106" t="n">
        <v>0</v>
      </c>
      <c r="P1106" t="n">
        <v>0</v>
      </c>
      <c r="Q1106" t="n">
        <v>0</v>
      </c>
      <c r="R1106" s="2" t="inlineStr"/>
    </row>
    <row r="1107" ht="15" customHeight="1">
      <c r="A1107" t="inlineStr">
        <is>
          <t>A 64541-2018</t>
        </is>
      </c>
      <c r="B1107" s="1" t="n">
        <v>43431</v>
      </c>
      <c r="C1107" s="1" t="n">
        <v>45212</v>
      </c>
      <c r="D1107" t="inlineStr">
        <is>
          <t>VÄSTRA GÖTALANDS LÄN</t>
        </is>
      </c>
      <c r="E1107" t="inlineStr">
        <is>
          <t>TIBRO</t>
        </is>
      </c>
      <c r="G1107" t="n">
        <v>4.5</v>
      </c>
      <c r="H1107" t="n">
        <v>0</v>
      </c>
      <c r="I1107" t="n">
        <v>0</v>
      </c>
      <c r="J1107" t="n">
        <v>0</v>
      </c>
      <c r="K1107" t="n">
        <v>0</v>
      </c>
      <c r="L1107" t="n">
        <v>0</v>
      </c>
      <c r="M1107" t="n">
        <v>0</v>
      </c>
      <c r="N1107" t="n">
        <v>0</v>
      </c>
      <c r="O1107" t="n">
        <v>0</v>
      </c>
      <c r="P1107" t="n">
        <v>0</v>
      </c>
      <c r="Q1107" t="n">
        <v>0</v>
      </c>
      <c r="R1107" s="2" t="inlineStr"/>
    </row>
    <row r="1108" ht="15" customHeight="1">
      <c r="A1108" t="inlineStr">
        <is>
          <t>A 64626-2018</t>
        </is>
      </c>
      <c r="B1108" s="1" t="n">
        <v>43431</v>
      </c>
      <c r="C1108" s="1" t="n">
        <v>45212</v>
      </c>
      <c r="D1108" t="inlineStr">
        <is>
          <t>VÄSTRA GÖTALANDS LÄN</t>
        </is>
      </c>
      <c r="E1108" t="inlineStr">
        <is>
          <t>HJO</t>
        </is>
      </c>
      <c r="G1108" t="n">
        <v>6.8</v>
      </c>
      <c r="H1108" t="n">
        <v>0</v>
      </c>
      <c r="I1108" t="n">
        <v>0</v>
      </c>
      <c r="J1108" t="n">
        <v>0</v>
      </c>
      <c r="K1108" t="n">
        <v>0</v>
      </c>
      <c r="L1108" t="n">
        <v>0</v>
      </c>
      <c r="M1108" t="n">
        <v>0</v>
      </c>
      <c r="N1108" t="n">
        <v>0</v>
      </c>
      <c r="O1108" t="n">
        <v>0</v>
      </c>
      <c r="P1108" t="n">
        <v>0</v>
      </c>
      <c r="Q1108" t="n">
        <v>0</v>
      </c>
      <c r="R1108" s="2" t="inlineStr"/>
    </row>
    <row r="1109" ht="15" customHeight="1">
      <c r="A1109" t="inlineStr">
        <is>
          <t>A 67279-2018</t>
        </is>
      </c>
      <c r="B1109" s="1" t="n">
        <v>43431</v>
      </c>
      <c r="C1109" s="1" t="n">
        <v>45212</v>
      </c>
      <c r="D1109" t="inlineStr">
        <is>
          <t>VÄSTRA GÖTALANDS LÄN</t>
        </is>
      </c>
      <c r="E1109" t="inlineStr">
        <is>
          <t>KARLSBORG</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64547-2018</t>
        </is>
      </c>
      <c r="B1110" s="1" t="n">
        <v>43431</v>
      </c>
      <c r="C1110" s="1" t="n">
        <v>45212</v>
      </c>
      <c r="D1110" t="inlineStr">
        <is>
          <t>VÄSTRA GÖTALANDS LÄN</t>
        </is>
      </c>
      <c r="E1110" t="inlineStr">
        <is>
          <t>TIBRO</t>
        </is>
      </c>
      <c r="G1110" t="n">
        <v>1.9</v>
      </c>
      <c r="H1110" t="n">
        <v>0</v>
      </c>
      <c r="I1110" t="n">
        <v>0</v>
      </c>
      <c r="J1110" t="n">
        <v>0</v>
      </c>
      <c r="K1110" t="n">
        <v>0</v>
      </c>
      <c r="L1110" t="n">
        <v>0</v>
      </c>
      <c r="M1110" t="n">
        <v>0</v>
      </c>
      <c r="N1110" t="n">
        <v>0</v>
      </c>
      <c r="O1110" t="n">
        <v>0</v>
      </c>
      <c r="P1110" t="n">
        <v>0</v>
      </c>
      <c r="Q1110" t="n">
        <v>0</v>
      </c>
      <c r="R1110" s="2" t="inlineStr"/>
    </row>
    <row r="1111" ht="15" customHeight="1">
      <c r="A1111" t="inlineStr">
        <is>
          <t>A 64627-2018</t>
        </is>
      </c>
      <c r="B1111" s="1" t="n">
        <v>43431</v>
      </c>
      <c r="C1111" s="1" t="n">
        <v>45212</v>
      </c>
      <c r="D1111" t="inlineStr">
        <is>
          <t>VÄSTRA GÖTALANDS LÄN</t>
        </is>
      </c>
      <c r="E1111" t="inlineStr">
        <is>
          <t>KARLSBORG</t>
        </is>
      </c>
      <c r="G1111" t="n">
        <v>1.4</v>
      </c>
      <c r="H1111" t="n">
        <v>0</v>
      </c>
      <c r="I1111" t="n">
        <v>0</v>
      </c>
      <c r="J1111" t="n">
        <v>0</v>
      </c>
      <c r="K1111" t="n">
        <v>0</v>
      </c>
      <c r="L1111" t="n">
        <v>0</v>
      </c>
      <c r="M1111" t="n">
        <v>0</v>
      </c>
      <c r="N1111" t="n">
        <v>0</v>
      </c>
      <c r="O1111" t="n">
        <v>0</v>
      </c>
      <c r="P1111" t="n">
        <v>0</v>
      </c>
      <c r="Q1111" t="n">
        <v>0</v>
      </c>
      <c r="R1111" s="2" t="inlineStr"/>
    </row>
    <row r="1112" ht="15" customHeight="1">
      <c r="A1112" t="inlineStr">
        <is>
          <t>A 64940-2018</t>
        </is>
      </c>
      <c r="B1112" s="1" t="n">
        <v>43431</v>
      </c>
      <c r="C1112" s="1" t="n">
        <v>45212</v>
      </c>
      <c r="D1112" t="inlineStr">
        <is>
          <t>VÄSTRA GÖTALANDS LÄN</t>
        </is>
      </c>
      <c r="E1112" t="inlineStr">
        <is>
          <t>STRÖMSTAD</t>
        </is>
      </c>
      <c r="G1112" t="n">
        <v>0.7</v>
      </c>
      <c r="H1112" t="n">
        <v>0</v>
      </c>
      <c r="I1112" t="n">
        <v>0</v>
      </c>
      <c r="J1112" t="n">
        <v>0</v>
      </c>
      <c r="K1112" t="n">
        <v>0</v>
      </c>
      <c r="L1112" t="n">
        <v>0</v>
      </c>
      <c r="M1112" t="n">
        <v>0</v>
      </c>
      <c r="N1112" t="n">
        <v>0</v>
      </c>
      <c r="O1112" t="n">
        <v>0</v>
      </c>
      <c r="P1112" t="n">
        <v>0</v>
      </c>
      <c r="Q1112" t="n">
        <v>0</v>
      </c>
      <c r="R1112" s="2" t="inlineStr"/>
    </row>
    <row r="1113" ht="15" customHeight="1">
      <c r="A1113" t="inlineStr">
        <is>
          <t>A 67094-2018</t>
        </is>
      </c>
      <c r="B1113" s="1" t="n">
        <v>43431</v>
      </c>
      <c r="C1113" s="1" t="n">
        <v>45212</v>
      </c>
      <c r="D1113" t="inlineStr">
        <is>
          <t>VÄSTRA GÖTALANDS LÄN</t>
        </is>
      </c>
      <c r="E1113" t="inlineStr">
        <is>
          <t>HJO</t>
        </is>
      </c>
      <c r="G1113" t="n">
        <v>1</v>
      </c>
      <c r="H1113" t="n">
        <v>0</v>
      </c>
      <c r="I1113" t="n">
        <v>0</v>
      </c>
      <c r="J1113" t="n">
        <v>0</v>
      </c>
      <c r="K1113" t="n">
        <v>0</v>
      </c>
      <c r="L1113" t="n">
        <v>0</v>
      </c>
      <c r="M1113" t="n">
        <v>0</v>
      </c>
      <c r="N1113" t="n">
        <v>0</v>
      </c>
      <c r="O1113" t="n">
        <v>0</v>
      </c>
      <c r="P1113" t="n">
        <v>0</v>
      </c>
      <c r="Q1113" t="n">
        <v>0</v>
      </c>
      <c r="R1113" s="2" t="inlineStr"/>
    </row>
    <row r="1114" ht="15" customHeight="1">
      <c r="A1114" t="inlineStr">
        <is>
          <t>A 64591-2018</t>
        </is>
      </c>
      <c r="B1114" s="1" t="n">
        <v>43431</v>
      </c>
      <c r="C1114" s="1" t="n">
        <v>45212</v>
      </c>
      <c r="D1114" t="inlineStr">
        <is>
          <t>VÄSTRA GÖTALANDS LÄN</t>
        </is>
      </c>
      <c r="E1114" t="inlineStr">
        <is>
          <t>LYSEKIL</t>
        </is>
      </c>
      <c r="G1114" t="n">
        <v>4.2</v>
      </c>
      <c r="H1114" t="n">
        <v>0</v>
      </c>
      <c r="I1114" t="n">
        <v>0</v>
      </c>
      <c r="J1114" t="n">
        <v>0</v>
      </c>
      <c r="K1114" t="n">
        <v>0</v>
      </c>
      <c r="L1114" t="n">
        <v>0</v>
      </c>
      <c r="M1114" t="n">
        <v>0</v>
      </c>
      <c r="N1114" t="n">
        <v>0</v>
      </c>
      <c r="O1114" t="n">
        <v>0</v>
      </c>
      <c r="P1114" t="n">
        <v>0</v>
      </c>
      <c r="Q1114" t="n">
        <v>0</v>
      </c>
      <c r="R1114" s="2" t="inlineStr"/>
    </row>
    <row r="1115" ht="15" customHeight="1">
      <c r="A1115" t="inlineStr">
        <is>
          <t>A 65138-2018</t>
        </is>
      </c>
      <c r="B1115" s="1" t="n">
        <v>43432</v>
      </c>
      <c r="C1115" s="1" t="n">
        <v>45212</v>
      </c>
      <c r="D1115" t="inlineStr">
        <is>
          <t>VÄSTRA GÖTALANDS LÄN</t>
        </is>
      </c>
      <c r="E1115" t="inlineStr">
        <is>
          <t>TRANEMO</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65309-2018</t>
        </is>
      </c>
      <c r="B1116" s="1" t="n">
        <v>43432</v>
      </c>
      <c r="C1116" s="1" t="n">
        <v>45212</v>
      </c>
      <c r="D1116" t="inlineStr">
        <is>
          <t>VÄSTRA GÖTALANDS LÄN</t>
        </is>
      </c>
      <c r="E1116" t="inlineStr">
        <is>
          <t>MUNKEDAL</t>
        </is>
      </c>
      <c r="G1116" t="n">
        <v>0.5</v>
      </c>
      <c r="H1116" t="n">
        <v>0</v>
      </c>
      <c r="I1116" t="n">
        <v>0</v>
      </c>
      <c r="J1116" t="n">
        <v>0</v>
      </c>
      <c r="K1116" t="n">
        <v>0</v>
      </c>
      <c r="L1116" t="n">
        <v>0</v>
      </c>
      <c r="M1116" t="n">
        <v>0</v>
      </c>
      <c r="N1116" t="n">
        <v>0</v>
      </c>
      <c r="O1116" t="n">
        <v>0</v>
      </c>
      <c r="P1116" t="n">
        <v>0</v>
      </c>
      <c r="Q1116" t="n">
        <v>0</v>
      </c>
      <c r="R1116" s="2" t="inlineStr"/>
    </row>
    <row r="1117" ht="15" customHeight="1">
      <c r="A1117" t="inlineStr">
        <is>
          <t>A 65347-2018</t>
        </is>
      </c>
      <c r="B1117" s="1" t="n">
        <v>43433</v>
      </c>
      <c r="C1117" s="1" t="n">
        <v>45212</v>
      </c>
      <c r="D1117" t="inlineStr">
        <is>
          <t>VÄSTRA GÖTALANDS LÄN</t>
        </is>
      </c>
      <c r="E1117" t="inlineStr">
        <is>
          <t>TIBRO</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65492-2018</t>
        </is>
      </c>
      <c r="B1118" s="1" t="n">
        <v>43433</v>
      </c>
      <c r="C1118" s="1" t="n">
        <v>45212</v>
      </c>
      <c r="D1118" t="inlineStr">
        <is>
          <t>VÄSTRA GÖTALANDS LÄN</t>
        </is>
      </c>
      <c r="E1118" t="inlineStr">
        <is>
          <t>ULRICEHAMN</t>
        </is>
      </c>
      <c r="G1118" t="n">
        <v>2.5</v>
      </c>
      <c r="H1118" t="n">
        <v>0</v>
      </c>
      <c r="I1118" t="n">
        <v>0</v>
      </c>
      <c r="J1118" t="n">
        <v>0</v>
      </c>
      <c r="K1118" t="n">
        <v>0</v>
      </c>
      <c r="L1118" t="n">
        <v>0</v>
      </c>
      <c r="M1118" t="n">
        <v>0</v>
      </c>
      <c r="N1118" t="n">
        <v>0</v>
      </c>
      <c r="O1118" t="n">
        <v>0</v>
      </c>
      <c r="P1118" t="n">
        <v>0</v>
      </c>
      <c r="Q1118" t="n">
        <v>0</v>
      </c>
      <c r="R1118" s="2" t="inlineStr"/>
    </row>
    <row r="1119" ht="15" customHeight="1">
      <c r="A1119" t="inlineStr">
        <is>
          <t>A 65553-2018</t>
        </is>
      </c>
      <c r="B1119" s="1" t="n">
        <v>43433</v>
      </c>
      <c r="C1119" s="1" t="n">
        <v>45212</v>
      </c>
      <c r="D1119" t="inlineStr">
        <is>
          <t>VÄSTRA GÖTALANDS LÄN</t>
        </is>
      </c>
      <c r="E1119" t="inlineStr">
        <is>
          <t>MARIESTAD</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65575-2018</t>
        </is>
      </c>
      <c r="B1120" s="1" t="n">
        <v>43433</v>
      </c>
      <c r="C1120" s="1" t="n">
        <v>45212</v>
      </c>
      <c r="D1120" t="inlineStr">
        <is>
          <t>VÄSTRA GÖTALANDS LÄN</t>
        </is>
      </c>
      <c r="E1120" t="inlineStr">
        <is>
          <t>VÅRGÅRDA</t>
        </is>
      </c>
      <c r="F1120" t="inlineStr">
        <is>
          <t>Sveaskog</t>
        </is>
      </c>
      <c r="G1120" t="n">
        <v>0.1</v>
      </c>
      <c r="H1120" t="n">
        <v>0</v>
      </c>
      <c r="I1120" t="n">
        <v>0</v>
      </c>
      <c r="J1120" t="n">
        <v>0</v>
      </c>
      <c r="K1120" t="n">
        <v>0</v>
      </c>
      <c r="L1120" t="n">
        <v>0</v>
      </c>
      <c r="M1120" t="n">
        <v>0</v>
      </c>
      <c r="N1120" t="n">
        <v>0</v>
      </c>
      <c r="O1120" t="n">
        <v>0</v>
      </c>
      <c r="P1120" t="n">
        <v>0</v>
      </c>
      <c r="Q1120" t="n">
        <v>0</v>
      </c>
      <c r="R1120" s="2" t="inlineStr"/>
    </row>
    <row r="1121" ht="15" customHeight="1">
      <c r="A1121" t="inlineStr">
        <is>
          <t>A 65582-2018</t>
        </is>
      </c>
      <c r="B1121" s="1" t="n">
        <v>43433</v>
      </c>
      <c r="C1121" s="1" t="n">
        <v>45212</v>
      </c>
      <c r="D1121" t="inlineStr">
        <is>
          <t>VÄSTRA GÖTALANDS LÄN</t>
        </is>
      </c>
      <c r="E1121" t="inlineStr">
        <is>
          <t>VÅRGÅRDA</t>
        </is>
      </c>
      <c r="F1121" t="inlineStr">
        <is>
          <t>Sveaskog</t>
        </is>
      </c>
      <c r="G1121" t="n">
        <v>1.4</v>
      </c>
      <c r="H1121" t="n">
        <v>0</v>
      </c>
      <c r="I1121" t="n">
        <v>0</v>
      </c>
      <c r="J1121" t="n">
        <v>0</v>
      </c>
      <c r="K1121" t="n">
        <v>0</v>
      </c>
      <c r="L1121" t="n">
        <v>0</v>
      </c>
      <c r="M1121" t="n">
        <v>0</v>
      </c>
      <c r="N1121" t="n">
        <v>0</v>
      </c>
      <c r="O1121" t="n">
        <v>0</v>
      </c>
      <c r="P1121" t="n">
        <v>0</v>
      </c>
      <c r="Q1121" t="n">
        <v>0</v>
      </c>
      <c r="R1121" s="2" t="inlineStr"/>
    </row>
    <row r="1122" ht="15" customHeight="1">
      <c r="A1122" t="inlineStr">
        <is>
          <t>A 65608-2018</t>
        </is>
      </c>
      <c r="B1122" s="1" t="n">
        <v>43433</v>
      </c>
      <c r="C1122" s="1" t="n">
        <v>45212</v>
      </c>
      <c r="D1122" t="inlineStr">
        <is>
          <t>VÄSTRA GÖTALANDS LÄN</t>
        </is>
      </c>
      <c r="E1122" t="inlineStr">
        <is>
          <t>MARK</t>
        </is>
      </c>
      <c r="G1122" t="n">
        <v>2.9</v>
      </c>
      <c r="H1122" t="n">
        <v>0</v>
      </c>
      <c r="I1122" t="n">
        <v>0</v>
      </c>
      <c r="J1122" t="n">
        <v>0</v>
      </c>
      <c r="K1122" t="n">
        <v>0</v>
      </c>
      <c r="L1122" t="n">
        <v>0</v>
      </c>
      <c r="M1122" t="n">
        <v>0</v>
      </c>
      <c r="N1122" t="n">
        <v>0</v>
      </c>
      <c r="O1122" t="n">
        <v>0</v>
      </c>
      <c r="P1122" t="n">
        <v>0</v>
      </c>
      <c r="Q1122" t="n">
        <v>0</v>
      </c>
      <c r="R1122" s="2" t="inlineStr"/>
    </row>
    <row r="1123" ht="15" customHeight="1">
      <c r="A1123" t="inlineStr">
        <is>
          <t>A 65617-2018</t>
        </is>
      </c>
      <c r="B1123" s="1" t="n">
        <v>43433</v>
      </c>
      <c r="C1123" s="1" t="n">
        <v>45212</v>
      </c>
      <c r="D1123" t="inlineStr">
        <is>
          <t>VÄSTRA GÖTALANDS LÄN</t>
        </is>
      </c>
      <c r="E1123" t="inlineStr">
        <is>
          <t>ULRICEHAMN</t>
        </is>
      </c>
      <c r="G1123" t="n">
        <v>4.2</v>
      </c>
      <c r="H1123" t="n">
        <v>0</v>
      </c>
      <c r="I1123" t="n">
        <v>0</v>
      </c>
      <c r="J1123" t="n">
        <v>0</v>
      </c>
      <c r="K1123" t="n">
        <v>0</v>
      </c>
      <c r="L1123" t="n">
        <v>0</v>
      </c>
      <c r="M1123" t="n">
        <v>0</v>
      </c>
      <c r="N1123" t="n">
        <v>0</v>
      </c>
      <c r="O1123" t="n">
        <v>0</v>
      </c>
      <c r="P1123" t="n">
        <v>0</v>
      </c>
      <c r="Q1123" t="n">
        <v>0</v>
      </c>
      <c r="R1123" s="2" t="inlineStr"/>
    </row>
    <row r="1124" ht="15" customHeight="1">
      <c r="A1124" t="inlineStr">
        <is>
          <t>A 65706-2018</t>
        </is>
      </c>
      <c r="B1124" s="1" t="n">
        <v>43433</v>
      </c>
      <c r="C1124" s="1" t="n">
        <v>45212</v>
      </c>
      <c r="D1124" t="inlineStr">
        <is>
          <t>VÄSTRA GÖTALANDS LÄN</t>
        </is>
      </c>
      <c r="E1124" t="inlineStr">
        <is>
          <t>MUNKEDAL</t>
        </is>
      </c>
      <c r="G1124" t="n">
        <v>8.699999999999999</v>
      </c>
      <c r="H1124" t="n">
        <v>0</v>
      </c>
      <c r="I1124" t="n">
        <v>0</v>
      </c>
      <c r="J1124" t="n">
        <v>0</v>
      </c>
      <c r="K1124" t="n">
        <v>0</v>
      </c>
      <c r="L1124" t="n">
        <v>0</v>
      </c>
      <c r="M1124" t="n">
        <v>0</v>
      </c>
      <c r="N1124" t="n">
        <v>0</v>
      </c>
      <c r="O1124" t="n">
        <v>0</v>
      </c>
      <c r="P1124" t="n">
        <v>0</v>
      </c>
      <c r="Q1124" t="n">
        <v>0</v>
      </c>
      <c r="R1124" s="2" t="inlineStr"/>
    </row>
    <row r="1125" ht="15" customHeight="1">
      <c r="A1125" t="inlineStr">
        <is>
          <t>A 65746-2018</t>
        </is>
      </c>
      <c r="B1125" s="1" t="n">
        <v>43433</v>
      </c>
      <c r="C1125" s="1" t="n">
        <v>45212</v>
      </c>
      <c r="D1125" t="inlineStr">
        <is>
          <t>VÄSTRA GÖTALANDS LÄN</t>
        </is>
      </c>
      <c r="E1125" t="inlineStr">
        <is>
          <t>ULRICEHAMN</t>
        </is>
      </c>
      <c r="G1125" t="n">
        <v>2.9</v>
      </c>
      <c r="H1125" t="n">
        <v>0</v>
      </c>
      <c r="I1125" t="n">
        <v>0</v>
      </c>
      <c r="J1125" t="n">
        <v>0</v>
      </c>
      <c r="K1125" t="n">
        <v>0</v>
      </c>
      <c r="L1125" t="n">
        <v>0</v>
      </c>
      <c r="M1125" t="n">
        <v>0</v>
      </c>
      <c r="N1125" t="n">
        <v>0</v>
      </c>
      <c r="O1125" t="n">
        <v>0</v>
      </c>
      <c r="P1125" t="n">
        <v>0</v>
      </c>
      <c r="Q1125" t="n">
        <v>0</v>
      </c>
      <c r="R1125" s="2" t="inlineStr"/>
    </row>
    <row r="1126" ht="15" customHeight="1">
      <c r="A1126" t="inlineStr">
        <is>
          <t>A 65830-2018</t>
        </is>
      </c>
      <c r="B1126" s="1" t="n">
        <v>43433</v>
      </c>
      <c r="C1126" s="1" t="n">
        <v>45212</v>
      </c>
      <c r="D1126" t="inlineStr">
        <is>
          <t>VÄSTRA GÖTALANDS LÄN</t>
        </is>
      </c>
      <c r="E1126" t="inlineStr">
        <is>
          <t>GRÄSTORP</t>
        </is>
      </c>
      <c r="G1126" t="n">
        <v>1.2</v>
      </c>
      <c r="H1126" t="n">
        <v>0</v>
      </c>
      <c r="I1126" t="n">
        <v>0</v>
      </c>
      <c r="J1126" t="n">
        <v>0</v>
      </c>
      <c r="K1126" t="n">
        <v>0</v>
      </c>
      <c r="L1126" t="n">
        <v>0</v>
      </c>
      <c r="M1126" t="n">
        <v>0</v>
      </c>
      <c r="N1126" t="n">
        <v>0</v>
      </c>
      <c r="O1126" t="n">
        <v>0</v>
      </c>
      <c r="P1126" t="n">
        <v>0</v>
      </c>
      <c r="Q1126" t="n">
        <v>0</v>
      </c>
      <c r="R1126" s="2" t="inlineStr"/>
    </row>
    <row r="1127" ht="15" customHeight="1">
      <c r="A1127" t="inlineStr">
        <is>
          <t>A 67646-2018</t>
        </is>
      </c>
      <c r="B1127" s="1" t="n">
        <v>43433</v>
      </c>
      <c r="C1127" s="1" t="n">
        <v>45212</v>
      </c>
      <c r="D1127" t="inlineStr">
        <is>
          <t>VÄSTRA GÖTALANDS LÄN</t>
        </is>
      </c>
      <c r="E1127" t="inlineStr">
        <is>
          <t>MUNKEDAL</t>
        </is>
      </c>
      <c r="G1127" t="n">
        <v>1.1</v>
      </c>
      <c r="H1127" t="n">
        <v>0</v>
      </c>
      <c r="I1127" t="n">
        <v>0</v>
      </c>
      <c r="J1127" t="n">
        <v>0</v>
      </c>
      <c r="K1127" t="n">
        <v>0</v>
      </c>
      <c r="L1127" t="n">
        <v>0</v>
      </c>
      <c r="M1127" t="n">
        <v>0</v>
      </c>
      <c r="N1127" t="n">
        <v>0</v>
      </c>
      <c r="O1127" t="n">
        <v>0</v>
      </c>
      <c r="P1127" t="n">
        <v>0</v>
      </c>
      <c r="Q1127" t="n">
        <v>0</v>
      </c>
      <c r="R1127" s="2" t="inlineStr"/>
    </row>
    <row r="1128" ht="15" customHeight="1">
      <c r="A1128" t="inlineStr">
        <is>
          <t>A 65578-2018</t>
        </is>
      </c>
      <c r="B1128" s="1" t="n">
        <v>43433</v>
      </c>
      <c r="C1128" s="1" t="n">
        <v>45212</v>
      </c>
      <c r="D1128" t="inlineStr">
        <is>
          <t>VÄSTRA GÖTALANDS LÄN</t>
        </is>
      </c>
      <c r="E1128" t="inlineStr">
        <is>
          <t>MARIESTAD</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65613-2018</t>
        </is>
      </c>
      <c r="B1129" s="1" t="n">
        <v>43433</v>
      </c>
      <c r="C1129" s="1" t="n">
        <v>45212</v>
      </c>
      <c r="D1129" t="inlineStr">
        <is>
          <t>VÄSTRA GÖTALANDS LÄN</t>
        </is>
      </c>
      <c r="E1129" t="inlineStr">
        <is>
          <t>MARK</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65710-2018</t>
        </is>
      </c>
      <c r="B1130" s="1" t="n">
        <v>43433</v>
      </c>
      <c r="C1130" s="1" t="n">
        <v>45212</v>
      </c>
      <c r="D1130" t="inlineStr">
        <is>
          <t>VÄSTRA GÖTALANDS LÄN</t>
        </is>
      </c>
      <c r="E1130" t="inlineStr">
        <is>
          <t>TANUM</t>
        </is>
      </c>
      <c r="G1130" t="n">
        <v>3.3</v>
      </c>
      <c r="H1130" t="n">
        <v>0</v>
      </c>
      <c r="I1130" t="n">
        <v>0</v>
      </c>
      <c r="J1130" t="n">
        <v>0</v>
      </c>
      <c r="K1130" t="n">
        <v>0</v>
      </c>
      <c r="L1130" t="n">
        <v>0</v>
      </c>
      <c r="M1130" t="n">
        <v>0</v>
      </c>
      <c r="N1130" t="n">
        <v>0</v>
      </c>
      <c r="O1130" t="n">
        <v>0</v>
      </c>
      <c r="P1130" t="n">
        <v>0</v>
      </c>
      <c r="Q1130" t="n">
        <v>0</v>
      </c>
      <c r="R1130" s="2" t="inlineStr"/>
    </row>
    <row r="1131" ht="15" customHeight="1">
      <c r="A1131" t="inlineStr">
        <is>
          <t>A 65765-2018</t>
        </is>
      </c>
      <c r="B1131" s="1" t="n">
        <v>43433</v>
      </c>
      <c r="C1131" s="1" t="n">
        <v>45212</v>
      </c>
      <c r="D1131" t="inlineStr">
        <is>
          <t>VÄSTRA GÖTALANDS LÄN</t>
        </is>
      </c>
      <c r="E1131" t="inlineStr">
        <is>
          <t>STRÖMSTAD</t>
        </is>
      </c>
      <c r="G1131" t="n">
        <v>2.3</v>
      </c>
      <c r="H1131" t="n">
        <v>0</v>
      </c>
      <c r="I1131" t="n">
        <v>0</v>
      </c>
      <c r="J1131" t="n">
        <v>0</v>
      </c>
      <c r="K1131" t="n">
        <v>0</v>
      </c>
      <c r="L1131" t="n">
        <v>0</v>
      </c>
      <c r="M1131" t="n">
        <v>0</v>
      </c>
      <c r="N1131" t="n">
        <v>0</v>
      </c>
      <c r="O1131" t="n">
        <v>0</v>
      </c>
      <c r="P1131" t="n">
        <v>0</v>
      </c>
      <c r="Q1131" t="n">
        <v>0</v>
      </c>
      <c r="R1131" s="2" t="inlineStr"/>
    </row>
    <row r="1132" ht="15" customHeight="1">
      <c r="A1132" t="inlineStr">
        <is>
          <t>A 65787-2018</t>
        </is>
      </c>
      <c r="B1132" s="1" t="n">
        <v>43433</v>
      </c>
      <c r="C1132" s="1" t="n">
        <v>45212</v>
      </c>
      <c r="D1132" t="inlineStr">
        <is>
          <t>VÄSTRA GÖTALANDS LÄN</t>
        </is>
      </c>
      <c r="E1132" t="inlineStr">
        <is>
          <t>TRANEMO</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65797-2018</t>
        </is>
      </c>
      <c r="B1133" s="1" t="n">
        <v>43433</v>
      </c>
      <c r="C1133" s="1" t="n">
        <v>45212</v>
      </c>
      <c r="D1133" t="inlineStr">
        <is>
          <t>VÄSTRA GÖTALANDS LÄN</t>
        </is>
      </c>
      <c r="E1133" t="inlineStr">
        <is>
          <t>LIDKÖPING</t>
        </is>
      </c>
      <c r="G1133" t="n">
        <v>0.7</v>
      </c>
      <c r="H1133" t="n">
        <v>0</v>
      </c>
      <c r="I1133" t="n">
        <v>0</v>
      </c>
      <c r="J1133" t="n">
        <v>0</v>
      </c>
      <c r="K1133" t="n">
        <v>0</v>
      </c>
      <c r="L1133" t="n">
        <v>0</v>
      </c>
      <c r="M1133" t="n">
        <v>0</v>
      </c>
      <c r="N1133" t="n">
        <v>0</v>
      </c>
      <c r="O1133" t="n">
        <v>0</v>
      </c>
      <c r="P1133" t="n">
        <v>0</v>
      </c>
      <c r="Q1133" t="n">
        <v>0</v>
      </c>
      <c r="R1133" s="2" t="inlineStr"/>
    </row>
    <row r="1134" ht="15" customHeight="1">
      <c r="A1134" t="inlineStr">
        <is>
          <t>A 65459-2018</t>
        </is>
      </c>
      <c r="B1134" s="1" t="n">
        <v>43433</v>
      </c>
      <c r="C1134" s="1" t="n">
        <v>45212</v>
      </c>
      <c r="D1134" t="inlineStr">
        <is>
          <t>VÄSTRA GÖTALANDS LÄN</t>
        </is>
      </c>
      <c r="E1134" t="inlineStr">
        <is>
          <t>SVENLJUNGA</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65621-2018</t>
        </is>
      </c>
      <c r="B1135" s="1" t="n">
        <v>43433</v>
      </c>
      <c r="C1135" s="1" t="n">
        <v>45212</v>
      </c>
      <c r="D1135" t="inlineStr">
        <is>
          <t>VÄSTRA GÖTALANDS LÄN</t>
        </is>
      </c>
      <c r="E1135" t="inlineStr">
        <is>
          <t>MARK</t>
        </is>
      </c>
      <c r="G1135" t="n">
        <v>1</v>
      </c>
      <c r="H1135" t="n">
        <v>0</v>
      </c>
      <c r="I1135" t="n">
        <v>0</v>
      </c>
      <c r="J1135" t="n">
        <v>0</v>
      </c>
      <c r="K1135" t="n">
        <v>0</v>
      </c>
      <c r="L1135" t="n">
        <v>0</v>
      </c>
      <c r="M1135" t="n">
        <v>0</v>
      </c>
      <c r="N1135" t="n">
        <v>0</v>
      </c>
      <c r="O1135" t="n">
        <v>0</v>
      </c>
      <c r="P1135" t="n">
        <v>0</v>
      </c>
      <c r="Q1135" t="n">
        <v>0</v>
      </c>
      <c r="R1135" s="2" t="inlineStr"/>
    </row>
    <row r="1136" ht="15" customHeight="1">
      <c r="A1136" t="inlineStr">
        <is>
          <t>A 65686-2018</t>
        </is>
      </c>
      <c r="B1136" s="1" t="n">
        <v>43433</v>
      </c>
      <c r="C1136" s="1" t="n">
        <v>45212</v>
      </c>
      <c r="D1136" t="inlineStr">
        <is>
          <t>VÄSTRA GÖTALANDS LÄN</t>
        </is>
      </c>
      <c r="E1136" t="inlineStr">
        <is>
          <t>TANUM</t>
        </is>
      </c>
      <c r="G1136" t="n">
        <v>5.1</v>
      </c>
      <c r="H1136" t="n">
        <v>0</v>
      </c>
      <c r="I1136" t="n">
        <v>0</v>
      </c>
      <c r="J1136" t="n">
        <v>0</v>
      </c>
      <c r="K1136" t="n">
        <v>0</v>
      </c>
      <c r="L1136" t="n">
        <v>0</v>
      </c>
      <c r="M1136" t="n">
        <v>0</v>
      </c>
      <c r="N1136" t="n">
        <v>0</v>
      </c>
      <c r="O1136" t="n">
        <v>0</v>
      </c>
      <c r="P1136" t="n">
        <v>0</v>
      </c>
      <c r="Q1136" t="n">
        <v>0</v>
      </c>
      <c r="R1136" s="2" t="inlineStr"/>
    </row>
    <row r="1137" ht="15" customHeight="1">
      <c r="A1137" t="inlineStr">
        <is>
          <t>A 65726-2018</t>
        </is>
      </c>
      <c r="B1137" s="1" t="n">
        <v>43433</v>
      </c>
      <c r="C1137" s="1" t="n">
        <v>45212</v>
      </c>
      <c r="D1137" t="inlineStr">
        <is>
          <t>VÄSTRA GÖTALANDS LÄN</t>
        </is>
      </c>
      <c r="E1137" t="inlineStr">
        <is>
          <t>MARK</t>
        </is>
      </c>
      <c r="G1137" t="n">
        <v>0.9</v>
      </c>
      <c r="H1137" t="n">
        <v>0</v>
      </c>
      <c r="I1137" t="n">
        <v>0</v>
      </c>
      <c r="J1137" t="n">
        <v>0</v>
      </c>
      <c r="K1137" t="n">
        <v>0</v>
      </c>
      <c r="L1137" t="n">
        <v>0</v>
      </c>
      <c r="M1137" t="n">
        <v>0</v>
      </c>
      <c r="N1137" t="n">
        <v>0</v>
      </c>
      <c r="O1137" t="n">
        <v>0</v>
      </c>
      <c r="P1137" t="n">
        <v>0</v>
      </c>
      <c r="Q1137" t="n">
        <v>0</v>
      </c>
      <c r="R1137" s="2" t="inlineStr"/>
    </row>
    <row r="1138" ht="15" customHeight="1">
      <c r="A1138" t="inlineStr">
        <is>
          <t>A 65755-2018</t>
        </is>
      </c>
      <c r="B1138" s="1" t="n">
        <v>43433</v>
      </c>
      <c r="C1138" s="1" t="n">
        <v>45212</v>
      </c>
      <c r="D1138" t="inlineStr">
        <is>
          <t>VÄSTRA GÖTALANDS LÄN</t>
        </is>
      </c>
      <c r="E1138" t="inlineStr">
        <is>
          <t>TANUM</t>
        </is>
      </c>
      <c r="G1138" t="n">
        <v>2.8</v>
      </c>
      <c r="H1138" t="n">
        <v>0</v>
      </c>
      <c r="I1138" t="n">
        <v>0</v>
      </c>
      <c r="J1138" t="n">
        <v>0</v>
      </c>
      <c r="K1138" t="n">
        <v>0</v>
      </c>
      <c r="L1138" t="n">
        <v>0</v>
      </c>
      <c r="M1138" t="n">
        <v>0</v>
      </c>
      <c r="N1138" t="n">
        <v>0</v>
      </c>
      <c r="O1138" t="n">
        <v>0</v>
      </c>
      <c r="P1138" t="n">
        <v>0</v>
      </c>
      <c r="Q1138" t="n">
        <v>0</v>
      </c>
      <c r="R1138" s="2" t="inlineStr"/>
    </row>
    <row r="1139" ht="15" customHeight="1">
      <c r="A1139" t="inlineStr">
        <is>
          <t>A 65789-2018</t>
        </is>
      </c>
      <c r="B1139" s="1" t="n">
        <v>43433</v>
      </c>
      <c r="C1139" s="1" t="n">
        <v>45212</v>
      </c>
      <c r="D1139" t="inlineStr">
        <is>
          <t>VÄSTRA GÖTALANDS LÄN</t>
        </is>
      </c>
      <c r="E1139" t="inlineStr">
        <is>
          <t>VÅRGÅRDA</t>
        </is>
      </c>
      <c r="G1139" t="n">
        <v>4.5</v>
      </c>
      <c r="H1139" t="n">
        <v>0</v>
      </c>
      <c r="I1139" t="n">
        <v>0</v>
      </c>
      <c r="J1139" t="n">
        <v>0</v>
      </c>
      <c r="K1139" t="n">
        <v>0</v>
      </c>
      <c r="L1139" t="n">
        <v>0</v>
      </c>
      <c r="M1139" t="n">
        <v>0</v>
      </c>
      <c r="N1139" t="n">
        <v>0</v>
      </c>
      <c r="O1139" t="n">
        <v>0</v>
      </c>
      <c r="P1139" t="n">
        <v>0</v>
      </c>
      <c r="Q1139" t="n">
        <v>0</v>
      </c>
      <c r="R1139" s="2" t="inlineStr"/>
    </row>
    <row r="1140" ht="15" customHeight="1">
      <c r="A1140" t="inlineStr">
        <is>
          <t>A 65349-2018</t>
        </is>
      </c>
      <c r="B1140" s="1" t="n">
        <v>43433</v>
      </c>
      <c r="C1140" s="1" t="n">
        <v>45212</v>
      </c>
      <c r="D1140" t="inlineStr">
        <is>
          <t>VÄSTRA GÖTALANDS LÄN</t>
        </is>
      </c>
      <c r="E1140" t="inlineStr">
        <is>
          <t>TIBRO</t>
        </is>
      </c>
      <c r="G1140" t="n">
        <v>1.2</v>
      </c>
      <c r="H1140" t="n">
        <v>0</v>
      </c>
      <c r="I1140" t="n">
        <v>0</v>
      </c>
      <c r="J1140" t="n">
        <v>0</v>
      </c>
      <c r="K1140" t="n">
        <v>0</v>
      </c>
      <c r="L1140" t="n">
        <v>0</v>
      </c>
      <c r="M1140" t="n">
        <v>0</v>
      </c>
      <c r="N1140" t="n">
        <v>0</v>
      </c>
      <c r="O1140" t="n">
        <v>0</v>
      </c>
      <c r="P1140" t="n">
        <v>0</v>
      </c>
      <c r="Q1140" t="n">
        <v>0</v>
      </c>
      <c r="R1140" s="2" t="inlineStr"/>
    </row>
    <row r="1141" ht="15" customHeight="1">
      <c r="A1141" t="inlineStr">
        <is>
          <t>A 65452-2018</t>
        </is>
      </c>
      <c r="B1141" s="1" t="n">
        <v>43433</v>
      </c>
      <c r="C1141" s="1" t="n">
        <v>45212</v>
      </c>
      <c r="D1141" t="inlineStr">
        <is>
          <t>VÄSTRA GÖTALANDS LÄN</t>
        </is>
      </c>
      <c r="E1141" t="inlineStr">
        <is>
          <t>SVENLJUNGA</t>
        </is>
      </c>
      <c r="G1141" t="n">
        <v>3.7</v>
      </c>
      <c r="H1141" t="n">
        <v>0</v>
      </c>
      <c r="I1141" t="n">
        <v>0</v>
      </c>
      <c r="J1141" t="n">
        <v>0</v>
      </c>
      <c r="K1141" t="n">
        <v>0</v>
      </c>
      <c r="L1141" t="n">
        <v>0</v>
      </c>
      <c r="M1141" t="n">
        <v>0</v>
      </c>
      <c r="N1141" t="n">
        <v>0</v>
      </c>
      <c r="O1141" t="n">
        <v>0</v>
      </c>
      <c r="P1141" t="n">
        <v>0</v>
      </c>
      <c r="Q1141" t="n">
        <v>0</v>
      </c>
      <c r="R1141" s="2" t="inlineStr"/>
    </row>
    <row r="1142" ht="15" customHeight="1">
      <c r="A1142" t="inlineStr">
        <is>
          <t>A 65577-2018</t>
        </is>
      </c>
      <c r="B1142" s="1" t="n">
        <v>43433</v>
      </c>
      <c r="C1142" s="1" t="n">
        <v>45212</v>
      </c>
      <c r="D1142" t="inlineStr">
        <is>
          <t>VÄSTRA GÖTALANDS LÄN</t>
        </is>
      </c>
      <c r="E1142" t="inlineStr">
        <is>
          <t>VÅRGÅRDA</t>
        </is>
      </c>
      <c r="F1142" t="inlineStr">
        <is>
          <t>Sveaskog</t>
        </is>
      </c>
      <c r="G1142" t="n">
        <v>0.3</v>
      </c>
      <c r="H1142" t="n">
        <v>0</v>
      </c>
      <c r="I1142" t="n">
        <v>0</v>
      </c>
      <c r="J1142" t="n">
        <v>0</v>
      </c>
      <c r="K1142" t="n">
        <v>0</v>
      </c>
      <c r="L1142" t="n">
        <v>0</v>
      </c>
      <c r="M1142" t="n">
        <v>0</v>
      </c>
      <c r="N1142" t="n">
        <v>0</v>
      </c>
      <c r="O1142" t="n">
        <v>0</v>
      </c>
      <c r="P1142" t="n">
        <v>0</v>
      </c>
      <c r="Q1142" t="n">
        <v>0</v>
      </c>
      <c r="R1142" s="2" t="inlineStr"/>
    </row>
    <row r="1143" ht="15" customHeight="1">
      <c r="A1143" t="inlineStr">
        <is>
          <t>A 65719-2018</t>
        </is>
      </c>
      <c r="B1143" s="1" t="n">
        <v>43433</v>
      </c>
      <c r="C1143" s="1" t="n">
        <v>45212</v>
      </c>
      <c r="D1143" t="inlineStr">
        <is>
          <t>VÄSTRA GÖTALANDS LÄN</t>
        </is>
      </c>
      <c r="E1143" t="inlineStr">
        <is>
          <t>MARK</t>
        </is>
      </c>
      <c r="G1143" t="n">
        <v>0.6</v>
      </c>
      <c r="H1143" t="n">
        <v>0</v>
      </c>
      <c r="I1143" t="n">
        <v>0</v>
      </c>
      <c r="J1143" t="n">
        <v>0</v>
      </c>
      <c r="K1143" t="n">
        <v>0</v>
      </c>
      <c r="L1143" t="n">
        <v>0</v>
      </c>
      <c r="M1143" t="n">
        <v>0</v>
      </c>
      <c r="N1143" t="n">
        <v>0</v>
      </c>
      <c r="O1143" t="n">
        <v>0</v>
      </c>
      <c r="P1143" t="n">
        <v>0</v>
      </c>
      <c r="Q1143" t="n">
        <v>0</v>
      </c>
      <c r="R1143" s="2" t="inlineStr"/>
    </row>
    <row r="1144" ht="15" customHeight="1">
      <c r="A1144" t="inlineStr">
        <is>
          <t>A 65786-2018</t>
        </is>
      </c>
      <c r="B1144" s="1" t="n">
        <v>43433</v>
      </c>
      <c r="C1144" s="1" t="n">
        <v>45212</v>
      </c>
      <c r="D1144" t="inlineStr">
        <is>
          <t>VÄSTRA GÖTALANDS LÄN</t>
        </is>
      </c>
      <c r="E1144" t="inlineStr">
        <is>
          <t>TRANEMO</t>
        </is>
      </c>
      <c r="G1144" t="n">
        <v>1</v>
      </c>
      <c r="H1144" t="n">
        <v>0</v>
      </c>
      <c r="I1144" t="n">
        <v>0</v>
      </c>
      <c r="J1144" t="n">
        <v>0</v>
      </c>
      <c r="K1144" t="n">
        <v>0</v>
      </c>
      <c r="L1144" t="n">
        <v>0</v>
      </c>
      <c r="M1144" t="n">
        <v>0</v>
      </c>
      <c r="N1144" t="n">
        <v>0</v>
      </c>
      <c r="O1144" t="n">
        <v>0</v>
      </c>
      <c r="P1144" t="n">
        <v>0</v>
      </c>
      <c r="Q1144" t="n">
        <v>0</v>
      </c>
      <c r="R1144" s="2" t="inlineStr"/>
    </row>
    <row r="1145" ht="15" customHeight="1">
      <c r="A1145" t="inlineStr">
        <is>
          <t>A 17032-2019</t>
        </is>
      </c>
      <c r="B1145" s="1" t="n">
        <v>43433</v>
      </c>
      <c r="C1145" s="1" t="n">
        <v>45212</v>
      </c>
      <c r="D1145" t="inlineStr">
        <is>
          <t>VÄSTRA GÖTALANDS LÄN</t>
        </is>
      </c>
      <c r="E1145" t="inlineStr">
        <is>
          <t>GRÄSTORP</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65903-2018</t>
        </is>
      </c>
      <c r="B1146" s="1" t="n">
        <v>43434</v>
      </c>
      <c r="C1146" s="1" t="n">
        <v>45212</v>
      </c>
      <c r="D1146" t="inlineStr">
        <is>
          <t>VÄSTRA GÖTALANDS LÄN</t>
        </is>
      </c>
      <c r="E1146" t="inlineStr">
        <is>
          <t>TIDAHOLM</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65941-2018</t>
        </is>
      </c>
      <c r="B1147" s="1" t="n">
        <v>43434</v>
      </c>
      <c r="C1147" s="1" t="n">
        <v>45212</v>
      </c>
      <c r="D1147" t="inlineStr">
        <is>
          <t>VÄSTRA GÖTALANDS LÄN</t>
        </is>
      </c>
      <c r="E1147" t="inlineStr">
        <is>
          <t>FÄRGELANDA</t>
        </is>
      </c>
      <c r="G1147" t="n">
        <v>2.3</v>
      </c>
      <c r="H1147" t="n">
        <v>0</v>
      </c>
      <c r="I1147" t="n">
        <v>0</v>
      </c>
      <c r="J1147" t="n">
        <v>0</v>
      </c>
      <c r="K1147" t="n">
        <v>0</v>
      </c>
      <c r="L1147" t="n">
        <v>0</v>
      </c>
      <c r="M1147" t="n">
        <v>0</v>
      </c>
      <c r="N1147" t="n">
        <v>0</v>
      </c>
      <c r="O1147" t="n">
        <v>0</v>
      </c>
      <c r="P1147" t="n">
        <v>0</v>
      </c>
      <c r="Q1147" t="n">
        <v>0</v>
      </c>
      <c r="R1147" s="2" t="inlineStr"/>
    </row>
    <row r="1148" ht="15" customHeight="1">
      <c r="A1148" t="inlineStr">
        <is>
          <t>A 66029-2018</t>
        </is>
      </c>
      <c r="B1148" s="1" t="n">
        <v>43434</v>
      </c>
      <c r="C1148" s="1" t="n">
        <v>45212</v>
      </c>
      <c r="D1148" t="inlineStr">
        <is>
          <t>VÄSTRA GÖTALANDS LÄN</t>
        </is>
      </c>
      <c r="E1148" t="inlineStr">
        <is>
          <t>MELLERUD</t>
        </is>
      </c>
      <c r="G1148" t="n">
        <v>8.6</v>
      </c>
      <c r="H1148" t="n">
        <v>0</v>
      </c>
      <c r="I1148" t="n">
        <v>0</v>
      </c>
      <c r="J1148" t="n">
        <v>0</v>
      </c>
      <c r="K1148" t="n">
        <v>0</v>
      </c>
      <c r="L1148" t="n">
        <v>0</v>
      </c>
      <c r="M1148" t="n">
        <v>0</v>
      </c>
      <c r="N1148" t="n">
        <v>0</v>
      </c>
      <c r="O1148" t="n">
        <v>0</v>
      </c>
      <c r="P1148" t="n">
        <v>0</v>
      </c>
      <c r="Q1148" t="n">
        <v>0</v>
      </c>
      <c r="R1148" s="2" t="inlineStr"/>
    </row>
    <row r="1149" ht="15" customHeight="1">
      <c r="A1149" t="inlineStr">
        <is>
          <t>A 66049-2018</t>
        </is>
      </c>
      <c r="B1149" s="1" t="n">
        <v>43434</v>
      </c>
      <c r="C1149" s="1" t="n">
        <v>45212</v>
      </c>
      <c r="D1149" t="inlineStr">
        <is>
          <t>VÄSTRA GÖTALANDS LÄN</t>
        </is>
      </c>
      <c r="E1149" t="inlineStr">
        <is>
          <t>ULRICEHAMN</t>
        </is>
      </c>
      <c r="G1149" t="n">
        <v>1.9</v>
      </c>
      <c r="H1149" t="n">
        <v>0</v>
      </c>
      <c r="I1149" t="n">
        <v>0</v>
      </c>
      <c r="J1149" t="n">
        <v>0</v>
      </c>
      <c r="K1149" t="n">
        <v>0</v>
      </c>
      <c r="L1149" t="n">
        <v>0</v>
      </c>
      <c r="M1149" t="n">
        <v>0</v>
      </c>
      <c r="N1149" t="n">
        <v>0</v>
      </c>
      <c r="O1149" t="n">
        <v>0</v>
      </c>
      <c r="P1149" t="n">
        <v>0</v>
      </c>
      <c r="Q1149" t="n">
        <v>0</v>
      </c>
      <c r="R1149" s="2" t="inlineStr"/>
    </row>
    <row r="1150" ht="15" customHeight="1">
      <c r="A1150" t="inlineStr">
        <is>
          <t>A 66147-2018</t>
        </is>
      </c>
      <c r="B1150" s="1" t="n">
        <v>43434</v>
      </c>
      <c r="C1150" s="1" t="n">
        <v>45212</v>
      </c>
      <c r="D1150" t="inlineStr">
        <is>
          <t>VÄSTRA GÖTALANDS LÄN</t>
        </is>
      </c>
      <c r="E1150" t="inlineStr">
        <is>
          <t>TROLLHÄTTAN</t>
        </is>
      </c>
      <c r="G1150" t="n">
        <v>0.7</v>
      </c>
      <c r="H1150" t="n">
        <v>0</v>
      </c>
      <c r="I1150" t="n">
        <v>0</v>
      </c>
      <c r="J1150" t="n">
        <v>0</v>
      </c>
      <c r="K1150" t="n">
        <v>0</v>
      </c>
      <c r="L1150" t="n">
        <v>0</v>
      </c>
      <c r="M1150" t="n">
        <v>0</v>
      </c>
      <c r="N1150" t="n">
        <v>0</v>
      </c>
      <c r="O1150" t="n">
        <v>0</v>
      </c>
      <c r="P1150" t="n">
        <v>0</v>
      </c>
      <c r="Q1150" t="n">
        <v>0</v>
      </c>
      <c r="R1150" s="2" t="inlineStr"/>
    </row>
    <row r="1151" ht="15" customHeight="1">
      <c r="A1151" t="inlineStr">
        <is>
          <t>A 67684-2018</t>
        </is>
      </c>
      <c r="B1151" s="1" t="n">
        <v>43434</v>
      </c>
      <c r="C1151" s="1" t="n">
        <v>45212</v>
      </c>
      <c r="D1151" t="inlineStr">
        <is>
          <t>VÄSTRA GÖTALANDS LÄN</t>
        </is>
      </c>
      <c r="E1151" t="inlineStr">
        <is>
          <t>STRÖMSTAD</t>
        </is>
      </c>
      <c r="G1151" t="n">
        <v>1.9</v>
      </c>
      <c r="H1151" t="n">
        <v>0</v>
      </c>
      <c r="I1151" t="n">
        <v>0</v>
      </c>
      <c r="J1151" t="n">
        <v>0</v>
      </c>
      <c r="K1151" t="n">
        <v>0</v>
      </c>
      <c r="L1151" t="n">
        <v>0</v>
      </c>
      <c r="M1151" t="n">
        <v>0</v>
      </c>
      <c r="N1151" t="n">
        <v>0</v>
      </c>
      <c r="O1151" t="n">
        <v>0</v>
      </c>
      <c r="P1151" t="n">
        <v>0</v>
      </c>
      <c r="Q1151" t="n">
        <v>0</v>
      </c>
      <c r="R1151" s="2" t="inlineStr"/>
    </row>
    <row r="1152" ht="15" customHeight="1">
      <c r="A1152" t="inlineStr">
        <is>
          <t>A 67858-2018</t>
        </is>
      </c>
      <c r="B1152" s="1" t="n">
        <v>43434</v>
      </c>
      <c r="C1152" s="1" t="n">
        <v>45212</v>
      </c>
      <c r="D1152" t="inlineStr">
        <is>
          <t>VÄSTRA GÖTALANDS LÄN</t>
        </is>
      </c>
      <c r="E1152" t="inlineStr">
        <is>
          <t>KARLSBORG</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66050-2018</t>
        </is>
      </c>
      <c r="B1153" s="1" t="n">
        <v>43434</v>
      </c>
      <c r="C1153" s="1" t="n">
        <v>45212</v>
      </c>
      <c r="D1153" t="inlineStr">
        <is>
          <t>VÄSTRA GÖTALANDS LÄN</t>
        </is>
      </c>
      <c r="E1153" t="inlineStr">
        <is>
          <t>MELLERUD</t>
        </is>
      </c>
      <c r="G1153" t="n">
        <v>13.7</v>
      </c>
      <c r="H1153" t="n">
        <v>0</v>
      </c>
      <c r="I1153" t="n">
        <v>0</v>
      </c>
      <c r="J1153" t="n">
        <v>0</v>
      </c>
      <c r="K1153" t="n">
        <v>0</v>
      </c>
      <c r="L1153" t="n">
        <v>0</v>
      </c>
      <c r="M1153" t="n">
        <v>0</v>
      </c>
      <c r="N1153" t="n">
        <v>0</v>
      </c>
      <c r="O1153" t="n">
        <v>0</v>
      </c>
      <c r="P1153" t="n">
        <v>0</v>
      </c>
      <c r="Q1153" t="n">
        <v>0</v>
      </c>
      <c r="R1153" s="2" t="inlineStr"/>
    </row>
    <row r="1154" ht="15" customHeight="1">
      <c r="A1154" t="inlineStr">
        <is>
          <t>A 66068-2018</t>
        </is>
      </c>
      <c r="B1154" s="1" t="n">
        <v>43434</v>
      </c>
      <c r="C1154" s="1" t="n">
        <v>45212</v>
      </c>
      <c r="D1154" t="inlineStr">
        <is>
          <t>VÄSTRA GÖTALANDS LÄN</t>
        </is>
      </c>
      <c r="E1154" t="inlineStr">
        <is>
          <t>MELLERUD</t>
        </is>
      </c>
      <c r="G1154" t="n">
        <v>6.7</v>
      </c>
      <c r="H1154" t="n">
        <v>0</v>
      </c>
      <c r="I1154" t="n">
        <v>0</v>
      </c>
      <c r="J1154" t="n">
        <v>0</v>
      </c>
      <c r="K1154" t="n">
        <v>0</v>
      </c>
      <c r="L1154" t="n">
        <v>0</v>
      </c>
      <c r="M1154" t="n">
        <v>0</v>
      </c>
      <c r="N1154" t="n">
        <v>0</v>
      </c>
      <c r="O1154" t="n">
        <v>0</v>
      </c>
      <c r="P1154" t="n">
        <v>0</v>
      </c>
      <c r="Q1154" t="n">
        <v>0</v>
      </c>
      <c r="R1154" s="2" t="inlineStr"/>
    </row>
    <row r="1155" ht="15" customHeight="1">
      <c r="A1155" t="inlineStr">
        <is>
          <t>A 66151-2018</t>
        </is>
      </c>
      <c r="B1155" s="1" t="n">
        <v>43434</v>
      </c>
      <c r="C1155" s="1" t="n">
        <v>45212</v>
      </c>
      <c r="D1155" t="inlineStr">
        <is>
          <t>VÄSTRA GÖTALANDS LÄN</t>
        </is>
      </c>
      <c r="E1155" t="inlineStr">
        <is>
          <t>LIDKÖPING</t>
        </is>
      </c>
      <c r="G1155" t="n">
        <v>3.9</v>
      </c>
      <c r="H1155" t="n">
        <v>0</v>
      </c>
      <c r="I1155" t="n">
        <v>0</v>
      </c>
      <c r="J1155" t="n">
        <v>0</v>
      </c>
      <c r="K1155" t="n">
        <v>0</v>
      </c>
      <c r="L1155" t="n">
        <v>0</v>
      </c>
      <c r="M1155" t="n">
        <v>0</v>
      </c>
      <c r="N1155" t="n">
        <v>0</v>
      </c>
      <c r="O1155" t="n">
        <v>0</v>
      </c>
      <c r="P1155" t="n">
        <v>0</v>
      </c>
      <c r="Q1155" t="n">
        <v>0</v>
      </c>
      <c r="R1155" s="2" t="inlineStr"/>
    </row>
    <row r="1156" ht="15" customHeight="1">
      <c r="A1156" t="inlineStr">
        <is>
          <t>A 66175-2018</t>
        </is>
      </c>
      <c r="B1156" s="1" t="n">
        <v>43434</v>
      </c>
      <c r="C1156" s="1" t="n">
        <v>45212</v>
      </c>
      <c r="D1156" t="inlineStr">
        <is>
          <t>VÄSTRA GÖTALANDS LÄN</t>
        </is>
      </c>
      <c r="E1156" t="inlineStr">
        <is>
          <t>SKÖVDE</t>
        </is>
      </c>
      <c r="G1156" t="n">
        <v>4.1</v>
      </c>
      <c r="H1156" t="n">
        <v>0</v>
      </c>
      <c r="I1156" t="n">
        <v>0</v>
      </c>
      <c r="J1156" t="n">
        <v>0</v>
      </c>
      <c r="K1156" t="n">
        <v>0</v>
      </c>
      <c r="L1156" t="n">
        <v>0</v>
      </c>
      <c r="M1156" t="n">
        <v>0</v>
      </c>
      <c r="N1156" t="n">
        <v>0</v>
      </c>
      <c r="O1156" t="n">
        <v>0</v>
      </c>
      <c r="P1156" t="n">
        <v>0</v>
      </c>
      <c r="Q1156" t="n">
        <v>0</v>
      </c>
      <c r="R1156" s="2" t="inlineStr"/>
    </row>
    <row r="1157" ht="15" customHeight="1">
      <c r="A1157" t="inlineStr">
        <is>
          <t>A 65913-2018</t>
        </is>
      </c>
      <c r="B1157" s="1" t="n">
        <v>43434</v>
      </c>
      <c r="C1157" s="1" t="n">
        <v>45212</v>
      </c>
      <c r="D1157" t="inlineStr">
        <is>
          <t>VÄSTRA GÖTALANDS LÄN</t>
        </is>
      </c>
      <c r="E1157" t="inlineStr">
        <is>
          <t>TIDAHOLM</t>
        </is>
      </c>
      <c r="G1157" t="n">
        <v>1.6</v>
      </c>
      <c r="H1157" t="n">
        <v>0</v>
      </c>
      <c r="I1157" t="n">
        <v>0</v>
      </c>
      <c r="J1157" t="n">
        <v>0</v>
      </c>
      <c r="K1157" t="n">
        <v>0</v>
      </c>
      <c r="L1157" t="n">
        <v>0</v>
      </c>
      <c r="M1157" t="n">
        <v>0</v>
      </c>
      <c r="N1157" t="n">
        <v>0</v>
      </c>
      <c r="O1157" t="n">
        <v>0</v>
      </c>
      <c r="P1157" t="n">
        <v>0</v>
      </c>
      <c r="Q1157" t="n">
        <v>0</v>
      </c>
      <c r="R1157" s="2" t="inlineStr"/>
    </row>
    <row r="1158" ht="15" customHeight="1">
      <c r="A1158" t="inlineStr">
        <is>
          <t>A 65934-2018</t>
        </is>
      </c>
      <c r="B1158" s="1" t="n">
        <v>43434</v>
      </c>
      <c r="C1158" s="1" t="n">
        <v>45212</v>
      </c>
      <c r="D1158" t="inlineStr">
        <is>
          <t>VÄSTRA GÖTALANDS LÄN</t>
        </is>
      </c>
      <c r="E1158" t="inlineStr">
        <is>
          <t>FÄRGELANDA</t>
        </is>
      </c>
      <c r="G1158" t="n">
        <v>3.2</v>
      </c>
      <c r="H1158" t="n">
        <v>0</v>
      </c>
      <c r="I1158" t="n">
        <v>0</v>
      </c>
      <c r="J1158" t="n">
        <v>0</v>
      </c>
      <c r="K1158" t="n">
        <v>0</v>
      </c>
      <c r="L1158" t="n">
        <v>0</v>
      </c>
      <c r="M1158" t="n">
        <v>0</v>
      </c>
      <c r="N1158" t="n">
        <v>0</v>
      </c>
      <c r="O1158" t="n">
        <v>0</v>
      </c>
      <c r="P1158" t="n">
        <v>0</v>
      </c>
      <c r="Q1158" t="n">
        <v>0</v>
      </c>
      <c r="R1158" s="2" t="inlineStr"/>
    </row>
    <row r="1159" ht="15" customHeight="1">
      <c r="A1159" t="inlineStr">
        <is>
          <t>A 65952-2018</t>
        </is>
      </c>
      <c r="B1159" s="1" t="n">
        <v>43434</v>
      </c>
      <c r="C1159" s="1" t="n">
        <v>45212</v>
      </c>
      <c r="D1159" t="inlineStr">
        <is>
          <t>VÄSTRA GÖTALANDS LÄN</t>
        </is>
      </c>
      <c r="E1159" t="inlineStr">
        <is>
          <t>MELLERUD</t>
        </is>
      </c>
      <c r="G1159" t="n">
        <v>1.7</v>
      </c>
      <c r="H1159" t="n">
        <v>0</v>
      </c>
      <c r="I1159" t="n">
        <v>0</v>
      </c>
      <c r="J1159" t="n">
        <v>0</v>
      </c>
      <c r="K1159" t="n">
        <v>0</v>
      </c>
      <c r="L1159" t="n">
        <v>0</v>
      </c>
      <c r="M1159" t="n">
        <v>0</v>
      </c>
      <c r="N1159" t="n">
        <v>0</v>
      </c>
      <c r="O1159" t="n">
        <v>0</v>
      </c>
      <c r="P1159" t="n">
        <v>0</v>
      </c>
      <c r="Q1159" t="n">
        <v>0</v>
      </c>
      <c r="R1159" s="2" t="inlineStr"/>
    </row>
    <row r="1160" ht="15" customHeight="1">
      <c r="A1160" t="inlineStr">
        <is>
          <t>A 66069-2018</t>
        </is>
      </c>
      <c r="B1160" s="1" t="n">
        <v>43434</v>
      </c>
      <c r="C1160" s="1" t="n">
        <v>45212</v>
      </c>
      <c r="D1160" t="inlineStr">
        <is>
          <t>VÄSTRA GÖTALANDS LÄN</t>
        </is>
      </c>
      <c r="E1160" t="inlineStr">
        <is>
          <t>GRÄSTORP</t>
        </is>
      </c>
      <c r="G1160" t="n">
        <v>4.1</v>
      </c>
      <c r="H1160" t="n">
        <v>0</v>
      </c>
      <c r="I1160" t="n">
        <v>0</v>
      </c>
      <c r="J1160" t="n">
        <v>0</v>
      </c>
      <c r="K1160" t="n">
        <v>0</v>
      </c>
      <c r="L1160" t="n">
        <v>0</v>
      </c>
      <c r="M1160" t="n">
        <v>0</v>
      </c>
      <c r="N1160" t="n">
        <v>0</v>
      </c>
      <c r="O1160" t="n">
        <v>0</v>
      </c>
      <c r="P1160" t="n">
        <v>0</v>
      </c>
      <c r="Q1160" t="n">
        <v>0</v>
      </c>
      <c r="R1160" s="2" t="inlineStr"/>
    </row>
    <row r="1161" ht="15" customHeight="1">
      <c r="A1161" t="inlineStr">
        <is>
          <t>A 67720-2018</t>
        </is>
      </c>
      <c r="B1161" s="1" t="n">
        <v>43434</v>
      </c>
      <c r="C1161" s="1" t="n">
        <v>45212</v>
      </c>
      <c r="D1161" t="inlineStr">
        <is>
          <t>VÄSTRA GÖTALANDS LÄN</t>
        </is>
      </c>
      <c r="E1161" t="inlineStr">
        <is>
          <t>SKÖVDE</t>
        </is>
      </c>
      <c r="G1161" t="n">
        <v>0.6</v>
      </c>
      <c r="H1161" t="n">
        <v>0</v>
      </c>
      <c r="I1161" t="n">
        <v>0</v>
      </c>
      <c r="J1161" t="n">
        <v>0</v>
      </c>
      <c r="K1161" t="n">
        <v>0</v>
      </c>
      <c r="L1161" t="n">
        <v>0</v>
      </c>
      <c r="M1161" t="n">
        <v>0</v>
      </c>
      <c r="N1161" t="n">
        <v>0</v>
      </c>
      <c r="O1161" t="n">
        <v>0</v>
      </c>
      <c r="P1161" t="n">
        <v>0</v>
      </c>
      <c r="Q1161" t="n">
        <v>0</v>
      </c>
      <c r="R1161" s="2" t="inlineStr"/>
    </row>
    <row r="1162" ht="15" customHeight="1">
      <c r="A1162" t="inlineStr">
        <is>
          <t>A 67864-2018</t>
        </is>
      </c>
      <c r="B1162" s="1" t="n">
        <v>43434</v>
      </c>
      <c r="C1162" s="1" t="n">
        <v>45212</v>
      </c>
      <c r="D1162" t="inlineStr">
        <is>
          <t>VÄSTRA GÖTALANDS LÄN</t>
        </is>
      </c>
      <c r="E1162" t="inlineStr">
        <is>
          <t>KARLSBORG</t>
        </is>
      </c>
      <c r="G1162" t="n">
        <v>1.5</v>
      </c>
      <c r="H1162" t="n">
        <v>0</v>
      </c>
      <c r="I1162" t="n">
        <v>0</v>
      </c>
      <c r="J1162" t="n">
        <v>0</v>
      </c>
      <c r="K1162" t="n">
        <v>0</v>
      </c>
      <c r="L1162" t="n">
        <v>0</v>
      </c>
      <c r="M1162" t="n">
        <v>0</v>
      </c>
      <c r="N1162" t="n">
        <v>0</v>
      </c>
      <c r="O1162" t="n">
        <v>0</v>
      </c>
      <c r="P1162" t="n">
        <v>0</v>
      </c>
      <c r="Q1162" t="n">
        <v>0</v>
      </c>
      <c r="R1162" s="2" t="inlineStr"/>
    </row>
    <row r="1163" ht="15" customHeight="1">
      <c r="A1163" t="inlineStr">
        <is>
          <t>A 66044-2018</t>
        </is>
      </c>
      <c r="B1163" s="1" t="n">
        <v>43434</v>
      </c>
      <c r="C1163" s="1" t="n">
        <v>45212</v>
      </c>
      <c r="D1163" t="inlineStr">
        <is>
          <t>VÄSTRA GÖTALANDS LÄN</t>
        </is>
      </c>
      <c r="E1163" t="inlineStr">
        <is>
          <t>BORÅS</t>
        </is>
      </c>
      <c r="G1163" t="n">
        <v>8.699999999999999</v>
      </c>
      <c r="H1163" t="n">
        <v>0</v>
      </c>
      <c r="I1163" t="n">
        <v>0</v>
      </c>
      <c r="J1163" t="n">
        <v>0</v>
      </c>
      <c r="K1163" t="n">
        <v>0</v>
      </c>
      <c r="L1163" t="n">
        <v>0</v>
      </c>
      <c r="M1163" t="n">
        <v>0</v>
      </c>
      <c r="N1163" t="n">
        <v>0</v>
      </c>
      <c r="O1163" t="n">
        <v>0</v>
      </c>
      <c r="P1163" t="n">
        <v>0</v>
      </c>
      <c r="Q1163" t="n">
        <v>0</v>
      </c>
      <c r="R1163" s="2" t="inlineStr"/>
    </row>
    <row r="1164" ht="15" customHeight="1">
      <c r="A1164" t="inlineStr">
        <is>
          <t>A 67723-2018</t>
        </is>
      </c>
      <c r="B1164" s="1" t="n">
        <v>43434</v>
      </c>
      <c r="C1164" s="1" t="n">
        <v>45212</v>
      </c>
      <c r="D1164" t="inlineStr">
        <is>
          <t>VÄSTRA GÖTALANDS LÄN</t>
        </is>
      </c>
      <c r="E1164" t="inlineStr">
        <is>
          <t>HJO</t>
        </is>
      </c>
      <c r="G1164" t="n">
        <v>1.9</v>
      </c>
      <c r="H1164" t="n">
        <v>0</v>
      </c>
      <c r="I1164" t="n">
        <v>0</v>
      </c>
      <c r="J1164" t="n">
        <v>0</v>
      </c>
      <c r="K1164" t="n">
        <v>0</v>
      </c>
      <c r="L1164" t="n">
        <v>0</v>
      </c>
      <c r="M1164" t="n">
        <v>0</v>
      </c>
      <c r="N1164" t="n">
        <v>0</v>
      </c>
      <c r="O1164" t="n">
        <v>0</v>
      </c>
      <c r="P1164" t="n">
        <v>0</v>
      </c>
      <c r="Q1164" t="n">
        <v>0</v>
      </c>
      <c r="R1164" s="2" t="inlineStr"/>
    </row>
    <row r="1165" ht="15" customHeight="1">
      <c r="A1165" t="inlineStr">
        <is>
          <t>A 67739-2018</t>
        </is>
      </c>
      <c r="B1165" s="1" t="n">
        <v>43434</v>
      </c>
      <c r="C1165" s="1" t="n">
        <v>45212</v>
      </c>
      <c r="D1165" t="inlineStr">
        <is>
          <t>VÄSTRA GÖTALANDS LÄN</t>
        </is>
      </c>
      <c r="E1165" t="inlineStr">
        <is>
          <t>DALS-ED</t>
        </is>
      </c>
      <c r="F1165" t="inlineStr">
        <is>
          <t>Bergvik skog väst AB</t>
        </is>
      </c>
      <c r="G1165" t="n">
        <v>11.5</v>
      </c>
      <c r="H1165" t="n">
        <v>0</v>
      </c>
      <c r="I1165" t="n">
        <v>0</v>
      </c>
      <c r="J1165" t="n">
        <v>0</v>
      </c>
      <c r="K1165" t="n">
        <v>0</v>
      </c>
      <c r="L1165" t="n">
        <v>0</v>
      </c>
      <c r="M1165" t="n">
        <v>0</v>
      </c>
      <c r="N1165" t="n">
        <v>0</v>
      </c>
      <c r="O1165" t="n">
        <v>0</v>
      </c>
      <c r="P1165" t="n">
        <v>0</v>
      </c>
      <c r="Q1165" t="n">
        <v>0</v>
      </c>
      <c r="R1165" s="2" t="inlineStr"/>
    </row>
    <row r="1166" ht="15" customHeight="1">
      <c r="A1166" t="inlineStr">
        <is>
          <t>A 67872-2018</t>
        </is>
      </c>
      <c r="B1166" s="1" t="n">
        <v>43434</v>
      </c>
      <c r="C1166" s="1" t="n">
        <v>45212</v>
      </c>
      <c r="D1166" t="inlineStr">
        <is>
          <t>VÄSTRA GÖTALANDS LÄN</t>
        </is>
      </c>
      <c r="E1166" t="inlineStr">
        <is>
          <t>TANUM</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66353-2018</t>
        </is>
      </c>
      <c r="B1167" s="1" t="n">
        <v>43436</v>
      </c>
      <c r="C1167" s="1" t="n">
        <v>45212</v>
      </c>
      <c r="D1167" t="inlineStr">
        <is>
          <t>VÄSTRA GÖTALANDS LÄN</t>
        </is>
      </c>
      <c r="E1167" t="inlineStr">
        <is>
          <t>ULRICEHAMN</t>
        </is>
      </c>
      <c r="G1167" t="n">
        <v>1.7</v>
      </c>
      <c r="H1167" t="n">
        <v>0</v>
      </c>
      <c r="I1167" t="n">
        <v>0</v>
      </c>
      <c r="J1167" t="n">
        <v>0</v>
      </c>
      <c r="K1167" t="n">
        <v>0</v>
      </c>
      <c r="L1167" t="n">
        <v>0</v>
      </c>
      <c r="M1167" t="n">
        <v>0</v>
      </c>
      <c r="N1167" t="n">
        <v>0</v>
      </c>
      <c r="O1167" t="n">
        <v>0</v>
      </c>
      <c r="P1167" t="n">
        <v>0</v>
      </c>
      <c r="Q1167" t="n">
        <v>0</v>
      </c>
      <c r="R1167" s="2" t="inlineStr"/>
    </row>
    <row r="1168" ht="15" customHeight="1">
      <c r="A1168" t="inlineStr">
        <is>
          <t>A 66361-2018</t>
        </is>
      </c>
      <c r="B1168" s="1" t="n">
        <v>43436</v>
      </c>
      <c r="C1168" s="1" t="n">
        <v>45212</v>
      </c>
      <c r="D1168" t="inlineStr">
        <is>
          <t>VÄSTRA GÖTALANDS LÄN</t>
        </is>
      </c>
      <c r="E1168" t="inlineStr">
        <is>
          <t>ÅMÅL</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66355-2018</t>
        </is>
      </c>
      <c r="B1169" s="1" t="n">
        <v>43436</v>
      </c>
      <c r="C1169" s="1" t="n">
        <v>45212</v>
      </c>
      <c r="D1169" t="inlineStr">
        <is>
          <t>VÄSTRA GÖTALANDS LÄN</t>
        </is>
      </c>
      <c r="E1169" t="inlineStr">
        <is>
          <t>MARK</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66362-2018</t>
        </is>
      </c>
      <c r="B1170" s="1" t="n">
        <v>43436</v>
      </c>
      <c r="C1170" s="1" t="n">
        <v>45212</v>
      </c>
      <c r="D1170" t="inlineStr">
        <is>
          <t>VÄSTRA GÖTALANDS LÄN</t>
        </is>
      </c>
      <c r="E1170" t="inlineStr">
        <is>
          <t>ÅMÅL</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66422-2018</t>
        </is>
      </c>
      <c r="B1171" s="1" t="n">
        <v>43437</v>
      </c>
      <c r="C1171" s="1" t="n">
        <v>45212</v>
      </c>
      <c r="D1171" t="inlineStr">
        <is>
          <t>VÄSTRA GÖTALANDS LÄN</t>
        </is>
      </c>
      <c r="E1171" t="inlineStr">
        <is>
          <t>SVENLJUNGA</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66803-2018</t>
        </is>
      </c>
      <c r="B1172" s="1" t="n">
        <v>43437</v>
      </c>
      <c r="C1172" s="1" t="n">
        <v>45212</v>
      </c>
      <c r="D1172" t="inlineStr">
        <is>
          <t>VÄSTRA GÖTALANDS LÄN</t>
        </is>
      </c>
      <c r="E1172" t="inlineStr">
        <is>
          <t>ULRICEHAMN</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68172-2018</t>
        </is>
      </c>
      <c r="B1173" s="1" t="n">
        <v>43437</v>
      </c>
      <c r="C1173" s="1" t="n">
        <v>45212</v>
      </c>
      <c r="D1173" t="inlineStr">
        <is>
          <t>VÄSTRA GÖTALANDS LÄN</t>
        </is>
      </c>
      <c r="E1173" t="inlineStr">
        <is>
          <t>SOTENÄS</t>
        </is>
      </c>
      <c r="G1173" t="n">
        <v>6</v>
      </c>
      <c r="H1173" t="n">
        <v>0</v>
      </c>
      <c r="I1173" t="n">
        <v>0</v>
      </c>
      <c r="J1173" t="n">
        <v>0</v>
      </c>
      <c r="K1173" t="n">
        <v>0</v>
      </c>
      <c r="L1173" t="n">
        <v>0</v>
      </c>
      <c r="M1173" t="n">
        <v>0</v>
      </c>
      <c r="N1173" t="n">
        <v>0</v>
      </c>
      <c r="O1173" t="n">
        <v>0</v>
      </c>
      <c r="P1173" t="n">
        <v>0</v>
      </c>
      <c r="Q1173" t="n">
        <v>0</v>
      </c>
      <c r="R1173" s="2" t="inlineStr"/>
    </row>
    <row r="1174" ht="15" customHeight="1">
      <c r="A1174" t="inlineStr">
        <is>
          <t>A 66694-2018</t>
        </is>
      </c>
      <c r="B1174" s="1" t="n">
        <v>43437</v>
      </c>
      <c r="C1174" s="1" t="n">
        <v>45212</v>
      </c>
      <c r="D1174" t="inlineStr">
        <is>
          <t>VÄSTRA GÖTALANDS LÄN</t>
        </is>
      </c>
      <c r="E1174" t="inlineStr">
        <is>
          <t>MELLERUD</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66765-2018</t>
        </is>
      </c>
      <c r="B1175" s="1" t="n">
        <v>43437</v>
      </c>
      <c r="C1175" s="1" t="n">
        <v>45212</v>
      </c>
      <c r="D1175" t="inlineStr">
        <is>
          <t>VÄSTRA GÖTALANDS LÄN</t>
        </is>
      </c>
      <c r="E1175" t="inlineStr">
        <is>
          <t>SKARA</t>
        </is>
      </c>
      <c r="F1175" t="inlineStr">
        <is>
          <t>Kyrkan</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66800-2018</t>
        </is>
      </c>
      <c r="B1176" s="1" t="n">
        <v>43437</v>
      </c>
      <c r="C1176" s="1" t="n">
        <v>45212</v>
      </c>
      <c r="D1176" t="inlineStr">
        <is>
          <t>VÄSTRA GÖTALANDS LÄN</t>
        </is>
      </c>
      <c r="E1176" t="inlineStr">
        <is>
          <t>MUNKEDAL</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68169-2018</t>
        </is>
      </c>
      <c r="B1177" s="1" t="n">
        <v>43437</v>
      </c>
      <c r="C1177" s="1" t="n">
        <v>45212</v>
      </c>
      <c r="D1177" t="inlineStr">
        <is>
          <t>VÄSTRA GÖTALANDS LÄN</t>
        </is>
      </c>
      <c r="E1177" t="inlineStr">
        <is>
          <t>SOTENÄS</t>
        </is>
      </c>
      <c r="G1177" t="n">
        <v>3</v>
      </c>
      <c r="H1177" t="n">
        <v>0</v>
      </c>
      <c r="I1177" t="n">
        <v>0</v>
      </c>
      <c r="J1177" t="n">
        <v>0</v>
      </c>
      <c r="K1177" t="n">
        <v>0</v>
      </c>
      <c r="L1177" t="n">
        <v>0</v>
      </c>
      <c r="M1177" t="n">
        <v>0</v>
      </c>
      <c r="N1177" t="n">
        <v>0</v>
      </c>
      <c r="O1177" t="n">
        <v>0</v>
      </c>
      <c r="P1177" t="n">
        <v>0</v>
      </c>
      <c r="Q1177" t="n">
        <v>0</v>
      </c>
      <c r="R1177" s="2" t="inlineStr"/>
    </row>
    <row r="1178" ht="15" customHeight="1">
      <c r="A1178" t="inlineStr">
        <is>
          <t>A 68194-2018</t>
        </is>
      </c>
      <c r="B1178" s="1" t="n">
        <v>43437</v>
      </c>
      <c r="C1178" s="1" t="n">
        <v>45212</v>
      </c>
      <c r="D1178" t="inlineStr">
        <is>
          <t>VÄSTRA GÖTALANDS LÄN</t>
        </is>
      </c>
      <c r="E1178" t="inlineStr">
        <is>
          <t>FÄRGELANDA</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66553-2018</t>
        </is>
      </c>
      <c r="B1179" s="1" t="n">
        <v>43437</v>
      </c>
      <c r="C1179" s="1" t="n">
        <v>45212</v>
      </c>
      <c r="D1179" t="inlineStr">
        <is>
          <t>VÄSTRA GÖTALANDS LÄN</t>
        </is>
      </c>
      <c r="E1179" t="inlineStr">
        <is>
          <t>MELLERUD</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66727-2018</t>
        </is>
      </c>
      <c r="B1180" s="1" t="n">
        <v>43437</v>
      </c>
      <c r="C1180" s="1" t="n">
        <v>45212</v>
      </c>
      <c r="D1180" t="inlineStr">
        <is>
          <t>VÄSTRA GÖTALANDS LÄN</t>
        </is>
      </c>
      <c r="E1180" t="inlineStr">
        <is>
          <t>TROLLHÄTTAN</t>
        </is>
      </c>
      <c r="G1180" t="n">
        <v>2.1</v>
      </c>
      <c r="H1180" t="n">
        <v>0</v>
      </c>
      <c r="I1180" t="n">
        <v>0</v>
      </c>
      <c r="J1180" t="n">
        <v>0</v>
      </c>
      <c r="K1180" t="n">
        <v>0</v>
      </c>
      <c r="L1180" t="n">
        <v>0</v>
      </c>
      <c r="M1180" t="n">
        <v>0</v>
      </c>
      <c r="N1180" t="n">
        <v>0</v>
      </c>
      <c r="O1180" t="n">
        <v>0</v>
      </c>
      <c r="P1180" t="n">
        <v>0</v>
      </c>
      <c r="Q1180" t="n">
        <v>0</v>
      </c>
      <c r="R1180" s="2" t="inlineStr"/>
    </row>
    <row r="1181" ht="15" customHeight="1">
      <c r="A1181" t="inlineStr">
        <is>
          <t>A 66758-2018</t>
        </is>
      </c>
      <c r="B1181" s="1" t="n">
        <v>43437</v>
      </c>
      <c r="C1181" s="1" t="n">
        <v>45212</v>
      </c>
      <c r="D1181" t="inlineStr">
        <is>
          <t>VÄSTRA GÖTALANDS LÄN</t>
        </is>
      </c>
      <c r="E1181" t="inlineStr">
        <is>
          <t>TROLLHÄTTAN</t>
        </is>
      </c>
      <c r="G1181" t="n">
        <v>2.7</v>
      </c>
      <c r="H1181" t="n">
        <v>0</v>
      </c>
      <c r="I1181" t="n">
        <v>0</v>
      </c>
      <c r="J1181" t="n">
        <v>0</v>
      </c>
      <c r="K1181" t="n">
        <v>0</v>
      </c>
      <c r="L1181" t="n">
        <v>0</v>
      </c>
      <c r="M1181" t="n">
        <v>0</v>
      </c>
      <c r="N1181" t="n">
        <v>0</v>
      </c>
      <c r="O1181" t="n">
        <v>0</v>
      </c>
      <c r="P1181" t="n">
        <v>0</v>
      </c>
      <c r="Q1181" t="n">
        <v>0</v>
      </c>
      <c r="R1181" s="2" t="inlineStr"/>
    </row>
    <row r="1182" ht="15" customHeight="1">
      <c r="A1182" t="inlineStr">
        <is>
          <t>A 68087-2018</t>
        </is>
      </c>
      <c r="B1182" s="1" t="n">
        <v>43437</v>
      </c>
      <c r="C1182" s="1" t="n">
        <v>45212</v>
      </c>
      <c r="D1182" t="inlineStr">
        <is>
          <t>VÄSTRA GÖTALANDS LÄN</t>
        </is>
      </c>
      <c r="E1182" t="inlineStr">
        <is>
          <t>HJO</t>
        </is>
      </c>
      <c r="G1182" t="n">
        <v>1.4</v>
      </c>
      <c r="H1182" t="n">
        <v>0</v>
      </c>
      <c r="I1182" t="n">
        <v>0</v>
      </c>
      <c r="J1182" t="n">
        <v>0</v>
      </c>
      <c r="K1182" t="n">
        <v>0</v>
      </c>
      <c r="L1182" t="n">
        <v>0</v>
      </c>
      <c r="M1182" t="n">
        <v>0</v>
      </c>
      <c r="N1182" t="n">
        <v>0</v>
      </c>
      <c r="O1182" t="n">
        <v>0</v>
      </c>
      <c r="P1182" t="n">
        <v>0</v>
      </c>
      <c r="Q1182" t="n">
        <v>0</v>
      </c>
      <c r="R1182" s="2" t="inlineStr"/>
    </row>
    <row r="1183" ht="15" customHeight="1">
      <c r="A1183" t="inlineStr">
        <is>
          <t>A 68174-2018</t>
        </is>
      </c>
      <c r="B1183" s="1" t="n">
        <v>43437</v>
      </c>
      <c r="C1183" s="1" t="n">
        <v>45212</v>
      </c>
      <c r="D1183" t="inlineStr">
        <is>
          <t>VÄSTRA GÖTALANDS LÄN</t>
        </is>
      </c>
      <c r="E1183" t="inlineStr">
        <is>
          <t>TÖREBODA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66400-2018</t>
        </is>
      </c>
      <c r="B1184" s="1" t="n">
        <v>43437</v>
      </c>
      <c r="C1184" s="1" t="n">
        <v>45212</v>
      </c>
      <c r="D1184" t="inlineStr">
        <is>
          <t>VÄSTRA GÖTALANDS LÄN</t>
        </is>
      </c>
      <c r="E1184" t="inlineStr">
        <is>
          <t>GRÄSTORP</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66457-2018</t>
        </is>
      </c>
      <c r="B1185" s="1" t="n">
        <v>43437</v>
      </c>
      <c r="C1185" s="1" t="n">
        <v>45212</v>
      </c>
      <c r="D1185" t="inlineStr">
        <is>
          <t>VÄSTRA GÖTALANDS LÄN</t>
        </is>
      </c>
      <c r="E1185" t="inlineStr">
        <is>
          <t>KARLSBORG</t>
        </is>
      </c>
      <c r="F1185" t="inlineStr">
        <is>
          <t>Övriga Aktiebolag</t>
        </is>
      </c>
      <c r="G1185" t="n">
        <v>1.1</v>
      </c>
      <c r="H1185" t="n">
        <v>0</v>
      </c>
      <c r="I1185" t="n">
        <v>0</v>
      </c>
      <c r="J1185" t="n">
        <v>0</v>
      </c>
      <c r="K1185" t="n">
        <v>0</v>
      </c>
      <c r="L1185" t="n">
        <v>0</v>
      </c>
      <c r="M1185" t="n">
        <v>0</v>
      </c>
      <c r="N1185" t="n">
        <v>0</v>
      </c>
      <c r="O1185" t="n">
        <v>0</v>
      </c>
      <c r="P1185" t="n">
        <v>0</v>
      </c>
      <c r="Q1185" t="n">
        <v>0</v>
      </c>
      <c r="R1185" s="2" t="inlineStr"/>
    </row>
    <row r="1186" ht="15" customHeight="1">
      <c r="A1186" t="inlineStr">
        <is>
          <t>A 66554-2018</t>
        </is>
      </c>
      <c r="B1186" s="1" t="n">
        <v>43437</v>
      </c>
      <c r="C1186" s="1" t="n">
        <v>45212</v>
      </c>
      <c r="D1186" t="inlineStr">
        <is>
          <t>VÄSTRA GÖTALANDS LÄN</t>
        </is>
      </c>
      <c r="E1186" t="inlineStr">
        <is>
          <t>SVENLJUNGA</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66568-2018</t>
        </is>
      </c>
      <c r="B1187" s="1" t="n">
        <v>43437</v>
      </c>
      <c r="C1187" s="1" t="n">
        <v>45212</v>
      </c>
      <c r="D1187" t="inlineStr">
        <is>
          <t>VÄSTRA GÖTALANDS LÄN</t>
        </is>
      </c>
      <c r="E1187" t="inlineStr">
        <is>
          <t>LERUM</t>
        </is>
      </c>
      <c r="G1187" t="n">
        <v>6.4</v>
      </c>
      <c r="H1187" t="n">
        <v>0</v>
      </c>
      <c r="I1187" t="n">
        <v>0</v>
      </c>
      <c r="J1187" t="n">
        <v>0</v>
      </c>
      <c r="K1187" t="n">
        <v>0</v>
      </c>
      <c r="L1187" t="n">
        <v>0</v>
      </c>
      <c r="M1187" t="n">
        <v>0</v>
      </c>
      <c r="N1187" t="n">
        <v>0</v>
      </c>
      <c r="O1187" t="n">
        <v>0</v>
      </c>
      <c r="P1187" t="n">
        <v>0</v>
      </c>
      <c r="Q1187" t="n">
        <v>0</v>
      </c>
      <c r="R1187" s="2" t="inlineStr"/>
    </row>
    <row r="1188" ht="15" customHeight="1">
      <c r="A1188" t="inlineStr">
        <is>
          <t>A 66791-2018</t>
        </is>
      </c>
      <c r="B1188" s="1" t="n">
        <v>43437</v>
      </c>
      <c r="C1188" s="1" t="n">
        <v>45212</v>
      </c>
      <c r="D1188" t="inlineStr">
        <is>
          <t>VÄSTRA GÖTALANDS LÄN</t>
        </is>
      </c>
      <c r="E1188" t="inlineStr">
        <is>
          <t>VARA</t>
        </is>
      </c>
      <c r="G1188" t="n">
        <v>0.7</v>
      </c>
      <c r="H1188" t="n">
        <v>0</v>
      </c>
      <c r="I1188" t="n">
        <v>0</v>
      </c>
      <c r="J1188" t="n">
        <v>0</v>
      </c>
      <c r="K1188" t="n">
        <v>0</v>
      </c>
      <c r="L1188" t="n">
        <v>0</v>
      </c>
      <c r="M1188" t="n">
        <v>0</v>
      </c>
      <c r="N1188" t="n">
        <v>0</v>
      </c>
      <c r="O1188" t="n">
        <v>0</v>
      </c>
      <c r="P1188" t="n">
        <v>0</v>
      </c>
      <c r="Q1188" t="n">
        <v>0</v>
      </c>
      <c r="R1188" s="2" t="inlineStr"/>
    </row>
    <row r="1189" ht="15" customHeight="1">
      <c r="A1189" t="inlineStr">
        <is>
          <t>A 68163-2018</t>
        </is>
      </c>
      <c r="B1189" s="1" t="n">
        <v>43437</v>
      </c>
      <c r="C1189" s="1" t="n">
        <v>45212</v>
      </c>
      <c r="D1189" t="inlineStr">
        <is>
          <t>VÄSTRA GÖTALANDS LÄN</t>
        </is>
      </c>
      <c r="E1189" t="inlineStr">
        <is>
          <t>SOTENÄS</t>
        </is>
      </c>
      <c r="G1189" t="n">
        <v>0.5</v>
      </c>
      <c r="H1189" t="n">
        <v>0</v>
      </c>
      <c r="I1189" t="n">
        <v>0</v>
      </c>
      <c r="J1189" t="n">
        <v>0</v>
      </c>
      <c r="K1189" t="n">
        <v>0</v>
      </c>
      <c r="L1189" t="n">
        <v>0</v>
      </c>
      <c r="M1189" t="n">
        <v>0</v>
      </c>
      <c r="N1189" t="n">
        <v>0</v>
      </c>
      <c r="O1189" t="n">
        <v>0</v>
      </c>
      <c r="P1189" t="n">
        <v>0</v>
      </c>
      <c r="Q1189" t="n">
        <v>0</v>
      </c>
      <c r="R1189" s="2" t="inlineStr"/>
    </row>
    <row r="1190" ht="15" customHeight="1">
      <c r="A1190" t="inlineStr">
        <is>
          <t>A 66997-2018</t>
        </is>
      </c>
      <c r="B1190" s="1" t="n">
        <v>43438</v>
      </c>
      <c r="C1190" s="1" t="n">
        <v>45212</v>
      </c>
      <c r="D1190" t="inlineStr">
        <is>
          <t>VÄSTRA GÖTALANDS LÄN</t>
        </is>
      </c>
      <c r="E1190" t="inlineStr">
        <is>
          <t>VÅRGÅRDA</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67011-2018</t>
        </is>
      </c>
      <c r="B1191" s="1" t="n">
        <v>43438</v>
      </c>
      <c r="C1191" s="1" t="n">
        <v>45212</v>
      </c>
      <c r="D1191" t="inlineStr">
        <is>
          <t>VÄSTRA GÖTALANDS LÄN</t>
        </is>
      </c>
      <c r="E1191" t="inlineStr">
        <is>
          <t>HERRLJUNGA</t>
        </is>
      </c>
      <c r="G1191" t="n">
        <v>5.5</v>
      </c>
      <c r="H1191" t="n">
        <v>0</v>
      </c>
      <c r="I1191" t="n">
        <v>0</v>
      </c>
      <c r="J1191" t="n">
        <v>0</v>
      </c>
      <c r="K1191" t="n">
        <v>0</v>
      </c>
      <c r="L1191" t="n">
        <v>0</v>
      </c>
      <c r="M1191" t="n">
        <v>0</v>
      </c>
      <c r="N1191" t="n">
        <v>0</v>
      </c>
      <c r="O1191" t="n">
        <v>0</v>
      </c>
      <c r="P1191" t="n">
        <v>0</v>
      </c>
      <c r="Q1191" t="n">
        <v>0</v>
      </c>
      <c r="R1191" s="2" t="inlineStr"/>
    </row>
    <row r="1192" ht="15" customHeight="1">
      <c r="A1192" t="inlineStr">
        <is>
          <t>A 67036-2018</t>
        </is>
      </c>
      <c r="B1192" s="1" t="n">
        <v>43438</v>
      </c>
      <c r="C1192" s="1" t="n">
        <v>45212</v>
      </c>
      <c r="D1192" t="inlineStr">
        <is>
          <t>VÄSTRA GÖTALANDS LÄN</t>
        </is>
      </c>
      <c r="E1192" t="inlineStr">
        <is>
          <t>SKÖVDE</t>
        </is>
      </c>
      <c r="F1192" t="inlineStr">
        <is>
          <t>Övriga statliga verk och myndigheter</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67108-2018</t>
        </is>
      </c>
      <c r="B1193" s="1" t="n">
        <v>43438</v>
      </c>
      <c r="C1193" s="1" t="n">
        <v>45212</v>
      </c>
      <c r="D1193" t="inlineStr">
        <is>
          <t>VÄSTRA GÖTALANDS LÄN</t>
        </is>
      </c>
      <c r="E1193" t="inlineStr">
        <is>
          <t>ULRICEHAMN</t>
        </is>
      </c>
      <c r="G1193" t="n">
        <v>1.7</v>
      </c>
      <c r="H1193" t="n">
        <v>0</v>
      </c>
      <c r="I1193" t="n">
        <v>0</v>
      </c>
      <c r="J1193" t="n">
        <v>0</v>
      </c>
      <c r="K1193" t="n">
        <v>0</v>
      </c>
      <c r="L1193" t="n">
        <v>0</v>
      </c>
      <c r="M1193" t="n">
        <v>0</v>
      </c>
      <c r="N1193" t="n">
        <v>0</v>
      </c>
      <c r="O1193" t="n">
        <v>0</v>
      </c>
      <c r="P1193" t="n">
        <v>0</v>
      </c>
      <c r="Q1193" t="n">
        <v>0</v>
      </c>
      <c r="R1193" s="2" t="inlineStr"/>
    </row>
    <row r="1194" ht="15" customHeight="1">
      <c r="A1194" t="inlineStr">
        <is>
          <t>A 67144-2018</t>
        </is>
      </c>
      <c r="B1194" s="1" t="n">
        <v>43438</v>
      </c>
      <c r="C1194" s="1" t="n">
        <v>45212</v>
      </c>
      <c r="D1194" t="inlineStr">
        <is>
          <t>VÄSTRA GÖTALANDS LÄN</t>
        </is>
      </c>
      <c r="E1194" t="inlineStr">
        <is>
          <t>LIDKÖPING</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67151-2018</t>
        </is>
      </c>
      <c r="B1195" s="1" t="n">
        <v>43438</v>
      </c>
      <c r="C1195" s="1" t="n">
        <v>45212</v>
      </c>
      <c r="D1195" t="inlineStr">
        <is>
          <t>VÄSTRA GÖTALANDS LÄN</t>
        </is>
      </c>
      <c r="E1195" t="inlineStr">
        <is>
          <t>UDDEVALLA</t>
        </is>
      </c>
      <c r="F1195" t="inlineStr">
        <is>
          <t>Kommuner</t>
        </is>
      </c>
      <c r="G1195" t="n">
        <v>1.7</v>
      </c>
      <c r="H1195" t="n">
        <v>0</v>
      </c>
      <c r="I1195" t="n">
        <v>0</v>
      </c>
      <c r="J1195" t="n">
        <v>0</v>
      </c>
      <c r="K1195" t="n">
        <v>0</v>
      </c>
      <c r="L1195" t="n">
        <v>0</v>
      </c>
      <c r="M1195" t="n">
        <v>0</v>
      </c>
      <c r="N1195" t="n">
        <v>0</v>
      </c>
      <c r="O1195" t="n">
        <v>0</v>
      </c>
      <c r="P1195" t="n">
        <v>0</v>
      </c>
      <c r="Q1195" t="n">
        <v>0</v>
      </c>
      <c r="R1195" s="2" t="inlineStr"/>
    </row>
    <row r="1196" ht="15" customHeight="1">
      <c r="A1196" t="inlineStr">
        <is>
          <t>A 68431-2018</t>
        </is>
      </c>
      <c r="B1196" s="1" t="n">
        <v>43438</v>
      </c>
      <c r="C1196" s="1" t="n">
        <v>45212</v>
      </c>
      <c r="D1196" t="inlineStr">
        <is>
          <t>VÄSTRA GÖTALANDS LÄN</t>
        </is>
      </c>
      <c r="E1196" t="inlineStr">
        <is>
          <t>BORÅS</t>
        </is>
      </c>
      <c r="F1196" t="inlineStr">
        <is>
          <t>Kommuner</t>
        </is>
      </c>
      <c r="G1196" t="n">
        <v>1.8</v>
      </c>
      <c r="H1196" t="n">
        <v>0</v>
      </c>
      <c r="I1196" t="n">
        <v>0</v>
      </c>
      <c r="J1196" t="n">
        <v>0</v>
      </c>
      <c r="K1196" t="n">
        <v>0</v>
      </c>
      <c r="L1196" t="n">
        <v>0</v>
      </c>
      <c r="M1196" t="n">
        <v>0</v>
      </c>
      <c r="N1196" t="n">
        <v>0</v>
      </c>
      <c r="O1196" t="n">
        <v>0</v>
      </c>
      <c r="P1196" t="n">
        <v>0</v>
      </c>
      <c r="Q1196" t="n">
        <v>0</v>
      </c>
      <c r="R1196" s="2" t="inlineStr"/>
    </row>
    <row r="1197" ht="15" customHeight="1">
      <c r="A1197" t="inlineStr">
        <is>
          <t>A 66916-2018</t>
        </is>
      </c>
      <c r="B1197" s="1" t="n">
        <v>43438</v>
      </c>
      <c r="C1197" s="1" t="n">
        <v>45212</v>
      </c>
      <c r="D1197" t="inlineStr">
        <is>
          <t>VÄSTRA GÖTALANDS LÄN</t>
        </is>
      </c>
      <c r="E1197" t="inlineStr">
        <is>
          <t>SVENLJUNGA</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67125-2018</t>
        </is>
      </c>
      <c r="B1198" s="1" t="n">
        <v>43438</v>
      </c>
      <c r="C1198" s="1" t="n">
        <v>45212</v>
      </c>
      <c r="D1198" t="inlineStr">
        <is>
          <t>VÄSTRA GÖTALANDS LÄN</t>
        </is>
      </c>
      <c r="E1198" t="inlineStr">
        <is>
          <t>ALE</t>
        </is>
      </c>
      <c r="G1198" t="n">
        <v>10.4</v>
      </c>
      <c r="H1198" t="n">
        <v>0</v>
      </c>
      <c r="I1198" t="n">
        <v>0</v>
      </c>
      <c r="J1198" t="n">
        <v>0</v>
      </c>
      <c r="K1198" t="n">
        <v>0</v>
      </c>
      <c r="L1198" t="n">
        <v>0</v>
      </c>
      <c r="M1198" t="n">
        <v>0</v>
      </c>
      <c r="N1198" t="n">
        <v>0</v>
      </c>
      <c r="O1198" t="n">
        <v>0</v>
      </c>
      <c r="P1198" t="n">
        <v>0</v>
      </c>
      <c r="Q1198" t="n">
        <v>0</v>
      </c>
      <c r="R1198" s="2" t="inlineStr"/>
    </row>
    <row r="1199" ht="15" customHeight="1">
      <c r="A1199" t="inlineStr">
        <is>
          <t>A 67143-2018</t>
        </is>
      </c>
      <c r="B1199" s="1" t="n">
        <v>43438</v>
      </c>
      <c r="C1199" s="1" t="n">
        <v>45212</v>
      </c>
      <c r="D1199" t="inlineStr">
        <is>
          <t>VÄSTRA GÖTALANDS LÄN</t>
        </is>
      </c>
      <c r="E1199" t="inlineStr">
        <is>
          <t>UDDEVALLA</t>
        </is>
      </c>
      <c r="G1199" t="n">
        <v>1.9</v>
      </c>
      <c r="H1199" t="n">
        <v>0</v>
      </c>
      <c r="I1199" t="n">
        <v>0</v>
      </c>
      <c r="J1199" t="n">
        <v>0</v>
      </c>
      <c r="K1199" t="n">
        <v>0</v>
      </c>
      <c r="L1199" t="n">
        <v>0</v>
      </c>
      <c r="M1199" t="n">
        <v>0</v>
      </c>
      <c r="N1199" t="n">
        <v>0</v>
      </c>
      <c r="O1199" t="n">
        <v>0</v>
      </c>
      <c r="P1199" t="n">
        <v>0</v>
      </c>
      <c r="Q1199" t="n">
        <v>0</v>
      </c>
      <c r="R1199" s="2" t="inlineStr"/>
    </row>
    <row r="1200" ht="15" customHeight="1">
      <c r="A1200" t="inlineStr">
        <is>
          <t>A 68375-2018</t>
        </is>
      </c>
      <c r="B1200" s="1" t="n">
        <v>43438</v>
      </c>
      <c r="C1200" s="1" t="n">
        <v>45212</v>
      </c>
      <c r="D1200" t="inlineStr">
        <is>
          <t>VÄSTRA GÖTALANDS LÄN</t>
        </is>
      </c>
      <c r="E1200" t="inlineStr">
        <is>
          <t>HJO</t>
        </is>
      </c>
      <c r="G1200" t="n">
        <v>11.7</v>
      </c>
      <c r="H1200" t="n">
        <v>0</v>
      </c>
      <c r="I1200" t="n">
        <v>0</v>
      </c>
      <c r="J1200" t="n">
        <v>0</v>
      </c>
      <c r="K1200" t="n">
        <v>0</v>
      </c>
      <c r="L1200" t="n">
        <v>0</v>
      </c>
      <c r="M1200" t="n">
        <v>0</v>
      </c>
      <c r="N1200" t="n">
        <v>0</v>
      </c>
      <c r="O1200" t="n">
        <v>0</v>
      </c>
      <c r="P1200" t="n">
        <v>0</v>
      </c>
      <c r="Q1200" t="n">
        <v>0</v>
      </c>
      <c r="R1200" s="2" t="inlineStr"/>
    </row>
    <row r="1201" ht="15" customHeight="1">
      <c r="A1201" t="inlineStr">
        <is>
          <t>A 68384-2018</t>
        </is>
      </c>
      <c r="B1201" s="1" t="n">
        <v>43438</v>
      </c>
      <c r="C1201" s="1" t="n">
        <v>45212</v>
      </c>
      <c r="D1201" t="inlineStr">
        <is>
          <t>VÄSTRA GÖTALANDS LÄN</t>
        </is>
      </c>
      <c r="E1201" t="inlineStr">
        <is>
          <t>SKÖVDE</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68398-2018</t>
        </is>
      </c>
      <c r="B1202" s="1" t="n">
        <v>43438</v>
      </c>
      <c r="C1202" s="1" t="n">
        <v>45212</v>
      </c>
      <c r="D1202" t="inlineStr">
        <is>
          <t>VÄSTRA GÖTALANDS LÄN</t>
        </is>
      </c>
      <c r="E1202" t="inlineStr">
        <is>
          <t>TRANEMO</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66999-2018</t>
        </is>
      </c>
      <c r="B1203" s="1" t="n">
        <v>43438</v>
      </c>
      <c r="C1203" s="1" t="n">
        <v>45212</v>
      </c>
      <c r="D1203" t="inlineStr">
        <is>
          <t>VÄSTRA GÖTALANDS LÄN</t>
        </is>
      </c>
      <c r="E1203" t="inlineStr">
        <is>
          <t>BORÅS</t>
        </is>
      </c>
      <c r="G1203" t="n">
        <v>7.9</v>
      </c>
      <c r="H1203" t="n">
        <v>0</v>
      </c>
      <c r="I1203" t="n">
        <v>0</v>
      </c>
      <c r="J1203" t="n">
        <v>0</v>
      </c>
      <c r="K1203" t="n">
        <v>0</v>
      </c>
      <c r="L1203" t="n">
        <v>0</v>
      </c>
      <c r="M1203" t="n">
        <v>0</v>
      </c>
      <c r="N1203" t="n">
        <v>0</v>
      </c>
      <c r="O1203" t="n">
        <v>0</v>
      </c>
      <c r="P1203" t="n">
        <v>0</v>
      </c>
      <c r="Q1203" t="n">
        <v>0</v>
      </c>
      <c r="R1203" s="2" t="inlineStr"/>
    </row>
    <row r="1204" ht="15" customHeight="1">
      <c r="A1204" t="inlineStr">
        <is>
          <t>A 67062-2018</t>
        </is>
      </c>
      <c r="B1204" s="1" t="n">
        <v>43438</v>
      </c>
      <c r="C1204" s="1" t="n">
        <v>45212</v>
      </c>
      <c r="D1204" t="inlineStr">
        <is>
          <t>VÄSTRA GÖTALANDS LÄN</t>
        </is>
      </c>
      <c r="E1204" t="inlineStr">
        <is>
          <t>VÅRGÅRDA</t>
        </is>
      </c>
      <c r="G1204" t="n">
        <v>1.7</v>
      </c>
      <c r="H1204" t="n">
        <v>0</v>
      </c>
      <c r="I1204" t="n">
        <v>0</v>
      </c>
      <c r="J1204" t="n">
        <v>0</v>
      </c>
      <c r="K1204" t="n">
        <v>0</v>
      </c>
      <c r="L1204" t="n">
        <v>0</v>
      </c>
      <c r="M1204" t="n">
        <v>0</v>
      </c>
      <c r="N1204" t="n">
        <v>0</v>
      </c>
      <c r="O1204" t="n">
        <v>0</v>
      </c>
      <c r="P1204" t="n">
        <v>0</v>
      </c>
      <c r="Q1204" t="n">
        <v>0</v>
      </c>
      <c r="R1204" s="2" t="inlineStr"/>
    </row>
    <row r="1205" ht="15" customHeight="1">
      <c r="A1205" t="inlineStr">
        <is>
          <t>A 67110-2018</t>
        </is>
      </c>
      <c r="B1205" s="1" t="n">
        <v>43438</v>
      </c>
      <c r="C1205" s="1" t="n">
        <v>45212</v>
      </c>
      <c r="D1205" t="inlineStr">
        <is>
          <t>VÄSTRA GÖTALANDS LÄN</t>
        </is>
      </c>
      <c r="E1205" t="inlineStr">
        <is>
          <t>TANUM</t>
        </is>
      </c>
      <c r="G1205" t="n">
        <v>1.3</v>
      </c>
      <c r="H1205" t="n">
        <v>0</v>
      </c>
      <c r="I1205" t="n">
        <v>0</v>
      </c>
      <c r="J1205" t="n">
        <v>0</v>
      </c>
      <c r="K1205" t="n">
        <v>0</v>
      </c>
      <c r="L1205" t="n">
        <v>0</v>
      </c>
      <c r="M1205" t="n">
        <v>0</v>
      </c>
      <c r="N1205" t="n">
        <v>0</v>
      </c>
      <c r="O1205" t="n">
        <v>0</v>
      </c>
      <c r="P1205" t="n">
        <v>0</v>
      </c>
      <c r="Q1205" t="n">
        <v>0</v>
      </c>
      <c r="R1205" s="2" t="inlineStr"/>
    </row>
    <row r="1206" ht="15" customHeight="1">
      <c r="A1206" t="inlineStr">
        <is>
          <t>A 67133-2018</t>
        </is>
      </c>
      <c r="B1206" s="1" t="n">
        <v>43438</v>
      </c>
      <c r="C1206" s="1" t="n">
        <v>45212</v>
      </c>
      <c r="D1206" t="inlineStr">
        <is>
          <t>VÄSTRA GÖTALANDS LÄN</t>
        </is>
      </c>
      <c r="E1206" t="inlineStr">
        <is>
          <t>ORUST</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67157-2018</t>
        </is>
      </c>
      <c r="B1207" s="1" t="n">
        <v>43438</v>
      </c>
      <c r="C1207" s="1" t="n">
        <v>45212</v>
      </c>
      <c r="D1207" t="inlineStr">
        <is>
          <t>VÄSTRA GÖTALANDS LÄN</t>
        </is>
      </c>
      <c r="E1207" t="inlineStr">
        <is>
          <t>ORUST</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68237-2018</t>
        </is>
      </c>
      <c r="B1208" s="1" t="n">
        <v>43438</v>
      </c>
      <c r="C1208" s="1" t="n">
        <v>45212</v>
      </c>
      <c r="D1208" t="inlineStr">
        <is>
          <t>VÄSTRA GÖTALANDS LÄN</t>
        </is>
      </c>
      <c r="E1208" t="inlineStr">
        <is>
          <t>STRÖMSTAD</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68432-2018</t>
        </is>
      </c>
      <c r="B1209" s="1" t="n">
        <v>43438</v>
      </c>
      <c r="C1209" s="1" t="n">
        <v>45212</v>
      </c>
      <c r="D1209" t="inlineStr">
        <is>
          <t>VÄSTRA GÖTALANDS LÄN</t>
        </is>
      </c>
      <c r="E1209" t="inlineStr">
        <is>
          <t>BORÅS</t>
        </is>
      </c>
      <c r="F1209" t="inlineStr">
        <is>
          <t>Kommuner</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66989-2018</t>
        </is>
      </c>
      <c r="B1210" s="1" t="n">
        <v>43438</v>
      </c>
      <c r="C1210" s="1" t="n">
        <v>45212</v>
      </c>
      <c r="D1210" t="inlineStr">
        <is>
          <t>VÄSTRA GÖTALANDS LÄN</t>
        </is>
      </c>
      <c r="E1210" t="inlineStr">
        <is>
          <t>BOLLEBYGD</t>
        </is>
      </c>
      <c r="G1210" t="n">
        <v>1.8</v>
      </c>
      <c r="H1210" t="n">
        <v>0</v>
      </c>
      <c r="I1210" t="n">
        <v>0</v>
      </c>
      <c r="J1210" t="n">
        <v>0</v>
      </c>
      <c r="K1210" t="n">
        <v>0</v>
      </c>
      <c r="L1210" t="n">
        <v>0</v>
      </c>
      <c r="M1210" t="n">
        <v>0</v>
      </c>
      <c r="N1210" t="n">
        <v>0</v>
      </c>
      <c r="O1210" t="n">
        <v>0</v>
      </c>
      <c r="P1210" t="n">
        <v>0</v>
      </c>
      <c r="Q1210" t="n">
        <v>0</v>
      </c>
      <c r="R1210" s="2" t="inlineStr"/>
    </row>
    <row r="1211" ht="15" customHeight="1">
      <c r="A1211" t="inlineStr">
        <is>
          <t>A 67114-2018</t>
        </is>
      </c>
      <c r="B1211" s="1" t="n">
        <v>43438</v>
      </c>
      <c r="C1211" s="1" t="n">
        <v>45212</v>
      </c>
      <c r="D1211" t="inlineStr">
        <is>
          <t>VÄSTRA GÖTALANDS LÄN</t>
        </is>
      </c>
      <c r="E1211" t="inlineStr">
        <is>
          <t>VÄNERSBORG</t>
        </is>
      </c>
      <c r="G1211" t="n">
        <v>2.6</v>
      </c>
      <c r="H1211" t="n">
        <v>0</v>
      </c>
      <c r="I1211" t="n">
        <v>0</v>
      </c>
      <c r="J1211" t="n">
        <v>0</v>
      </c>
      <c r="K1211" t="n">
        <v>0</v>
      </c>
      <c r="L1211" t="n">
        <v>0</v>
      </c>
      <c r="M1211" t="n">
        <v>0</v>
      </c>
      <c r="N1211" t="n">
        <v>0</v>
      </c>
      <c r="O1211" t="n">
        <v>0</v>
      </c>
      <c r="P1211" t="n">
        <v>0</v>
      </c>
      <c r="Q1211" t="n">
        <v>0</v>
      </c>
      <c r="R1211" s="2" t="inlineStr"/>
    </row>
    <row r="1212" ht="15" customHeight="1">
      <c r="A1212" t="inlineStr">
        <is>
          <t>A 67153-2018</t>
        </is>
      </c>
      <c r="B1212" s="1" t="n">
        <v>43438</v>
      </c>
      <c r="C1212" s="1" t="n">
        <v>45212</v>
      </c>
      <c r="D1212" t="inlineStr">
        <is>
          <t>VÄSTRA GÖTALANDS LÄN</t>
        </is>
      </c>
      <c r="E1212" t="inlineStr">
        <is>
          <t>ALINGSÅS</t>
        </is>
      </c>
      <c r="G1212" t="n">
        <v>5.5</v>
      </c>
      <c r="H1212" t="n">
        <v>0</v>
      </c>
      <c r="I1212" t="n">
        <v>0</v>
      </c>
      <c r="J1212" t="n">
        <v>0</v>
      </c>
      <c r="K1212" t="n">
        <v>0</v>
      </c>
      <c r="L1212" t="n">
        <v>0</v>
      </c>
      <c r="M1212" t="n">
        <v>0</v>
      </c>
      <c r="N1212" t="n">
        <v>0</v>
      </c>
      <c r="O1212" t="n">
        <v>0</v>
      </c>
      <c r="P1212" t="n">
        <v>0</v>
      </c>
      <c r="Q1212" t="n">
        <v>0</v>
      </c>
      <c r="R1212" s="2" t="inlineStr"/>
    </row>
    <row r="1213" ht="15" customHeight="1">
      <c r="A1213" t="inlineStr">
        <is>
          <t>A 68253-2018</t>
        </is>
      </c>
      <c r="B1213" s="1" t="n">
        <v>43438</v>
      </c>
      <c r="C1213" s="1" t="n">
        <v>45212</v>
      </c>
      <c r="D1213" t="inlineStr">
        <is>
          <t>VÄSTRA GÖTALANDS LÄN</t>
        </is>
      </c>
      <c r="E1213" t="inlineStr">
        <is>
          <t>STRÖMSTAD</t>
        </is>
      </c>
      <c r="G1213" t="n">
        <v>12.8</v>
      </c>
      <c r="H1213" t="n">
        <v>0</v>
      </c>
      <c r="I1213" t="n">
        <v>0</v>
      </c>
      <c r="J1213" t="n">
        <v>0</v>
      </c>
      <c r="K1213" t="n">
        <v>0</v>
      </c>
      <c r="L1213" t="n">
        <v>0</v>
      </c>
      <c r="M1213" t="n">
        <v>0</v>
      </c>
      <c r="N1213" t="n">
        <v>0</v>
      </c>
      <c r="O1213" t="n">
        <v>0</v>
      </c>
      <c r="P1213" t="n">
        <v>0</v>
      </c>
      <c r="Q1213" t="n">
        <v>0</v>
      </c>
      <c r="R1213" s="2" t="inlineStr"/>
    </row>
    <row r="1214" ht="15" customHeight="1">
      <c r="A1214" t="inlineStr">
        <is>
          <t>A 68428-2018</t>
        </is>
      </c>
      <c r="B1214" s="1" t="n">
        <v>43438</v>
      </c>
      <c r="C1214" s="1" t="n">
        <v>45212</v>
      </c>
      <c r="D1214" t="inlineStr">
        <is>
          <t>VÄSTRA GÖTALANDS LÄN</t>
        </is>
      </c>
      <c r="E1214" t="inlineStr">
        <is>
          <t>BORÅS</t>
        </is>
      </c>
      <c r="F1214" t="inlineStr">
        <is>
          <t>Kommuner</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67386-2018</t>
        </is>
      </c>
      <c r="B1215" s="1" t="n">
        <v>43439</v>
      </c>
      <c r="C1215" s="1" t="n">
        <v>45212</v>
      </c>
      <c r="D1215" t="inlineStr">
        <is>
          <t>VÄSTRA GÖTALANDS LÄN</t>
        </is>
      </c>
      <c r="E1215" t="inlineStr">
        <is>
          <t>MARK</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67546-2018</t>
        </is>
      </c>
      <c r="B1216" s="1" t="n">
        <v>43439</v>
      </c>
      <c r="C1216" s="1" t="n">
        <v>45212</v>
      </c>
      <c r="D1216" t="inlineStr">
        <is>
          <t>VÄSTRA GÖTALANDS LÄN</t>
        </is>
      </c>
      <c r="E1216" t="inlineStr">
        <is>
          <t>DALS-ED</t>
        </is>
      </c>
      <c r="G1216" t="n">
        <v>1.1</v>
      </c>
      <c r="H1216" t="n">
        <v>0</v>
      </c>
      <c r="I1216" t="n">
        <v>0</v>
      </c>
      <c r="J1216" t="n">
        <v>0</v>
      </c>
      <c r="K1216" t="n">
        <v>0</v>
      </c>
      <c r="L1216" t="n">
        <v>0</v>
      </c>
      <c r="M1216" t="n">
        <v>0</v>
      </c>
      <c r="N1216" t="n">
        <v>0</v>
      </c>
      <c r="O1216" t="n">
        <v>0</v>
      </c>
      <c r="P1216" t="n">
        <v>0</v>
      </c>
      <c r="Q1216" t="n">
        <v>0</v>
      </c>
      <c r="R1216" s="2" t="inlineStr"/>
    </row>
    <row r="1217" ht="15" customHeight="1">
      <c r="A1217" t="inlineStr">
        <is>
          <t>A 68739-2018</t>
        </is>
      </c>
      <c r="B1217" s="1" t="n">
        <v>43439</v>
      </c>
      <c r="C1217" s="1" t="n">
        <v>45212</v>
      </c>
      <c r="D1217" t="inlineStr">
        <is>
          <t>VÄSTRA GÖTALANDS LÄN</t>
        </is>
      </c>
      <c r="E1217" t="inlineStr">
        <is>
          <t>BENGTSFORS</t>
        </is>
      </c>
      <c r="G1217" t="n">
        <v>5.7</v>
      </c>
      <c r="H1217" t="n">
        <v>0</v>
      </c>
      <c r="I1217" t="n">
        <v>0</v>
      </c>
      <c r="J1217" t="n">
        <v>0</v>
      </c>
      <c r="K1217" t="n">
        <v>0</v>
      </c>
      <c r="L1217" t="n">
        <v>0</v>
      </c>
      <c r="M1217" t="n">
        <v>0</v>
      </c>
      <c r="N1217" t="n">
        <v>0</v>
      </c>
      <c r="O1217" t="n">
        <v>0</v>
      </c>
      <c r="P1217" t="n">
        <v>0</v>
      </c>
      <c r="Q1217" t="n">
        <v>0</v>
      </c>
      <c r="R1217" s="2" t="inlineStr"/>
    </row>
    <row r="1218" ht="15" customHeight="1">
      <c r="A1218" t="inlineStr">
        <is>
          <t>A 67231-2018</t>
        </is>
      </c>
      <c r="B1218" s="1" t="n">
        <v>43439</v>
      </c>
      <c r="C1218" s="1" t="n">
        <v>45212</v>
      </c>
      <c r="D1218" t="inlineStr">
        <is>
          <t>VÄSTRA GÖTALANDS LÄN</t>
        </is>
      </c>
      <c r="E1218" t="inlineStr">
        <is>
          <t>MARIESTAD</t>
        </is>
      </c>
      <c r="G1218" t="n">
        <v>1.5</v>
      </c>
      <c r="H1218" t="n">
        <v>0</v>
      </c>
      <c r="I1218" t="n">
        <v>0</v>
      </c>
      <c r="J1218" t="n">
        <v>0</v>
      </c>
      <c r="K1218" t="n">
        <v>0</v>
      </c>
      <c r="L1218" t="n">
        <v>0</v>
      </c>
      <c r="M1218" t="n">
        <v>0</v>
      </c>
      <c r="N1218" t="n">
        <v>0</v>
      </c>
      <c r="O1218" t="n">
        <v>0</v>
      </c>
      <c r="P1218" t="n">
        <v>0</v>
      </c>
      <c r="Q1218" t="n">
        <v>0</v>
      </c>
      <c r="R1218" s="2" t="inlineStr"/>
    </row>
    <row r="1219" ht="15" customHeight="1">
      <c r="A1219" t="inlineStr">
        <is>
          <t>A 67350-2018</t>
        </is>
      </c>
      <c r="B1219" s="1" t="n">
        <v>43439</v>
      </c>
      <c r="C1219" s="1" t="n">
        <v>45212</v>
      </c>
      <c r="D1219" t="inlineStr">
        <is>
          <t>VÄSTRA GÖTALANDS LÄN</t>
        </is>
      </c>
      <c r="E1219" t="inlineStr">
        <is>
          <t>HERRLJUNGA</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67436-2018</t>
        </is>
      </c>
      <c r="B1220" s="1" t="n">
        <v>43439</v>
      </c>
      <c r="C1220" s="1" t="n">
        <v>45212</v>
      </c>
      <c r="D1220" t="inlineStr">
        <is>
          <t>VÄSTRA GÖTALANDS LÄN</t>
        </is>
      </c>
      <c r="E1220" t="inlineStr">
        <is>
          <t>SKARA</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68474-2018</t>
        </is>
      </c>
      <c r="B1221" s="1" t="n">
        <v>43439</v>
      </c>
      <c r="C1221" s="1" t="n">
        <v>45212</v>
      </c>
      <c r="D1221" t="inlineStr">
        <is>
          <t>VÄSTRA GÖTALANDS LÄN</t>
        </is>
      </c>
      <c r="E1221" t="inlineStr">
        <is>
          <t>STRÖMSTAD</t>
        </is>
      </c>
      <c r="G1221" t="n">
        <v>2</v>
      </c>
      <c r="H1221" t="n">
        <v>0</v>
      </c>
      <c r="I1221" t="n">
        <v>0</v>
      </c>
      <c r="J1221" t="n">
        <v>0</v>
      </c>
      <c r="K1221" t="n">
        <v>0</v>
      </c>
      <c r="L1221" t="n">
        <v>0</v>
      </c>
      <c r="M1221" t="n">
        <v>0</v>
      </c>
      <c r="N1221" t="n">
        <v>0</v>
      </c>
      <c r="O1221" t="n">
        <v>0</v>
      </c>
      <c r="P1221" t="n">
        <v>0</v>
      </c>
      <c r="Q1221" t="n">
        <v>0</v>
      </c>
      <c r="R1221" s="2" t="inlineStr"/>
    </row>
    <row r="1222" ht="15" customHeight="1">
      <c r="A1222" t="inlineStr">
        <is>
          <t>A 68661-2018</t>
        </is>
      </c>
      <c r="B1222" s="1" t="n">
        <v>43439</v>
      </c>
      <c r="C1222" s="1" t="n">
        <v>45212</v>
      </c>
      <c r="D1222" t="inlineStr">
        <is>
          <t>VÄSTRA GÖTALANDS LÄN</t>
        </is>
      </c>
      <c r="E1222" t="inlineStr">
        <is>
          <t>GULLSPÅNG</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67320-2018</t>
        </is>
      </c>
      <c r="B1223" s="1" t="n">
        <v>43439</v>
      </c>
      <c r="C1223" s="1" t="n">
        <v>45212</v>
      </c>
      <c r="D1223" t="inlineStr">
        <is>
          <t>VÄSTRA GÖTALANDS LÄN</t>
        </is>
      </c>
      <c r="E1223" t="inlineStr">
        <is>
          <t>GULLSPÅNG</t>
        </is>
      </c>
      <c r="G1223" t="n">
        <v>0.5</v>
      </c>
      <c r="H1223" t="n">
        <v>0</v>
      </c>
      <c r="I1223" t="n">
        <v>0</v>
      </c>
      <c r="J1223" t="n">
        <v>0</v>
      </c>
      <c r="K1223" t="n">
        <v>0</v>
      </c>
      <c r="L1223" t="n">
        <v>0</v>
      </c>
      <c r="M1223" t="n">
        <v>0</v>
      </c>
      <c r="N1223" t="n">
        <v>0</v>
      </c>
      <c r="O1223" t="n">
        <v>0</v>
      </c>
      <c r="P1223" t="n">
        <v>0</v>
      </c>
      <c r="Q1223" t="n">
        <v>0</v>
      </c>
      <c r="R1223" s="2" t="inlineStr"/>
    </row>
    <row r="1224" ht="15" customHeight="1">
      <c r="A1224" t="inlineStr">
        <is>
          <t>A 67384-2018</t>
        </is>
      </c>
      <c r="B1224" s="1" t="n">
        <v>43439</v>
      </c>
      <c r="C1224" s="1" t="n">
        <v>45212</v>
      </c>
      <c r="D1224" t="inlineStr">
        <is>
          <t>VÄSTRA GÖTALANDS LÄN</t>
        </is>
      </c>
      <c r="E1224" t="inlineStr">
        <is>
          <t>MARK</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67316-2018</t>
        </is>
      </c>
      <c r="B1225" s="1" t="n">
        <v>43439</v>
      </c>
      <c r="C1225" s="1" t="n">
        <v>45212</v>
      </c>
      <c r="D1225" t="inlineStr">
        <is>
          <t>VÄSTRA GÖTALANDS LÄN</t>
        </is>
      </c>
      <c r="E1225" t="inlineStr">
        <is>
          <t>SVENLJUNGA</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67331-2018</t>
        </is>
      </c>
      <c r="B1226" s="1" t="n">
        <v>43439</v>
      </c>
      <c r="C1226" s="1" t="n">
        <v>45212</v>
      </c>
      <c r="D1226" t="inlineStr">
        <is>
          <t>VÄSTRA GÖTALANDS LÄN</t>
        </is>
      </c>
      <c r="E1226" t="inlineStr">
        <is>
          <t>SKARA</t>
        </is>
      </c>
      <c r="G1226" t="n">
        <v>2.7</v>
      </c>
      <c r="H1226" t="n">
        <v>0</v>
      </c>
      <c r="I1226" t="n">
        <v>0</v>
      </c>
      <c r="J1226" t="n">
        <v>0</v>
      </c>
      <c r="K1226" t="n">
        <v>0</v>
      </c>
      <c r="L1226" t="n">
        <v>0</v>
      </c>
      <c r="M1226" t="n">
        <v>0</v>
      </c>
      <c r="N1226" t="n">
        <v>0</v>
      </c>
      <c r="O1226" t="n">
        <v>0</v>
      </c>
      <c r="P1226" t="n">
        <v>0</v>
      </c>
      <c r="Q1226" t="n">
        <v>0</v>
      </c>
      <c r="R1226" s="2" t="inlineStr"/>
    </row>
    <row r="1227" ht="15" customHeight="1">
      <c r="A1227" t="inlineStr">
        <is>
          <t>A 67451-2018</t>
        </is>
      </c>
      <c r="B1227" s="1" t="n">
        <v>43439</v>
      </c>
      <c r="C1227" s="1" t="n">
        <v>45212</v>
      </c>
      <c r="D1227" t="inlineStr">
        <is>
          <t>VÄSTRA GÖTALANDS LÄN</t>
        </is>
      </c>
      <c r="E1227" t="inlineStr">
        <is>
          <t>FALKÖPING</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68742-2018</t>
        </is>
      </c>
      <c r="B1228" s="1" t="n">
        <v>43439</v>
      </c>
      <c r="C1228" s="1" t="n">
        <v>45212</v>
      </c>
      <c r="D1228" t="inlineStr">
        <is>
          <t>VÄSTRA GÖTALANDS LÄN</t>
        </is>
      </c>
      <c r="E1228" t="inlineStr">
        <is>
          <t>MARK</t>
        </is>
      </c>
      <c r="G1228" t="n">
        <v>0.8</v>
      </c>
      <c r="H1228" t="n">
        <v>0</v>
      </c>
      <c r="I1228" t="n">
        <v>0</v>
      </c>
      <c r="J1228" t="n">
        <v>0</v>
      </c>
      <c r="K1228" t="n">
        <v>0</v>
      </c>
      <c r="L1228" t="n">
        <v>0</v>
      </c>
      <c r="M1228" t="n">
        <v>0</v>
      </c>
      <c r="N1228" t="n">
        <v>0</v>
      </c>
      <c r="O1228" t="n">
        <v>0</v>
      </c>
      <c r="P1228" t="n">
        <v>0</v>
      </c>
      <c r="Q1228" t="n">
        <v>0</v>
      </c>
      <c r="R1228" s="2" t="inlineStr"/>
    </row>
    <row r="1229" ht="15" customHeight="1">
      <c r="A1229" t="inlineStr">
        <is>
          <t>A 67871-2018</t>
        </is>
      </c>
      <c r="B1229" s="1" t="n">
        <v>43440</v>
      </c>
      <c r="C1229" s="1" t="n">
        <v>45212</v>
      </c>
      <c r="D1229" t="inlineStr">
        <is>
          <t>VÄSTRA GÖTALANDS LÄN</t>
        </is>
      </c>
      <c r="E1229" t="inlineStr">
        <is>
          <t>ORUST</t>
        </is>
      </c>
      <c r="G1229" t="n">
        <v>8.1</v>
      </c>
      <c r="H1229" t="n">
        <v>0</v>
      </c>
      <c r="I1229" t="n">
        <v>0</v>
      </c>
      <c r="J1229" t="n">
        <v>0</v>
      </c>
      <c r="K1229" t="n">
        <v>0</v>
      </c>
      <c r="L1229" t="n">
        <v>0</v>
      </c>
      <c r="M1229" t="n">
        <v>0</v>
      </c>
      <c r="N1229" t="n">
        <v>0</v>
      </c>
      <c r="O1229" t="n">
        <v>0</v>
      </c>
      <c r="P1229" t="n">
        <v>0</v>
      </c>
      <c r="Q1229" t="n">
        <v>0</v>
      </c>
      <c r="R1229" s="2" t="inlineStr"/>
    </row>
    <row r="1230" ht="15" customHeight="1">
      <c r="A1230" t="inlineStr">
        <is>
          <t>A 67975-2018</t>
        </is>
      </c>
      <c r="B1230" s="1" t="n">
        <v>43440</v>
      </c>
      <c r="C1230" s="1" t="n">
        <v>45212</v>
      </c>
      <c r="D1230" t="inlineStr">
        <is>
          <t>VÄSTRA GÖTALANDS LÄN</t>
        </is>
      </c>
      <c r="E1230" t="inlineStr">
        <is>
          <t>SKARA</t>
        </is>
      </c>
      <c r="G1230" t="n">
        <v>2.3</v>
      </c>
      <c r="H1230" t="n">
        <v>0</v>
      </c>
      <c r="I1230" t="n">
        <v>0</v>
      </c>
      <c r="J1230" t="n">
        <v>0</v>
      </c>
      <c r="K1230" t="n">
        <v>0</v>
      </c>
      <c r="L1230" t="n">
        <v>0</v>
      </c>
      <c r="M1230" t="n">
        <v>0</v>
      </c>
      <c r="N1230" t="n">
        <v>0</v>
      </c>
      <c r="O1230" t="n">
        <v>0</v>
      </c>
      <c r="P1230" t="n">
        <v>0</v>
      </c>
      <c r="Q1230" t="n">
        <v>0</v>
      </c>
      <c r="R1230" s="2" t="inlineStr"/>
    </row>
    <row r="1231" ht="15" customHeight="1">
      <c r="A1231" t="inlineStr">
        <is>
          <t>A 68779-2018</t>
        </is>
      </c>
      <c r="B1231" s="1" t="n">
        <v>43440</v>
      </c>
      <c r="C1231" s="1" t="n">
        <v>45212</v>
      </c>
      <c r="D1231" t="inlineStr">
        <is>
          <t>VÄSTRA GÖTALANDS LÄN</t>
        </is>
      </c>
      <c r="E1231" t="inlineStr">
        <is>
          <t>VÅRGÅRDA</t>
        </is>
      </c>
      <c r="G1231" t="n">
        <v>1.4</v>
      </c>
      <c r="H1231" t="n">
        <v>0</v>
      </c>
      <c r="I1231" t="n">
        <v>0</v>
      </c>
      <c r="J1231" t="n">
        <v>0</v>
      </c>
      <c r="K1231" t="n">
        <v>0</v>
      </c>
      <c r="L1231" t="n">
        <v>0</v>
      </c>
      <c r="M1231" t="n">
        <v>0</v>
      </c>
      <c r="N1231" t="n">
        <v>0</v>
      </c>
      <c r="O1231" t="n">
        <v>0</v>
      </c>
      <c r="P1231" t="n">
        <v>0</v>
      </c>
      <c r="Q1231" t="n">
        <v>0</v>
      </c>
      <c r="R1231" s="2" t="inlineStr"/>
    </row>
    <row r="1232" ht="15" customHeight="1">
      <c r="A1232" t="inlineStr">
        <is>
          <t>A 67973-2018</t>
        </is>
      </c>
      <c r="B1232" s="1" t="n">
        <v>43440</v>
      </c>
      <c r="C1232" s="1" t="n">
        <v>45212</v>
      </c>
      <c r="D1232" t="inlineStr">
        <is>
          <t>VÄSTRA GÖTALANDS LÄN</t>
        </is>
      </c>
      <c r="E1232" t="inlineStr">
        <is>
          <t>SKARA</t>
        </is>
      </c>
      <c r="G1232" t="n">
        <v>2.4</v>
      </c>
      <c r="H1232" t="n">
        <v>0</v>
      </c>
      <c r="I1232" t="n">
        <v>0</v>
      </c>
      <c r="J1232" t="n">
        <v>0</v>
      </c>
      <c r="K1232" t="n">
        <v>0</v>
      </c>
      <c r="L1232" t="n">
        <v>0</v>
      </c>
      <c r="M1232" t="n">
        <v>0</v>
      </c>
      <c r="N1232" t="n">
        <v>0</v>
      </c>
      <c r="O1232" t="n">
        <v>0</v>
      </c>
      <c r="P1232" t="n">
        <v>0</v>
      </c>
      <c r="Q1232" t="n">
        <v>0</v>
      </c>
      <c r="R1232" s="2" t="inlineStr"/>
    </row>
    <row r="1233" ht="15" customHeight="1">
      <c r="A1233" t="inlineStr">
        <is>
          <t>A 68664-2018</t>
        </is>
      </c>
      <c r="B1233" s="1" t="n">
        <v>43440</v>
      </c>
      <c r="C1233" s="1" t="n">
        <v>45212</v>
      </c>
      <c r="D1233" t="inlineStr">
        <is>
          <t>VÄSTRA GÖTALANDS LÄN</t>
        </is>
      </c>
      <c r="E1233" t="inlineStr">
        <is>
          <t>STRÖMSTAD</t>
        </is>
      </c>
      <c r="G1233" t="n">
        <v>1</v>
      </c>
      <c r="H1233" t="n">
        <v>0</v>
      </c>
      <c r="I1233" t="n">
        <v>0</v>
      </c>
      <c r="J1233" t="n">
        <v>0</v>
      </c>
      <c r="K1233" t="n">
        <v>0</v>
      </c>
      <c r="L1233" t="n">
        <v>0</v>
      </c>
      <c r="M1233" t="n">
        <v>0</v>
      </c>
      <c r="N1233" t="n">
        <v>0</v>
      </c>
      <c r="O1233" t="n">
        <v>0</v>
      </c>
      <c r="P1233" t="n">
        <v>0</v>
      </c>
      <c r="Q1233" t="n">
        <v>0</v>
      </c>
      <c r="R1233" s="2" t="inlineStr"/>
    </row>
    <row r="1234" ht="15" customHeight="1">
      <c r="A1234" t="inlineStr">
        <is>
          <t>A 67877-2018</t>
        </is>
      </c>
      <c r="B1234" s="1" t="n">
        <v>43440</v>
      </c>
      <c r="C1234" s="1" t="n">
        <v>45212</v>
      </c>
      <c r="D1234" t="inlineStr">
        <is>
          <t>VÄSTRA GÖTALANDS LÄN</t>
        </is>
      </c>
      <c r="E1234" t="inlineStr">
        <is>
          <t>ALE</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67931-2018</t>
        </is>
      </c>
      <c r="B1235" s="1" t="n">
        <v>43440</v>
      </c>
      <c r="C1235" s="1" t="n">
        <v>45212</v>
      </c>
      <c r="D1235" t="inlineStr">
        <is>
          <t>VÄSTRA GÖTALANDS LÄN</t>
        </is>
      </c>
      <c r="E1235" t="inlineStr">
        <is>
          <t>BOLLEBYGD</t>
        </is>
      </c>
      <c r="G1235" t="n">
        <v>4.5</v>
      </c>
      <c r="H1235" t="n">
        <v>0</v>
      </c>
      <c r="I1235" t="n">
        <v>0</v>
      </c>
      <c r="J1235" t="n">
        <v>0</v>
      </c>
      <c r="K1235" t="n">
        <v>0</v>
      </c>
      <c r="L1235" t="n">
        <v>0</v>
      </c>
      <c r="M1235" t="n">
        <v>0</v>
      </c>
      <c r="N1235" t="n">
        <v>0</v>
      </c>
      <c r="O1235" t="n">
        <v>0</v>
      </c>
      <c r="P1235" t="n">
        <v>0</v>
      </c>
      <c r="Q1235" t="n">
        <v>0</v>
      </c>
      <c r="R1235" s="2" t="inlineStr"/>
    </row>
    <row r="1236" ht="15" customHeight="1">
      <c r="A1236" t="inlineStr">
        <is>
          <t>A 67669-2018</t>
        </is>
      </c>
      <c r="B1236" s="1" t="n">
        <v>43440</v>
      </c>
      <c r="C1236" s="1" t="n">
        <v>45212</v>
      </c>
      <c r="D1236" t="inlineStr">
        <is>
          <t>VÄSTRA GÖTALANDS LÄN</t>
        </is>
      </c>
      <c r="E1236" t="inlineStr">
        <is>
          <t>TRANEMO</t>
        </is>
      </c>
      <c r="G1236" t="n">
        <v>0.3</v>
      </c>
      <c r="H1236" t="n">
        <v>0</v>
      </c>
      <c r="I1236" t="n">
        <v>0</v>
      </c>
      <c r="J1236" t="n">
        <v>0</v>
      </c>
      <c r="K1236" t="n">
        <v>0</v>
      </c>
      <c r="L1236" t="n">
        <v>0</v>
      </c>
      <c r="M1236" t="n">
        <v>0</v>
      </c>
      <c r="N1236" t="n">
        <v>0</v>
      </c>
      <c r="O1236" t="n">
        <v>0</v>
      </c>
      <c r="P1236" t="n">
        <v>0</v>
      </c>
      <c r="Q1236" t="n">
        <v>0</v>
      </c>
      <c r="R1236" s="2" t="inlineStr"/>
    </row>
    <row r="1237" ht="15" customHeight="1">
      <c r="A1237" t="inlineStr">
        <is>
          <t>A 67859-2018</t>
        </is>
      </c>
      <c r="B1237" s="1" t="n">
        <v>43440</v>
      </c>
      <c r="C1237" s="1" t="n">
        <v>45212</v>
      </c>
      <c r="D1237" t="inlineStr">
        <is>
          <t>VÄSTRA GÖTALANDS LÄN</t>
        </is>
      </c>
      <c r="E1237" t="inlineStr">
        <is>
          <t>ALE</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68162-2018</t>
        </is>
      </c>
      <c r="B1238" s="1" t="n">
        <v>43441</v>
      </c>
      <c r="C1238" s="1" t="n">
        <v>45212</v>
      </c>
      <c r="D1238" t="inlineStr">
        <is>
          <t>VÄSTRA GÖTALANDS LÄN</t>
        </is>
      </c>
      <c r="E1238" t="inlineStr">
        <is>
          <t>TIDAHOLM</t>
        </is>
      </c>
      <c r="G1238" t="n">
        <v>7.6</v>
      </c>
      <c r="H1238" t="n">
        <v>0</v>
      </c>
      <c r="I1238" t="n">
        <v>0</v>
      </c>
      <c r="J1238" t="n">
        <v>0</v>
      </c>
      <c r="K1238" t="n">
        <v>0</v>
      </c>
      <c r="L1238" t="n">
        <v>0</v>
      </c>
      <c r="M1238" t="n">
        <v>0</v>
      </c>
      <c r="N1238" t="n">
        <v>0</v>
      </c>
      <c r="O1238" t="n">
        <v>0</v>
      </c>
      <c r="P1238" t="n">
        <v>0</v>
      </c>
      <c r="Q1238" t="n">
        <v>0</v>
      </c>
      <c r="R1238" s="2" t="inlineStr"/>
    </row>
    <row r="1239" ht="15" customHeight="1">
      <c r="A1239" t="inlineStr">
        <is>
          <t>A 68069-2018</t>
        </is>
      </c>
      <c r="B1239" s="1" t="n">
        <v>43441</v>
      </c>
      <c r="C1239" s="1" t="n">
        <v>45212</v>
      </c>
      <c r="D1239" t="inlineStr">
        <is>
          <t>VÄSTRA GÖTALANDS LÄN</t>
        </is>
      </c>
      <c r="E1239" t="inlineStr">
        <is>
          <t>HÄRRYDA</t>
        </is>
      </c>
      <c r="G1239" t="n">
        <v>5</v>
      </c>
      <c r="H1239" t="n">
        <v>0</v>
      </c>
      <c r="I1239" t="n">
        <v>0</v>
      </c>
      <c r="J1239" t="n">
        <v>0</v>
      </c>
      <c r="K1239" t="n">
        <v>0</v>
      </c>
      <c r="L1239" t="n">
        <v>0</v>
      </c>
      <c r="M1239" t="n">
        <v>0</v>
      </c>
      <c r="N1239" t="n">
        <v>0</v>
      </c>
      <c r="O1239" t="n">
        <v>0</v>
      </c>
      <c r="P1239" t="n">
        <v>0</v>
      </c>
      <c r="Q1239" t="n">
        <v>0</v>
      </c>
      <c r="R1239" s="2" t="inlineStr"/>
    </row>
    <row r="1240" ht="15" customHeight="1">
      <c r="A1240" t="inlineStr">
        <is>
          <t>A 69144-2018</t>
        </is>
      </c>
      <c r="B1240" s="1" t="n">
        <v>43441</v>
      </c>
      <c r="C1240" s="1" t="n">
        <v>45212</v>
      </c>
      <c r="D1240" t="inlineStr">
        <is>
          <t>VÄSTRA GÖTALANDS LÄN</t>
        </is>
      </c>
      <c r="E1240" t="inlineStr">
        <is>
          <t>DALS-ED</t>
        </is>
      </c>
      <c r="F1240" t="inlineStr">
        <is>
          <t>Bergvik skog väst AB</t>
        </is>
      </c>
      <c r="G1240" t="n">
        <v>11.5</v>
      </c>
      <c r="H1240" t="n">
        <v>0</v>
      </c>
      <c r="I1240" t="n">
        <v>0</v>
      </c>
      <c r="J1240" t="n">
        <v>0</v>
      </c>
      <c r="K1240" t="n">
        <v>0</v>
      </c>
      <c r="L1240" t="n">
        <v>0</v>
      </c>
      <c r="M1240" t="n">
        <v>0</v>
      </c>
      <c r="N1240" t="n">
        <v>0</v>
      </c>
      <c r="O1240" t="n">
        <v>0</v>
      </c>
      <c r="P1240" t="n">
        <v>0</v>
      </c>
      <c r="Q1240" t="n">
        <v>0</v>
      </c>
      <c r="R1240" s="2" t="inlineStr"/>
    </row>
    <row r="1241" ht="15" customHeight="1">
      <c r="A1241" t="inlineStr">
        <is>
          <t>A 68023-2018</t>
        </is>
      </c>
      <c r="B1241" s="1" t="n">
        <v>43441</v>
      </c>
      <c r="C1241" s="1" t="n">
        <v>45212</v>
      </c>
      <c r="D1241" t="inlineStr">
        <is>
          <t>VÄSTRA GÖTALANDS LÄN</t>
        </is>
      </c>
      <c r="E1241" t="inlineStr">
        <is>
          <t>VÄNERSBORG</t>
        </is>
      </c>
      <c r="G1241" t="n">
        <v>4.3</v>
      </c>
      <c r="H1241" t="n">
        <v>0</v>
      </c>
      <c r="I1241" t="n">
        <v>0</v>
      </c>
      <c r="J1241" t="n">
        <v>0</v>
      </c>
      <c r="K1241" t="n">
        <v>0</v>
      </c>
      <c r="L1241" t="n">
        <v>0</v>
      </c>
      <c r="M1241" t="n">
        <v>0</v>
      </c>
      <c r="N1241" t="n">
        <v>0</v>
      </c>
      <c r="O1241" t="n">
        <v>0</v>
      </c>
      <c r="P1241" t="n">
        <v>0</v>
      </c>
      <c r="Q1241" t="n">
        <v>0</v>
      </c>
      <c r="R1241" s="2" t="inlineStr"/>
    </row>
    <row r="1242" ht="15" customHeight="1">
      <c r="A1242" t="inlineStr">
        <is>
          <t>A 68148-2018</t>
        </is>
      </c>
      <c r="B1242" s="1" t="n">
        <v>43441</v>
      </c>
      <c r="C1242" s="1" t="n">
        <v>45212</v>
      </c>
      <c r="D1242" t="inlineStr">
        <is>
          <t>VÄSTRA GÖTALANDS LÄN</t>
        </is>
      </c>
      <c r="E1242" t="inlineStr">
        <is>
          <t>TIDAHOLM</t>
        </is>
      </c>
      <c r="G1242" t="n">
        <v>5.8</v>
      </c>
      <c r="H1242" t="n">
        <v>0</v>
      </c>
      <c r="I1242" t="n">
        <v>0</v>
      </c>
      <c r="J1242" t="n">
        <v>0</v>
      </c>
      <c r="K1242" t="n">
        <v>0</v>
      </c>
      <c r="L1242" t="n">
        <v>0</v>
      </c>
      <c r="M1242" t="n">
        <v>0</v>
      </c>
      <c r="N1242" t="n">
        <v>0</v>
      </c>
      <c r="O1242" t="n">
        <v>0</v>
      </c>
      <c r="P1242" t="n">
        <v>0</v>
      </c>
      <c r="Q1242" t="n">
        <v>0</v>
      </c>
      <c r="R1242" s="2" t="inlineStr"/>
    </row>
    <row r="1243" ht="15" customHeight="1">
      <c r="A1243" t="inlineStr">
        <is>
          <t>A 68077-2018</t>
        </is>
      </c>
      <c r="B1243" s="1" t="n">
        <v>43441</v>
      </c>
      <c r="C1243" s="1" t="n">
        <v>45212</v>
      </c>
      <c r="D1243" t="inlineStr">
        <is>
          <t>VÄSTRA GÖTALANDS LÄN</t>
        </is>
      </c>
      <c r="E1243" t="inlineStr">
        <is>
          <t>HÄRRYDA</t>
        </is>
      </c>
      <c r="G1243" t="n">
        <v>6.9</v>
      </c>
      <c r="H1243" t="n">
        <v>0</v>
      </c>
      <c r="I1243" t="n">
        <v>0</v>
      </c>
      <c r="J1243" t="n">
        <v>0</v>
      </c>
      <c r="K1243" t="n">
        <v>0</v>
      </c>
      <c r="L1243" t="n">
        <v>0</v>
      </c>
      <c r="M1243" t="n">
        <v>0</v>
      </c>
      <c r="N1243" t="n">
        <v>0</v>
      </c>
      <c r="O1243" t="n">
        <v>0</v>
      </c>
      <c r="P1243" t="n">
        <v>0</v>
      </c>
      <c r="Q1243" t="n">
        <v>0</v>
      </c>
      <c r="R1243" s="2" t="inlineStr"/>
    </row>
    <row r="1244" ht="15" customHeight="1">
      <c r="A1244" t="inlineStr">
        <is>
          <t>A 68492-2018</t>
        </is>
      </c>
      <c r="B1244" s="1" t="n">
        <v>43442</v>
      </c>
      <c r="C1244" s="1" t="n">
        <v>45212</v>
      </c>
      <c r="D1244" t="inlineStr">
        <is>
          <t>VÄSTRA GÖTALANDS LÄN</t>
        </is>
      </c>
      <c r="E1244" t="inlineStr">
        <is>
          <t>MUNKEDAL</t>
        </is>
      </c>
      <c r="G1244" t="n">
        <v>0.5</v>
      </c>
      <c r="H1244" t="n">
        <v>0</v>
      </c>
      <c r="I1244" t="n">
        <v>0</v>
      </c>
      <c r="J1244" t="n">
        <v>0</v>
      </c>
      <c r="K1244" t="n">
        <v>0</v>
      </c>
      <c r="L1244" t="n">
        <v>0</v>
      </c>
      <c r="M1244" t="n">
        <v>0</v>
      </c>
      <c r="N1244" t="n">
        <v>0</v>
      </c>
      <c r="O1244" t="n">
        <v>0</v>
      </c>
      <c r="P1244" t="n">
        <v>0</v>
      </c>
      <c r="Q1244" t="n">
        <v>0</v>
      </c>
      <c r="R1244" s="2" t="inlineStr"/>
    </row>
    <row r="1245" ht="15" customHeight="1">
      <c r="A1245" t="inlineStr">
        <is>
          <t>A 68385-2018</t>
        </is>
      </c>
      <c r="B1245" s="1" t="n">
        <v>43442</v>
      </c>
      <c r="C1245" s="1" t="n">
        <v>45212</v>
      </c>
      <c r="D1245" t="inlineStr">
        <is>
          <t>VÄSTRA GÖTALANDS LÄN</t>
        </is>
      </c>
      <c r="E1245" t="inlineStr">
        <is>
          <t>GRÄSTORP</t>
        </is>
      </c>
      <c r="G1245" t="n">
        <v>4.7</v>
      </c>
      <c r="H1245" t="n">
        <v>0</v>
      </c>
      <c r="I1245" t="n">
        <v>0</v>
      </c>
      <c r="J1245" t="n">
        <v>0</v>
      </c>
      <c r="K1245" t="n">
        <v>0</v>
      </c>
      <c r="L1245" t="n">
        <v>0</v>
      </c>
      <c r="M1245" t="n">
        <v>0</v>
      </c>
      <c r="N1245" t="n">
        <v>0</v>
      </c>
      <c r="O1245" t="n">
        <v>0</v>
      </c>
      <c r="P1245" t="n">
        <v>0</v>
      </c>
      <c r="Q1245" t="n">
        <v>0</v>
      </c>
      <c r="R1245" s="2" t="inlineStr"/>
    </row>
    <row r="1246" ht="15" customHeight="1">
      <c r="A1246" t="inlineStr">
        <is>
          <t>A 68478-2018</t>
        </is>
      </c>
      <c r="B1246" s="1" t="n">
        <v>43442</v>
      </c>
      <c r="C1246" s="1" t="n">
        <v>45212</v>
      </c>
      <c r="D1246" t="inlineStr">
        <is>
          <t>VÄSTRA GÖTALANDS LÄN</t>
        </is>
      </c>
      <c r="E1246" t="inlineStr">
        <is>
          <t>ULRICEHAMN</t>
        </is>
      </c>
      <c r="G1246" t="n">
        <v>0.2</v>
      </c>
      <c r="H1246" t="n">
        <v>0</v>
      </c>
      <c r="I1246" t="n">
        <v>0</v>
      </c>
      <c r="J1246" t="n">
        <v>0</v>
      </c>
      <c r="K1246" t="n">
        <v>0</v>
      </c>
      <c r="L1246" t="n">
        <v>0</v>
      </c>
      <c r="M1246" t="n">
        <v>0</v>
      </c>
      <c r="N1246" t="n">
        <v>0</v>
      </c>
      <c r="O1246" t="n">
        <v>0</v>
      </c>
      <c r="P1246" t="n">
        <v>0</v>
      </c>
      <c r="Q1246" t="n">
        <v>0</v>
      </c>
      <c r="R1246" s="2" t="inlineStr"/>
    </row>
    <row r="1247" ht="15" customHeight="1">
      <c r="A1247" t="inlineStr">
        <is>
          <t>A 68490-2018</t>
        </is>
      </c>
      <c r="B1247" s="1" t="n">
        <v>43442</v>
      </c>
      <c r="C1247" s="1" t="n">
        <v>45212</v>
      </c>
      <c r="D1247" t="inlineStr">
        <is>
          <t>VÄSTRA GÖTALANDS LÄN</t>
        </is>
      </c>
      <c r="E1247" t="inlineStr">
        <is>
          <t>FÄRGELANDA</t>
        </is>
      </c>
      <c r="G1247" t="n">
        <v>18.5</v>
      </c>
      <c r="H1247" t="n">
        <v>0</v>
      </c>
      <c r="I1247" t="n">
        <v>0</v>
      </c>
      <c r="J1247" t="n">
        <v>0</v>
      </c>
      <c r="K1247" t="n">
        <v>0</v>
      </c>
      <c r="L1247" t="n">
        <v>0</v>
      </c>
      <c r="M1247" t="n">
        <v>0</v>
      </c>
      <c r="N1247" t="n">
        <v>0</v>
      </c>
      <c r="O1247" t="n">
        <v>0</v>
      </c>
      <c r="P1247" t="n">
        <v>0</v>
      </c>
      <c r="Q1247" t="n">
        <v>0</v>
      </c>
      <c r="R1247" s="2" t="inlineStr"/>
    </row>
    <row r="1248" ht="15" customHeight="1">
      <c r="A1248" t="inlineStr">
        <is>
          <t>A 68491-2018</t>
        </is>
      </c>
      <c r="B1248" s="1" t="n">
        <v>43442</v>
      </c>
      <c r="C1248" s="1" t="n">
        <v>45212</v>
      </c>
      <c r="D1248" t="inlineStr">
        <is>
          <t>VÄSTRA GÖTALANDS LÄN</t>
        </is>
      </c>
      <c r="E1248" t="inlineStr">
        <is>
          <t>VÄNERSBORG</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66842-2018</t>
        </is>
      </c>
      <c r="B1249" s="1" t="n">
        <v>43443</v>
      </c>
      <c r="C1249" s="1" t="n">
        <v>45212</v>
      </c>
      <c r="D1249" t="inlineStr">
        <is>
          <t>VÄSTRA GÖTALANDS LÄN</t>
        </is>
      </c>
      <c r="E1249" t="inlineStr">
        <is>
          <t>TIBRO</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68506-2018</t>
        </is>
      </c>
      <c r="B1250" s="1" t="n">
        <v>43443</v>
      </c>
      <c r="C1250" s="1" t="n">
        <v>45212</v>
      </c>
      <c r="D1250" t="inlineStr">
        <is>
          <t>VÄSTRA GÖTALANDS LÄN</t>
        </is>
      </c>
      <c r="E1250" t="inlineStr">
        <is>
          <t>BOLLEBYGD</t>
        </is>
      </c>
      <c r="G1250" t="n">
        <v>0.2</v>
      </c>
      <c r="H1250" t="n">
        <v>0</v>
      </c>
      <c r="I1250" t="n">
        <v>0</v>
      </c>
      <c r="J1250" t="n">
        <v>0</v>
      </c>
      <c r="K1250" t="n">
        <v>0</v>
      </c>
      <c r="L1250" t="n">
        <v>0</v>
      </c>
      <c r="M1250" t="n">
        <v>0</v>
      </c>
      <c r="N1250" t="n">
        <v>0</v>
      </c>
      <c r="O1250" t="n">
        <v>0</v>
      </c>
      <c r="P1250" t="n">
        <v>0</v>
      </c>
      <c r="Q1250" t="n">
        <v>0</v>
      </c>
      <c r="R1250" s="2" t="inlineStr"/>
    </row>
    <row r="1251" ht="15" customHeight="1">
      <c r="A1251" t="inlineStr">
        <is>
          <t>A 68496-2018</t>
        </is>
      </c>
      <c r="B1251" s="1" t="n">
        <v>43443</v>
      </c>
      <c r="C1251" s="1" t="n">
        <v>45212</v>
      </c>
      <c r="D1251" t="inlineStr">
        <is>
          <t>VÄSTRA GÖTALANDS LÄN</t>
        </is>
      </c>
      <c r="E1251" t="inlineStr">
        <is>
          <t>UDDEVALLA</t>
        </is>
      </c>
      <c r="G1251" t="n">
        <v>14.1</v>
      </c>
      <c r="H1251" t="n">
        <v>0</v>
      </c>
      <c r="I1251" t="n">
        <v>0</v>
      </c>
      <c r="J1251" t="n">
        <v>0</v>
      </c>
      <c r="K1251" t="n">
        <v>0</v>
      </c>
      <c r="L1251" t="n">
        <v>0</v>
      </c>
      <c r="M1251" t="n">
        <v>0</v>
      </c>
      <c r="N1251" t="n">
        <v>0</v>
      </c>
      <c r="O1251" t="n">
        <v>0</v>
      </c>
      <c r="P1251" t="n">
        <v>0</v>
      </c>
      <c r="Q1251" t="n">
        <v>0</v>
      </c>
      <c r="R1251" s="2" t="inlineStr"/>
    </row>
    <row r="1252" ht="15" customHeight="1">
      <c r="A1252" t="inlineStr">
        <is>
          <t>A 68566-2018</t>
        </is>
      </c>
      <c r="B1252" s="1" t="n">
        <v>43444</v>
      </c>
      <c r="C1252" s="1" t="n">
        <v>45212</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68580-2018</t>
        </is>
      </c>
      <c r="B1253" s="1" t="n">
        <v>43444</v>
      </c>
      <c r="C1253" s="1" t="n">
        <v>45212</v>
      </c>
      <c r="D1253" t="inlineStr">
        <is>
          <t>VÄSTRA GÖTALANDS LÄN</t>
        </is>
      </c>
      <c r="E1253" t="inlineStr">
        <is>
          <t>ALINGSÅS</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68709-2018</t>
        </is>
      </c>
      <c r="B1254" s="1" t="n">
        <v>43444</v>
      </c>
      <c r="C1254" s="1" t="n">
        <v>45212</v>
      </c>
      <c r="D1254" t="inlineStr">
        <is>
          <t>VÄSTRA GÖTALANDS LÄN</t>
        </is>
      </c>
      <c r="E1254" t="inlineStr">
        <is>
          <t>HÄRRYDA</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68850-2018</t>
        </is>
      </c>
      <c r="B1255" s="1" t="n">
        <v>43444</v>
      </c>
      <c r="C1255" s="1" t="n">
        <v>45212</v>
      </c>
      <c r="D1255" t="inlineStr">
        <is>
          <t>VÄSTRA GÖTALANDS LÄN</t>
        </is>
      </c>
      <c r="E1255" t="inlineStr">
        <is>
          <t>FALKÖPING</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69993-2018</t>
        </is>
      </c>
      <c r="B1256" s="1" t="n">
        <v>43444</v>
      </c>
      <c r="C1256" s="1" t="n">
        <v>45212</v>
      </c>
      <c r="D1256" t="inlineStr">
        <is>
          <t>VÄSTRA GÖTALANDS LÄN</t>
        </is>
      </c>
      <c r="E1256" t="inlineStr">
        <is>
          <t>TANUM</t>
        </is>
      </c>
      <c r="G1256" t="n">
        <v>27.9</v>
      </c>
      <c r="H1256" t="n">
        <v>0</v>
      </c>
      <c r="I1256" t="n">
        <v>0</v>
      </c>
      <c r="J1256" t="n">
        <v>0</v>
      </c>
      <c r="K1256" t="n">
        <v>0</v>
      </c>
      <c r="L1256" t="n">
        <v>0</v>
      </c>
      <c r="M1256" t="n">
        <v>0</v>
      </c>
      <c r="N1256" t="n">
        <v>0</v>
      </c>
      <c r="O1256" t="n">
        <v>0</v>
      </c>
      <c r="P1256" t="n">
        <v>0</v>
      </c>
      <c r="Q1256" t="n">
        <v>0</v>
      </c>
      <c r="R1256" s="2" t="inlineStr"/>
    </row>
    <row r="1257" ht="15" customHeight="1">
      <c r="A1257" t="inlineStr">
        <is>
          <t>A 68567-2018</t>
        </is>
      </c>
      <c r="B1257" s="1" t="n">
        <v>43444</v>
      </c>
      <c r="C1257" s="1" t="n">
        <v>45212</v>
      </c>
      <c r="D1257" t="inlineStr">
        <is>
          <t>VÄSTRA GÖTALANDS LÄN</t>
        </is>
      </c>
      <c r="E1257" t="inlineStr">
        <is>
          <t>ALINGSÅS</t>
        </is>
      </c>
      <c r="G1257" t="n">
        <v>1.5</v>
      </c>
      <c r="H1257" t="n">
        <v>0</v>
      </c>
      <c r="I1257" t="n">
        <v>0</v>
      </c>
      <c r="J1257" t="n">
        <v>0</v>
      </c>
      <c r="K1257" t="n">
        <v>0</v>
      </c>
      <c r="L1257" t="n">
        <v>0</v>
      </c>
      <c r="M1257" t="n">
        <v>0</v>
      </c>
      <c r="N1257" t="n">
        <v>0</v>
      </c>
      <c r="O1257" t="n">
        <v>0</v>
      </c>
      <c r="P1257" t="n">
        <v>0</v>
      </c>
      <c r="Q1257" t="n">
        <v>0</v>
      </c>
      <c r="R1257" s="2" t="inlineStr"/>
    </row>
    <row r="1258" ht="15" customHeight="1">
      <c r="A1258" t="inlineStr">
        <is>
          <t>A 68677-2018</t>
        </is>
      </c>
      <c r="B1258" s="1" t="n">
        <v>43444</v>
      </c>
      <c r="C1258" s="1" t="n">
        <v>45212</v>
      </c>
      <c r="D1258" t="inlineStr">
        <is>
          <t>VÄSTRA GÖTALANDS LÄN</t>
        </is>
      </c>
      <c r="E1258" t="inlineStr">
        <is>
          <t>TRANEMO</t>
        </is>
      </c>
      <c r="F1258" t="inlineStr">
        <is>
          <t>Sveaskog</t>
        </is>
      </c>
      <c r="G1258" t="n">
        <v>4.2</v>
      </c>
      <c r="H1258" t="n">
        <v>0</v>
      </c>
      <c r="I1258" t="n">
        <v>0</v>
      </c>
      <c r="J1258" t="n">
        <v>0</v>
      </c>
      <c r="K1258" t="n">
        <v>0</v>
      </c>
      <c r="L1258" t="n">
        <v>0</v>
      </c>
      <c r="M1258" t="n">
        <v>0</v>
      </c>
      <c r="N1258" t="n">
        <v>0</v>
      </c>
      <c r="O1258" t="n">
        <v>0</v>
      </c>
      <c r="P1258" t="n">
        <v>0</v>
      </c>
      <c r="Q1258" t="n">
        <v>0</v>
      </c>
      <c r="R1258" s="2" t="inlineStr"/>
    </row>
    <row r="1259" ht="15" customHeight="1">
      <c r="A1259" t="inlineStr">
        <is>
          <t>A 68634-2018</t>
        </is>
      </c>
      <c r="B1259" s="1" t="n">
        <v>43444</v>
      </c>
      <c r="C1259" s="1" t="n">
        <v>45212</v>
      </c>
      <c r="D1259" t="inlineStr">
        <is>
          <t>VÄSTRA GÖTALANDS LÄN</t>
        </is>
      </c>
      <c r="E1259" t="inlineStr">
        <is>
          <t>MELLERUD</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68670-2018</t>
        </is>
      </c>
      <c r="B1260" s="1" t="n">
        <v>43444</v>
      </c>
      <c r="C1260" s="1" t="n">
        <v>45212</v>
      </c>
      <c r="D1260" t="inlineStr">
        <is>
          <t>VÄSTRA GÖTALANDS LÄN</t>
        </is>
      </c>
      <c r="E1260" t="inlineStr">
        <is>
          <t>FÄRGELANDA</t>
        </is>
      </c>
      <c r="G1260" t="n">
        <v>7</v>
      </c>
      <c r="H1260" t="n">
        <v>0</v>
      </c>
      <c r="I1260" t="n">
        <v>0</v>
      </c>
      <c r="J1260" t="n">
        <v>0</v>
      </c>
      <c r="K1260" t="n">
        <v>0</v>
      </c>
      <c r="L1260" t="n">
        <v>0</v>
      </c>
      <c r="M1260" t="n">
        <v>0</v>
      </c>
      <c r="N1260" t="n">
        <v>0</v>
      </c>
      <c r="O1260" t="n">
        <v>0</v>
      </c>
      <c r="P1260" t="n">
        <v>0</v>
      </c>
      <c r="Q1260" t="n">
        <v>0</v>
      </c>
      <c r="R1260" s="2" t="inlineStr"/>
    </row>
    <row r="1261" ht="15" customHeight="1">
      <c r="A1261" t="inlineStr">
        <is>
          <t>A 68680-2018</t>
        </is>
      </c>
      <c r="B1261" s="1" t="n">
        <v>43444</v>
      </c>
      <c r="C1261" s="1" t="n">
        <v>45212</v>
      </c>
      <c r="D1261" t="inlineStr">
        <is>
          <t>VÄSTRA GÖTALANDS LÄN</t>
        </is>
      </c>
      <c r="E1261" t="inlineStr">
        <is>
          <t>TRANEMO</t>
        </is>
      </c>
      <c r="F1261" t="inlineStr">
        <is>
          <t>Sveaskog</t>
        </is>
      </c>
      <c r="G1261" t="n">
        <v>2.1</v>
      </c>
      <c r="H1261" t="n">
        <v>0</v>
      </c>
      <c r="I1261" t="n">
        <v>0</v>
      </c>
      <c r="J1261" t="n">
        <v>0</v>
      </c>
      <c r="K1261" t="n">
        <v>0</v>
      </c>
      <c r="L1261" t="n">
        <v>0</v>
      </c>
      <c r="M1261" t="n">
        <v>0</v>
      </c>
      <c r="N1261" t="n">
        <v>0</v>
      </c>
      <c r="O1261" t="n">
        <v>0</v>
      </c>
      <c r="P1261" t="n">
        <v>0</v>
      </c>
      <c r="Q1261" t="n">
        <v>0</v>
      </c>
      <c r="R1261" s="2" t="inlineStr"/>
    </row>
    <row r="1262" ht="15" customHeight="1">
      <c r="A1262" t="inlineStr">
        <is>
          <t>A 68817-2018</t>
        </is>
      </c>
      <c r="B1262" s="1" t="n">
        <v>43444</v>
      </c>
      <c r="C1262" s="1" t="n">
        <v>45212</v>
      </c>
      <c r="D1262" t="inlineStr">
        <is>
          <t>VÄSTRA GÖTALANDS LÄN</t>
        </is>
      </c>
      <c r="E1262" t="inlineStr">
        <is>
          <t>TIBRO</t>
        </is>
      </c>
      <c r="G1262" t="n">
        <v>2.3</v>
      </c>
      <c r="H1262" t="n">
        <v>0</v>
      </c>
      <c r="I1262" t="n">
        <v>0</v>
      </c>
      <c r="J1262" t="n">
        <v>0</v>
      </c>
      <c r="K1262" t="n">
        <v>0</v>
      </c>
      <c r="L1262" t="n">
        <v>0</v>
      </c>
      <c r="M1262" t="n">
        <v>0</v>
      </c>
      <c r="N1262" t="n">
        <v>0</v>
      </c>
      <c r="O1262" t="n">
        <v>0</v>
      </c>
      <c r="P1262" t="n">
        <v>0</v>
      </c>
      <c r="Q1262" t="n">
        <v>0</v>
      </c>
      <c r="R1262" s="2" t="inlineStr"/>
    </row>
    <row r="1263" ht="15" customHeight="1">
      <c r="A1263" t="inlineStr">
        <is>
          <t>A 69759-2018</t>
        </is>
      </c>
      <c r="B1263" s="1" t="n">
        <v>43444</v>
      </c>
      <c r="C1263" s="1" t="n">
        <v>45212</v>
      </c>
      <c r="D1263" t="inlineStr">
        <is>
          <t>VÄSTRA GÖTALANDS LÄN</t>
        </is>
      </c>
      <c r="E1263" t="inlineStr">
        <is>
          <t>SKÖVDE</t>
        </is>
      </c>
      <c r="G1263" t="n">
        <v>6</v>
      </c>
      <c r="H1263" t="n">
        <v>0</v>
      </c>
      <c r="I1263" t="n">
        <v>0</v>
      </c>
      <c r="J1263" t="n">
        <v>0</v>
      </c>
      <c r="K1263" t="n">
        <v>0</v>
      </c>
      <c r="L1263" t="n">
        <v>0</v>
      </c>
      <c r="M1263" t="n">
        <v>0</v>
      </c>
      <c r="N1263" t="n">
        <v>0</v>
      </c>
      <c r="O1263" t="n">
        <v>0</v>
      </c>
      <c r="P1263" t="n">
        <v>0</v>
      </c>
      <c r="Q1263" t="n">
        <v>0</v>
      </c>
      <c r="R1263" s="2" t="inlineStr"/>
    </row>
    <row r="1264" ht="15" customHeight="1">
      <c r="A1264" t="inlineStr">
        <is>
          <t>A 68538-2018</t>
        </is>
      </c>
      <c r="B1264" s="1" t="n">
        <v>43444</v>
      </c>
      <c r="C1264" s="1" t="n">
        <v>45212</v>
      </c>
      <c r="D1264" t="inlineStr">
        <is>
          <t>VÄSTRA GÖTALANDS LÄN</t>
        </is>
      </c>
      <c r="E1264" t="inlineStr">
        <is>
          <t>VARA</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68651-2018</t>
        </is>
      </c>
      <c r="B1265" s="1" t="n">
        <v>43444</v>
      </c>
      <c r="C1265" s="1" t="n">
        <v>45212</v>
      </c>
      <c r="D1265" t="inlineStr">
        <is>
          <t>VÄSTRA GÖTALANDS LÄN</t>
        </is>
      </c>
      <c r="E1265" t="inlineStr">
        <is>
          <t>MARIESTAD</t>
        </is>
      </c>
      <c r="G1265" t="n">
        <v>1.9</v>
      </c>
      <c r="H1265" t="n">
        <v>0</v>
      </c>
      <c r="I1265" t="n">
        <v>0</v>
      </c>
      <c r="J1265" t="n">
        <v>0</v>
      </c>
      <c r="K1265" t="n">
        <v>0</v>
      </c>
      <c r="L1265" t="n">
        <v>0</v>
      </c>
      <c r="M1265" t="n">
        <v>0</v>
      </c>
      <c r="N1265" t="n">
        <v>0</v>
      </c>
      <c r="O1265" t="n">
        <v>0</v>
      </c>
      <c r="P1265" t="n">
        <v>0</v>
      </c>
      <c r="Q1265" t="n">
        <v>0</v>
      </c>
      <c r="R1265" s="2" t="inlineStr"/>
    </row>
    <row r="1266" ht="15" customHeight="1">
      <c r="A1266" t="inlineStr">
        <is>
          <t>A 68845-2018</t>
        </is>
      </c>
      <c r="B1266" s="1" t="n">
        <v>43444</v>
      </c>
      <c r="C1266" s="1" t="n">
        <v>45212</v>
      </c>
      <c r="D1266" t="inlineStr">
        <is>
          <t>VÄSTRA GÖTALANDS LÄN</t>
        </is>
      </c>
      <c r="E1266" t="inlineStr">
        <is>
          <t>FALKÖPING</t>
        </is>
      </c>
      <c r="G1266" t="n">
        <v>6.8</v>
      </c>
      <c r="H1266" t="n">
        <v>0</v>
      </c>
      <c r="I1266" t="n">
        <v>0</v>
      </c>
      <c r="J1266" t="n">
        <v>0</v>
      </c>
      <c r="K1266" t="n">
        <v>0</v>
      </c>
      <c r="L1266" t="n">
        <v>0</v>
      </c>
      <c r="M1266" t="n">
        <v>0</v>
      </c>
      <c r="N1266" t="n">
        <v>0</v>
      </c>
      <c r="O1266" t="n">
        <v>0</v>
      </c>
      <c r="P1266" t="n">
        <v>0</v>
      </c>
      <c r="Q1266" t="n">
        <v>0</v>
      </c>
      <c r="R1266" s="2" t="inlineStr"/>
    </row>
    <row r="1267" ht="15" customHeight="1">
      <c r="A1267" t="inlineStr">
        <is>
          <t>A 69720-2018</t>
        </is>
      </c>
      <c r="B1267" s="1" t="n">
        <v>43444</v>
      </c>
      <c r="C1267" s="1" t="n">
        <v>45212</v>
      </c>
      <c r="D1267" t="inlineStr">
        <is>
          <t>VÄSTRA GÖTALANDS LÄN</t>
        </is>
      </c>
      <c r="E1267" t="inlineStr">
        <is>
          <t>SVENLJUNGA</t>
        </is>
      </c>
      <c r="G1267" t="n">
        <v>5.2</v>
      </c>
      <c r="H1267" t="n">
        <v>0</v>
      </c>
      <c r="I1267" t="n">
        <v>0</v>
      </c>
      <c r="J1267" t="n">
        <v>0</v>
      </c>
      <c r="K1267" t="n">
        <v>0</v>
      </c>
      <c r="L1267" t="n">
        <v>0</v>
      </c>
      <c r="M1267" t="n">
        <v>0</v>
      </c>
      <c r="N1267" t="n">
        <v>0</v>
      </c>
      <c r="O1267" t="n">
        <v>0</v>
      </c>
      <c r="P1267" t="n">
        <v>0</v>
      </c>
      <c r="Q1267" t="n">
        <v>0</v>
      </c>
      <c r="R1267" s="2" t="inlineStr"/>
    </row>
    <row r="1268" ht="15" customHeight="1">
      <c r="A1268" t="inlineStr">
        <is>
          <t>A 69935-2018</t>
        </is>
      </c>
      <c r="B1268" s="1" t="n">
        <v>43444</v>
      </c>
      <c r="C1268" s="1" t="n">
        <v>45212</v>
      </c>
      <c r="D1268" t="inlineStr">
        <is>
          <t>VÄSTRA GÖTALANDS LÄN</t>
        </is>
      </c>
      <c r="E1268" t="inlineStr">
        <is>
          <t>LIDKÖPING</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70116-2018</t>
        </is>
      </c>
      <c r="B1269" s="1" t="n">
        <v>43444</v>
      </c>
      <c r="C1269" s="1" t="n">
        <v>45212</v>
      </c>
      <c r="D1269" t="inlineStr">
        <is>
          <t>VÄSTRA GÖTALANDS LÄN</t>
        </is>
      </c>
      <c r="E1269" t="inlineStr">
        <is>
          <t>MUNKEDAL</t>
        </is>
      </c>
      <c r="G1269" t="n">
        <v>3.2</v>
      </c>
      <c r="H1269" t="n">
        <v>0</v>
      </c>
      <c r="I1269" t="n">
        <v>0</v>
      </c>
      <c r="J1269" t="n">
        <v>0</v>
      </c>
      <c r="K1269" t="n">
        <v>0</v>
      </c>
      <c r="L1269" t="n">
        <v>0</v>
      </c>
      <c r="M1269" t="n">
        <v>0</v>
      </c>
      <c r="N1269" t="n">
        <v>0</v>
      </c>
      <c r="O1269" t="n">
        <v>0</v>
      </c>
      <c r="P1269" t="n">
        <v>0</v>
      </c>
      <c r="Q1269" t="n">
        <v>0</v>
      </c>
      <c r="R1269" s="2" t="inlineStr"/>
    </row>
    <row r="1270" ht="15" customHeight="1">
      <c r="A1270" t="inlineStr">
        <is>
          <t>A 68930-2018</t>
        </is>
      </c>
      <c r="B1270" s="1" t="n">
        <v>43445</v>
      </c>
      <c r="C1270" s="1" t="n">
        <v>45212</v>
      </c>
      <c r="D1270" t="inlineStr">
        <is>
          <t>VÄSTRA GÖTALANDS LÄN</t>
        </is>
      </c>
      <c r="E1270" t="inlineStr">
        <is>
          <t>SOTENÄS</t>
        </is>
      </c>
      <c r="G1270" t="n">
        <v>2.1</v>
      </c>
      <c r="H1270" t="n">
        <v>0</v>
      </c>
      <c r="I1270" t="n">
        <v>0</v>
      </c>
      <c r="J1270" t="n">
        <v>0</v>
      </c>
      <c r="K1270" t="n">
        <v>0</v>
      </c>
      <c r="L1270" t="n">
        <v>0</v>
      </c>
      <c r="M1270" t="n">
        <v>0</v>
      </c>
      <c r="N1270" t="n">
        <v>0</v>
      </c>
      <c r="O1270" t="n">
        <v>0</v>
      </c>
      <c r="P1270" t="n">
        <v>0</v>
      </c>
      <c r="Q1270" t="n">
        <v>0</v>
      </c>
      <c r="R1270" s="2" t="inlineStr"/>
    </row>
    <row r="1271" ht="15" customHeight="1">
      <c r="A1271" t="inlineStr">
        <is>
          <t>A 69054-2018</t>
        </is>
      </c>
      <c r="B1271" s="1" t="n">
        <v>43445</v>
      </c>
      <c r="C1271" s="1" t="n">
        <v>45212</v>
      </c>
      <c r="D1271" t="inlineStr">
        <is>
          <t>VÄSTRA GÖTALANDS LÄN</t>
        </is>
      </c>
      <c r="E1271" t="inlineStr">
        <is>
          <t>ESSUNGA</t>
        </is>
      </c>
      <c r="G1271" t="n">
        <v>4.2</v>
      </c>
      <c r="H1271" t="n">
        <v>0</v>
      </c>
      <c r="I1271" t="n">
        <v>0</v>
      </c>
      <c r="J1271" t="n">
        <v>0</v>
      </c>
      <c r="K1271" t="n">
        <v>0</v>
      </c>
      <c r="L1271" t="n">
        <v>0</v>
      </c>
      <c r="M1271" t="n">
        <v>0</v>
      </c>
      <c r="N1271" t="n">
        <v>0</v>
      </c>
      <c r="O1271" t="n">
        <v>0</v>
      </c>
      <c r="P1271" t="n">
        <v>0</v>
      </c>
      <c r="Q1271" t="n">
        <v>0</v>
      </c>
      <c r="R1271" s="2" t="inlineStr"/>
    </row>
    <row r="1272" ht="15" customHeight="1">
      <c r="A1272" t="inlineStr">
        <is>
          <t>A 69114-2018</t>
        </is>
      </c>
      <c r="B1272" s="1" t="n">
        <v>43445</v>
      </c>
      <c r="C1272" s="1" t="n">
        <v>45212</v>
      </c>
      <c r="D1272" t="inlineStr">
        <is>
          <t>VÄSTRA GÖTALANDS LÄN</t>
        </is>
      </c>
      <c r="E1272" t="inlineStr">
        <is>
          <t>SKÖVDE</t>
        </is>
      </c>
      <c r="G1272" t="n">
        <v>3.4</v>
      </c>
      <c r="H1272" t="n">
        <v>0</v>
      </c>
      <c r="I1272" t="n">
        <v>0</v>
      </c>
      <c r="J1272" t="n">
        <v>0</v>
      </c>
      <c r="K1272" t="n">
        <v>0</v>
      </c>
      <c r="L1272" t="n">
        <v>0</v>
      </c>
      <c r="M1272" t="n">
        <v>0</v>
      </c>
      <c r="N1272" t="n">
        <v>0</v>
      </c>
      <c r="O1272" t="n">
        <v>0</v>
      </c>
      <c r="P1272" t="n">
        <v>0</v>
      </c>
      <c r="Q1272" t="n">
        <v>0</v>
      </c>
      <c r="R1272" s="2" t="inlineStr"/>
    </row>
    <row r="1273" ht="15" customHeight="1">
      <c r="A1273" t="inlineStr">
        <is>
          <t>A 69127-2018</t>
        </is>
      </c>
      <c r="B1273" s="1" t="n">
        <v>43445</v>
      </c>
      <c r="C1273" s="1" t="n">
        <v>45212</v>
      </c>
      <c r="D1273" t="inlineStr">
        <is>
          <t>VÄSTRA GÖTALANDS LÄN</t>
        </is>
      </c>
      <c r="E1273" t="inlineStr">
        <is>
          <t>SKÖVDE</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69896-2018</t>
        </is>
      </c>
      <c r="B1274" s="1" t="n">
        <v>43445</v>
      </c>
      <c r="C1274" s="1" t="n">
        <v>45212</v>
      </c>
      <c r="D1274" t="inlineStr">
        <is>
          <t>VÄSTRA GÖTALANDS LÄN</t>
        </is>
      </c>
      <c r="E1274" t="inlineStr">
        <is>
          <t>TRANEMO</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70036-2018</t>
        </is>
      </c>
      <c r="B1275" s="1" t="n">
        <v>43445</v>
      </c>
      <c r="C1275" s="1" t="n">
        <v>45212</v>
      </c>
      <c r="D1275" t="inlineStr">
        <is>
          <t>VÄSTRA GÖTALANDS LÄN</t>
        </is>
      </c>
      <c r="E1275" t="inlineStr">
        <is>
          <t>MUNKEDAL</t>
        </is>
      </c>
      <c r="G1275" t="n">
        <v>2.8</v>
      </c>
      <c r="H1275" t="n">
        <v>0</v>
      </c>
      <c r="I1275" t="n">
        <v>0</v>
      </c>
      <c r="J1275" t="n">
        <v>0</v>
      </c>
      <c r="K1275" t="n">
        <v>0</v>
      </c>
      <c r="L1275" t="n">
        <v>0</v>
      </c>
      <c r="M1275" t="n">
        <v>0</v>
      </c>
      <c r="N1275" t="n">
        <v>0</v>
      </c>
      <c r="O1275" t="n">
        <v>0</v>
      </c>
      <c r="P1275" t="n">
        <v>0</v>
      </c>
      <c r="Q1275" t="n">
        <v>0</v>
      </c>
      <c r="R1275" s="2" t="inlineStr"/>
    </row>
    <row r="1276" ht="15" customHeight="1">
      <c r="A1276" t="inlineStr">
        <is>
          <t>A 70118-2018</t>
        </is>
      </c>
      <c r="B1276" s="1" t="n">
        <v>43445</v>
      </c>
      <c r="C1276" s="1" t="n">
        <v>45212</v>
      </c>
      <c r="D1276" t="inlineStr">
        <is>
          <t>VÄSTRA GÖTALANDS LÄN</t>
        </is>
      </c>
      <c r="E1276" t="inlineStr">
        <is>
          <t>MUNKEDAL</t>
        </is>
      </c>
      <c r="G1276" t="n">
        <v>1.7</v>
      </c>
      <c r="H1276" t="n">
        <v>0</v>
      </c>
      <c r="I1276" t="n">
        <v>0</v>
      </c>
      <c r="J1276" t="n">
        <v>0</v>
      </c>
      <c r="K1276" t="n">
        <v>0</v>
      </c>
      <c r="L1276" t="n">
        <v>0</v>
      </c>
      <c r="M1276" t="n">
        <v>0</v>
      </c>
      <c r="N1276" t="n">
        <v>0</v>
      </c>
      <c r="O1276" t="n">
        <v>0</v>
      </c>
      <c r="P1276" t="n">
        <v>0</v>
      </c>
      <c r="Q1276" t="n">
        <v>0</v>
      </c>
      <c r="R1276" s="2" t="inlineStr"/>
    </row>
    <row r="1277" ht="15" customHeight="1">
      <c r="A1277" t="inlineStr">
        <is>
          <t>A 69118-2018</t>
        </is>
      </c>
      <c r="B1277" s="1" t="n">
        <v>43445</v>
      </c>
      <c r="C1277" s="1" t="n">
        <v>45212</v>
      </c>
      <c r="D1277" t="inlineStr">
        <is>
          <t>VÄSTRA GÖTALANDS LÄN</t>
        </is>
      </c>
      <c r="E1277" t="inlineStr">
        <is>
          <t>SKÖVDE</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69128-2018</t>
        </is>
      </c>
      <c r="B1278" s="1" t="n">
        <v>43445</v>
      </c>
      <c r="C1278" s="1" t="n">
        <v>45212</v>
      </c>
      <c r="D1278" t="inlineStr">
        <is>
          <t>VÄSTRA GÖTALANDS LÄN</t>
        </is>
      </c>
      <c r="E1278" t="inlineStr">
        <is>
          <t>SKÖVDE</t>
        </is>
      </c>
      <c r="G1278" t="n">
        <v>0.6</v>
      </c>
      <c r="H1278" t="n">
        <v>0</v>
      </c>
      <c r="I1278" t="n">
        <v>0</v>
      </c>
      <c r="J1278" t="n">
        <v>0</v>
      </c>
      <c r="K1278" t="n">
        <v>0</v>
      </c>
      <c r="L1278" t="n">
        <v>0</v>
      </c>
      <c r="M1278" t="n">
        <v>0</v>
      </c>
      <c r="N1278" t="n">
        <v>0</v>
      </c>
      <c r="O1278" t="n">
        <v>0</v>
      </c>
      <c r="P1278" t="n">
        <v>0</v>
      </c>
      <c r="Q1278" t="n">
        <v>0</v>
      </c>
      <c r="R1278" s="2" t="inlineStr"/>
    </row>
    <row r="1279" ht="15" customHeight="1">
      <c r="A1279" t="inlineStr">
        <is>
          <t>A 70043-2018</t>
        </is>
      </c>
      <c r="B1279" s="1" t="n">
        <v>43445</v>
      </c>
      <c r="C1279" s="1" t="n">
        <v>45212</v>
      </c>
      <c r="D1279" t="inlineStr">
        <is>
          <t>VÄSTRA GÖTALANDS LÄN</t>
        </is>
      </c>
      <c r="E1279" t="inlineStr">
        <is>
          <t>MUNKEDAL</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69048-2018</t>
        </is>
      </c>
      <c r="B1280" s="1" t="n">
        <v>43445</v>
      </c>
      <c r="C1280" s="1" t="n">
        <v>45212</v>
      </c>
      <c r="D1280" t="inlineStr">
        <is>
          <t>VÄSTRA GÖTALANDS LÄN</t>
        </is>
      </c>
      <c r="E1280" t="inlineStr">
        <is>
          <t>VARA</t>
        </is>
      </c>
      <c r="G1280" t="n">
        <v>3.2</v>
      </c>
      <c r="H1280" t="n">
        <v>0</v>
      </c>
      <c r="I1280" t="n">
        <v>0</v>
      </c>
      <c r="J1280" t="n">
        <v>0</v>
      </c>
      <c r="K1280" t="n">
        <v>0</v>
      </c>
      <c r="L1280" t="n">
        <v>0</v>
      </c>
      <c r="M1280" t="n">
        <v>0</v>
      </c>
      <c r="N1280" t="n">
        <v>0</v>
      </c>
      <c r="O1280" t="n">
        <v>0</v>
      </c>
      <c r="P1280" t="n">
        <v>0</v>
      </c>
      <c r="Q1280" t="n">
        <v>0</v>
      </c>
      <c r="R1280" s="2" t="inlineStr"/>
    </row>
    <row r="1281" ht="15" customHeight="1">
      <c r="A1281" t="inlineStr">
        <is>
          <t>A 69126-2018</t>
        </is>
      </c>
      <c r="B1281" s="1" t="n">
        <v>43445</v>
      </c>
      <c r="C1281" s="1" t="n">
        <v>45212</v>
      </c>
      <c r="D1281" t="inlineStr">
        <is>
          <t>VÄSTRA GÖTALANDS LÄN</t>
        </is>
      </c>
      <c r="E1281" t="inlineStr">
        <is>
          <t>TROLLHÄTTAN</t>
        </is>
      </c>
      <c r="G1281" t="n">
        <v>1.1</v>
      </c>
      <c r="H1281" t="n">
        <v>0</v>
      </c>
      <c r="I1281" t="n">
        <v>0</v>
      </c>
      <c r="J1281" t="n">
        <v>0</v>
      </c>
      <c r="K1281" t="n">
        <v>0</v>
      </c>
      <c r="L1281" t="n">
        <v>0</v>
      </c>
      <c r="M1281" t="n">
        <v>0</v>
      </c>
      <c r="N1281" t="n">
        <v>0</v>
      </c>
      <c r="O1281" t="n">
        <v>0</v>
      </c>
      <c r="P1281" t="n">
        <v>0</v>
      </c>
      <c r="Q1281" t="n">
        <v>0</v>
      </c>
      <c r="R1281" s="2" t="inlineStr"/>
    </row>
    <row r="1282" ht="15" customHeight="1">
      <c r="A1282" t="inlineStr">
        <is>
          <t>A 69789-2018</t>
        </is>
      </c>
      <c r="B1282" s="1" t="n">
        <v>43445</v>
      </c>
      <c r="C1282" s="1" t="n">
        <v>45212</v>
      </c>
      <c r="D1282" t="inlineStr">
        <is>
          <t>VÄSTRA GÖTALANDS LÄN</t>
        </is>
      </c>
      <c r="E1282" t="inlineStr">
        <is>
          <t>KARLSBORG</t>
        </is>
      </c>
      <c r="G1282" t="n">
        <v>1.5</v>
      </c>
      <c r="H1282" t="n">
        <v>0</v>
      </c>
      <c r="I1282" t="n">
        <v>0</v>
      </c>
      <c r="J1282" t="n">
        <v>0</v>
      </c>
      <c r="K1282" t="n">
        <v>0</v>
      </c>
      <c r="L1282" t="n">
        <v>0</v>
      </c>
      <c r="M1282" t="n">
        <v>0</v>
      </c>
      <c r="N1282" t="n">
        <v>0</v>
      </c>
      <c r="O1282" t="n">
        <v>0</v>
      </c>
      <c r="P1282" t="n">
        <v>0</v>
      </c>
      <c r="Q1282" t="n">
        <v>0</v>
      </c>
      <c r="R1282" s="2" t="inlineStr"/>
    </row>
    <row r="1283" ht="15" customHeight="1">
      <c r="A1283" t="inlineStr">
        <is>
          <t>A 68936-2018</t>
        </is>
      </c>
      <c r="B1283" s="1" t="n">
        <v>43445</v>
      </c>
      <c r="C1283" s="1" t="n">
        <v>45212</v>
      </c>
      <c r="D1283" t="inlineStr">
        <is>
          <t>VÄSTRA GÖTALANDS LÄN</t>
        </is>
      </c>
      <c r="E1283" t="inlineStr">
        <is>
          <t>ESSUNGA</t>
        </is>
      </c>
      <c r="G1283" t="n">
        <v>4.9</v>
      </c>
      <c r="H1283" t="n">
        <v>0</v>
      </c>
      <c r="I1283" t="n">
        <v>0</v>
      </c>
      <c r="J1283" t="n">
        <v>0</v>
      </c>
      <c r="K1283" t="n">
        <v>0</v>
      </c>
      <c r="L1283" t="n">
        <v>0</v>
      </c>
      <c r="M1283" t="n">
        <v>0</v>
      </c>
      <c r="N1283" t="n">
        <v>0</v>
      </c>
      <c r="O1283" t="n">
        <v>0</v>
      </c>
      <c r="P1283" t="n">
        <v>0</v>
      </c>
      <c r="Q1283" t="n">
        <v>0</v>
      </c>
      <c r="R1283" s="2" t="inlineStr"/>
    </row>
    <row r="1284" ht="15" customHeight="1">
      <c r="A1284" t="inlineStr">
        <is>
          <t>A 68973-2018</t>
        </is>
      </c>
      <c r="B1284" s="1" t="n">
        <v>43445</v>
      </c>
      <c r="C1284" s="1" t="n">
        <v>45212</v>
      </c>
      <c r="D1284" t="inlineStr">
        <is>
          <t>VÄSTRA GÖTALANDS LÄN</t>
        </is>
      </c>
      <c r="E1284" t="inlineStr">
        <is>
          <t>HERRLJUNGA</t>
        </is>
      </c>
      <c r="G1284" t="n">
        <v>3.2</v>
      </c>
      <c r="H1284" t="n">
        <v>0</v>
      </c>
      <c r="I1284" t="n">
        <v>0</v>
      </c>
      <c r="J1284" t="n">
        <v>0</v>
      </c>
      <c r="K1284" t="n">
        <v>0</v>
      </c>
      <c r="L1284" t="n">
        <v>0</v>
      </c>
      <c r="M1284" t="n">
        <v>0</v>
      </c>
      <c r="N1284" t="n">
        <v>0</v>
      </c>
      <c r="O1284" t="n">
        <v>0</v>
      </c>
      <c r="P1284" t="n">
        <v>0</v>
      </c>
      <c r="Q1284" t="n">
        <v>0</v>
      </c>
      <c r="R1284" s="2" t="inlineStr"/>
    </row>
    <row r="1285" ht="15" customHeight="1">
      <c r="A1285" t="inlineStr">
        <is>
          <t>A 69067-2018</t>
        </is>
      </c>
      <c r="B1285" s="1" t="n">
        <v>43445</v>
      </c>
      <c r="C1285" s="1" t="n">
        <v>45212</v>
      </c>
      <c r="D1285" t="inlineStr">
        <is>
          <t>VÄSTRA GÖTALANDS LÄN</t>
        </is>
      </c>
      <c r="E1285" t="inlineStr">
        <is>
          <t>LIDKÖPING</t>
        </is>
      </c>
      <c r="G1285" t="n">
        <v>1.9</v>
      </c>
      <c r="H1285" t="n">
        <v>0</v>
      </c>
      <c r="I1285" t="n">
        <v>0</v>
      </c>
      <c r="J1285" t="n">
        <v>0</v>
      </c>
      <c r="K1285" t="n">
        <v>0</v>
      </c>
      <c r="L1285" t="n">
        <v>0</v>
      </c>
      <c r="M1285" t="n">
        <v>0</v>
      </c>
      <c r="N1285" t="n">
        <v>0</v>
      </c>
      <c r="O1285" t="n">
        <v>0</v>
      </c>
      <c r="P1285" t="n">
        <v>0</v>
      </c>
      <c r="Q1285" t="n">
        <v>0</v>
      </c>
      <c r="R1285" s="2" t="inlineStr"/>
    </row>
    <row r="1286" ht="15" customHeight="1">
      <c r="A1286" t="inlineStr">
        <is>
          <t>A 69122-2018</t>
        </is>
      </c>
      <c r="B1286" s="1" t="n">
        <v>43445</v>
      </c>
      <c r="C1286" s="1" t="n">
        <v>45212</v>
      </c>
      <c r="D1286" t="inlineStr">
        <is>
          <t>VÄSTRA GÖTALANDS LÄN</t>
        </is>
      </c>
      <c r="E1286" t="inlineStr">
        <is>
          <t>SKÖVDE</t>
        </is>
      </c>
      <c r="G1286" t="n">
        <v>0.4</v>
      </c>
      <c r="H1286" t="n">
        <v>0</v>
      </c>
      <c r="I1286" t="n">
        <v>0</v>
      </c>
      <c r="J1286" t="n">
        <v>0</v>
      </c>
      <c r="K1286" t="n">
        <v>0</v>
      </c>
      <c r="L1286" t="n">
        <v>0</v>
      </c>
      <c r="M1286" t="n">
        <v>0</v>
      </c>
      <c r="N1286" t="n">
        <v>0</v>
      </c>
      <c r="O1286" t="n">
        <v>0</v>
      </c>
      <c r="P1286" t="n">
        <v>0</v>
      </c>
      <c r="Q1286" t="n">
        <v>0</v>
      </c>
      <c r="R1286" s="2" t="inlineStr"/>
    </row>
    <row r="1287" ht="15" customHeight="1">
      <c r="A1287" t="inlineStr">
        <is>
          <t>A 69154-2018</t>
        </is>
      </c>
      <c r="B1287" s="1" t="n">
        <v>43445</v>
      </c>
      <c r="C1287" s="1" t="n">
        <v>45212</v>
      </c>
      <c r="D1287" t="inlineStr">
        <is>
          <t>VÄSTRA GÖTALANDS LÄN</t>
        </is>
      </c>
      <c r="E1287" t="inlineStr">
        <is>
          <t>SKÖVDE</t>
        </is>
      </c>
      <c r="G1287" t="n">
        <v>2.5</v>
      </c>
      <c r="H1287" t="n">
        <v>0</v>
      </c>
      <c r="I1287" t="n">
        <v>0</v>
      </c>
      <c r="J1287" t="n">
        <v>0</v>
      </c>
      <c r="K1287" t="n">
        <v>0</v>
      </c>
      <c r="L1287" t="n">
        <v>0</v>
      </c>
      <c r="M1287" t="n">
        <v>0</v>
      </c>
      <c r="N1287" t="n">
        <v>0</v>
      </c>
      <c r="O1287" t="n">
        <v>0</v>
      </c>
      <c r="P1287" t="n">
        <v>0</v>
      </c>
      <c r="Q1287" t="n">
        <v>0</v>
      </c>
      <c r="R1287" s="2" t="inlineStr"/>
    </row>
    <row r="1288" ht="15" customHeight="1">
      <c r="A1288" t="inlineStr">
        <is>
          <t>A 69173-2018</t>
        </is>
      </c>
      <c r="B1288" s="1" t="n">
        <v>43445</v>
      </c>
      <c r="C1288" s="1" t="n">
        <v>45212</v>
      </c>
      <c r="D1288" t="inlineStr">
        <is>
          <t>VÄSTRA GÖTALANDS LÄN</t>
        </is>
      </c>
      <c r="E1288" t="inlineStr">
        <is>
          <t>BORÅS</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70129-2018</t>
        </is>
      </c>
      <c r="B1289" s="1" t="n">
        <v>43445</v>
      </c>
      <c r="C1289" s="1" t="n">
        <v>45212</v>
      </c>
      <c r="D1289" t="inlineStr">
        <is>
          <t>VÄSTRA GÖTALANDS LÄN</t>
        </is>
      </c>
      <c r="E1289" t="inlineStr">
        <is>
          <t>MUNKEDAL</t>
        </is>
      </c>
      <c r="G1289" t="n">
        <v>1.1</v>
      </c>
      <c r="H1289" t="n">
        <v>0</v>
      </c>
      <c r="I1289" t="n">
        <v>0</v>
      </c>
      <c r="J1289" t="n">
        <v>0</v>
      </c>
      <c r="K1289" t="n">
        <v>0</v>
      </c>
      <c r="L1289" t="n">
        <v>0</v>
      </c>
      <c r="M1289" t="n">
        <v>0</v>
      </c>
      <c r="N1289" t="n">
        <v>0</v>
      </c>
      <c r="O1289" t="n">
        <v>0</v>
      </c>
      <c r="P1289" t="n">
        <v>0</v>
      </c>
      <c r="Q1289" t="n">
        <v>0</v>
      </c>
      <c r="R1289" s="2" t="inlineStr"/>
    </row>
    <row r="1290" ht="15" customHeight="1">
      <c r="A1290" t="inlineStr">
        <is>
          <t>A 69256-2018</t>
        </is>
      </c>
      <c r="B1290" s="1" t="n">
        <v>43446</v>
      </c>
      <c r="C1290" s="1" t="n">
        <v>45212</v>
      </c>
      <c r="D1290" t="inlineStr">
        <is>
          <t>VÄSTRA GÖTALANDS LÄN</t>
        </is>
      </c>
      <c r="E1290" t="inlineStr">
        <is>
          <t>BENGTSFORS</t>
        </is>
      </c>
      <c r="G1290" t="n">
        <v>5.8</v>
      </c>
      <c r="H1290" t="n">
        <v>0</v>
      </c>
      <c r="I1290" t="n">
        <v>0</v>
      </c>
      <c r="J1290" t="n">
        <v>0</v>
      </c>
      <c r="K1290" t="n">
        <v>0</v>
      </c>
      <c r="L1290" t="n">
        <v>0</v>
      </c>
      <c r="M1290" t="n">
        <v>0</v>
      </c>
      <c r="N1290" t="n">
        <v>0</v>
      </c>
      <c r="O1290" t="n">
        <v>0</v>
      </c>
      <c r="P1290" t="n">
        <v>0</v>
      </c>
      <c r="Q1290" t="n">
        <v>0</v>
      </c>
      <c r="R1290" s="2" t="inlineStr"/>
    </row>
    <row r="1291" ht="15" customHeight="1">
      <c r="A1291" t="inlineStr">
        <is>
          <t>A 69307-2018</t>
        </is>
      </c>
      <c r="B1291" s="1" t="n">
        <v>43446</v>
      </c>
      <c r="C1291" s="1" t="n">
        <v>45212</v>
      </c>
      <c r="D1291" t="inlineStr">
        <is>
          <t>VÄSTRA GÖTALANDS LÄN</t>
        </is>
      </c>
      <c r="E1291" t="inlineStr">
        <is>
          <t>HERRLJUNGA</t>
        </is>
      </c>
      <c r="G1291" t="n">
        <v>2.3</v>
      </c>
      <c r="H1291" t="n">
        <v>0</v>
      </c>
      <c r="I1291" t="n">
        <v>0</v>
      </c>
      <c r="J1291" t="n">
        <v>0</v>
      </c>
      <c r="K1291" t="n">
        <v>0</v>
      </c>
      <c r="L1291" t="n">
        <v>0</v>
      </c>
      <c r="M1291" t="n">
        <v>0</v>
      </c>
      <c r="N1291" t="n">
        <v>0</v>
      </c>
      <c r="O1291" t="n">
        <v>0</v>
      </c>
      <c r="P1291" t="n">
        <v>0</v>
      </c>
      <c r="Q1291" t="n">
        <v>0</v>
      </c>
      <c r="R1291" s="2" t="inlineStr"/>
    </row>
    <row r="1292" ht="15" customHeight="1">
      <c r="A1292" t="inlineStr">
        <is>
          <t>A 69374-2018</t>
        </is>
      </c>
      <c r="B1292" s="1" t="n">
        <v>43446</v>
      </c>
      <c r="C1292" s="1" t="n">
        <v>45212</v>
      </c>
      <c r="D1292" t="inlineStr">
        <is>
          <t>VÄSTRA GÖTALANDS LÄN</t>
        </is>
      </c>
      <c r="E1292" t="inlineStr">
        <is>
          <t>HERRLJUNGA</t>
        </is>
      </c>
      <c r="G1292" t="n">
        <v>2.8</v>
      </c>
      <c r="H1292" t="n">
        <v>0</v>
      </c>
      <c r="I1292" t="n">
        <v>0</v>
      </c>
      <c r="J1292" t="n">
        <v>0</v>
      </c>
      <c r="K1292" t="n">
        <v>0</v>
      </c>
      <c r="L1292" t="n">
        <v>0</v>
      </c>
      <c r="M1292" t="n">
        <v>0</v>
      </c>
      <c r="N1292" t="n">
        <v>0</v>
      </c>
      <c r="O1292" t="n">
        <v>0</v>
      </c>
      <c r="P1292" t="n">
        <v>0</v>
      </c>
      <c r="Q1292" t="n">
        <v>0</v>
      </c>
      <c r="R1292" s="2" t="inlineStr"/>
    </row>
    <row r="1293" ht="15" customHeight="1">
      <c r="A1293" t="inlineStr">
        <is>
          <t>A 69469-2018</t>
        </is>
      </c>
      <c r="B1293" s="1" t="n">
        <v>43446</v>
      </c>
      <c r="C1293" s="1" t="n">
        <v>45212</v>
      </c>
      <c r="D1293" t="inlineStr">
        <is>
          <t>VÄSTRA GÖTALANDS LÄN</t>
        </is>
      </c>
      <c r="E1293" t="inlineStr">
        <is>
          <t>ORUST</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69533-2018</t>
        </is>
      </c>
      <c r="B1294" s="1" t="n">
        <v>43446</v>
      </c>
      <c r="C1294" s="1" t="n">
        <v>45212</v>
      </c>
      <c r="D1294" t="inlineStr">
        <is>
          <t>VÄSTRA GÖTALANDS LÄN</t>
        </is>
      </c>
      <c r="E1294" t="inlineStr">
        <is>
          <t>VÅRGÅRDA</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70302-2018</t>
        </is>
      </c>
      <c r="B1295" s="1" t="n">
        <v>43446</v>
      </c>
      <c r="C1295" s="1" t="n">
        <v>45212</v>
      </c>
      <c r="D1295" t="inlineStr">
        <is>
          <t>VÄSTRA GÖTALANDS LÄN</t>
        </is>
      </c>
      <c r="E1295" t="inlineStr">
        <is>
          <t>FALKÖPING</t>
        </is>
      </c>
      <c r="G1295" t="n">
        <v>5.4</v>
      </c>
      <c r="H1295" t="n">
        <v>0</v>
      </c>
      <c r="I1295" t="n">
        <v>0</v>
      </c>
      <c r="J1295" t="n">
        <v>0</v>
      </c>
      <c r="K1295" t="n">
        <v>0</v>
      </c>
      <c r="L1295" t="n">
        <v>0</v>
      </c>
      <c r="M1295" t="n">
        <v>0</v>
      </c>
      <c r="N1295" t="n">
        <v>0</v>
      </c>
      <c r="O1295" t="n">
        <v>0</v>
      </c>
      <c r="P1295" t="n">
        <v>0</v>
      </c>
      <c r="Q1295" t="n">
        <v>0</v>
      </c>
      <c r="R1295" s="2" t="inlineStr"/>
    </row>
    <row r="1296" ht="15" customHeight="1">
      <c r="A1296" t="inlineStr">
        <is>
          <t>A 70357-2018</t>
        </is>
      </c>
      <c r="B1296" s="1" t="n">
        <v>43446</v>
      </c>
      <c r="C1296" s="1" t="n">
        <v>45212</v>
      </c>
      <c r="D1296" t="inlineStr">
        <is>
          <t>VÄSTRA GÖTALANDS LÄN</t>
        </is>
      </c>
      <c r="E1296" t="inlineStr">
        <is>
          <t>HJO</t>
        </is>
      </c>
      <c r="G1296" t="n">
        <v>21.1</v>
      </c>
      <c r="H1296" t="n">
        <v>0</v>
      </c>
      <c r="I1296" t="n">
        <v>0</v>
      </c>
      <c r="J1296" t="n">
        <v>0</v>
      </c>
      <c r="K1296" t="n">
        <v>0</v>
      </c>
      <c r="L1296" t="n">
        <v>0</v>
      </c>
      <c r="M1296" t="n">
        <v>0</v>
      </c>
      <c r="N1296" t="n">
        <v>0</v>
      </c>
      <c r="O1296" t="n">
        <v>0</v>
      </c>
      <c r="P1296" t="n">
        <v>0</v>
      </c>
      <c r="Q1296" t="n">
        <v>0</v>
      </c>
      <c r="R1296" s="2" t="inlineStr"/>
    </row>
    <row r="1297" ht="15" customHeight="1">
      <c r="A1297" t="inlineStr">
        <is>
          <t>A 70387-2018</t>
        </is>
      </c>
      <c r="B1297" s="1" t="n">
        <v>43446</v>
      </c>
      <c r="C1297" s="1" t="n">
        <v>45212</v>
      </c>
      <c r="D1297" t="inlineStr">
        <is>
          <t>VÄSTRA GÖTALANDS LÄN</t>
        </is>
      </c>
      <c r="E1297" t="inlineStr">
        <is>
          <t>STRÖMSTAD</t>
        </is>
      </c>
      <c r="F1297" t="inlineStr">
        <is>
          <t>Kyrkan</t>
        </is>
      </c>
      <c r="G1297" t="n">
        <v>1.2</v>
      </c>
      <c r="H1297" t="n">
        <v>0</v>
      </c>
      <c r="I1297" t="n">
        <v>0</v>
      </c>
      <c r="J1297" t="n">
        <v>0</v>
      </c>
      <c r="K1297" t="n">
        <v>0</v>
      </c>
      <c r="L1297" t="n">
        <v>0</v>
      </c>
      <c r="M1297" t="n">
        <v>0</v>
      </c>
      <c r="N1297" t="n">
        <v>0</v>
      </c>
      <c r="O1297" t="n">
        <v>0</v>
      </c>
      <c r="P1297" t="n">
        <v>0</v>
      </c>
      <c r="Q1297" t="n">
        <v>0</v>
      </c>
      <c r="R1297" s="2" t="inlineStr"/>
    </row>
    <row r="1298" ht="15" customHeight="1">
      <c r="A1298" t="inlineStr">
        <is>
          <t>A 69409-2018</t>
        </is>
      </c>
      <c r="B1298" s="1" t="n">
        <v>43446</v>
      </c>
      <c r="C1298" s="1" t="n">
        <v>45212</v>
      </c>
      <c r="D1298" t="inlineStr">
        <is>
          <t>VÄSTRA GÖTALANDS LÄN</t>
        </is>
      </c>
      <c r="E1298" t="inlineStr">
        <is>
          <t>BENGTSFORS</t>
        </is>
      </c>
      <c r="G1298" t="n">
        <v>0.9</v>
      </c>
      <c r="H1298" t="n">
        <v>0</v>
      </c>
      <c r="I1298" t="n">
        <v>0</v>
      </c>
      <c r="J1298" t="n">
        <v>0</v>
      </c>
      <c r="K1298" t="n">
        <v>0</v>
      </c>
      <c r="L1298" t="n">
        <v>0</v>
      </c>
      <c r="M1298" t="n">
        <v>0</v>
      </c>
      <c r="N1298" t="n">
        <v>0</v>
      </c>
      <c r="O1298" t="n">
        <v>0</v>
      </c>
      <c r="P1298" t="n">
        <v>0</v>
      </c>
      <c r="Q1298" t="n">
        <v>0</v>
      </c>
      <c r="R1298" s="2" t="inlineStr"/>
    </row>
    <row r="1299" ht="15" customHeight="1">
      <c r="A1299" t="inlineStr">
        <is>
          <t>A 70299-2018</t>
        </is>
      </c>
      <c r="B1299" s="1" t="n">
        <v>43446</v>
      </c>
      <c r="C1299" s="1" t="n">
        <v>45212</v>
      </c>
      <c r="D1299" t="inlineStr">
        <is>
          <t>VÄSTRA GÖTALANDS LÄN</t>
        </is>
      </c>
      <c r="E1299" t="inlineStr">
        <is>
          <t>FALKÖPING</t>
        </is>
      </c>
      <c r="G1299" t="n">
        <v>2.3</v>
      </c>
      <c r="H1299" t="n">
        <v>0</v>
      </c>
      <c r="I1299" t="n">
        <v>0</v>
      </c>
      <c r="J1299" t="n">
        <v>0</v>
      </c>
      <c r="K1299" t="n">
        <v>0</v>
      </c>
      <c r="L1299" t="n">
        <v>0</v>
      </c>
      <c r="M1299" t="n">
        <v>0</v>
      </c>
      <c r="N1299" t="n">
        <v>0</v>
      </c>
      <c r="O1299" t="n">
        <v>0</v>
      </c>
      <c r="P1299" t="n">
        <v>0</v>
      </c>
      <c r="Q1299" t="n">
        <v>0</v>
      </c>
      <c r="R1299" s="2" t="inlineStr"/>
    </row>
    <row r="1300" ht="15" customHeight="1">
      <c r="A1300" t="inlineStr">
        <is>
          <t>A 70334-2018</t>
        </is>
      </c>
      <c r="B1300" s="1" t="n">
        <v>43446</v>
      </c>
      <c r="C1300" s="1" t="n">
        <v>45212</v>
      </c>
      <c r="D1300" t="inlineStr">
        <is>
          <t>VÄSTRA GÖTALANDS LÄN</t>
        </is>
      </c>
      <c r="E1300" t="inlineStr">
        <is>
          <t>ALINGSÅS</t>
        </is>
      </c>
      <c r="G1300" t="n">
        <v>0.5</v>
      </c>
      <c r="H1300" t="n">
        <v>0</v>
      </c>
      <c r="I1300" t="n">
        <v>0</v>
      </c>
      <c r="J1300" t="n">
        <v>0</v>
      </c>
      <c r="K1300" t="n">
        <v>0</v>
      </c>
      <c r="L1300" t="n">
        <v>0</v>
      </c>
      <c r="M1300" t="n">
        <v>0</v>
      </c>
      <c r="N1300" t="n">
        <v>0</v>
      </c>
      <c r="O1300" t="n">
        <v>0</v>
      </c>
      <c r="P1300" t="n">
        <v>0</v>
      </c>
      <c r="Q1300" t="n">
        <v>0</v>
      </c>
      <c r="R1300" s="2" t="inlineStr"/>
    </row>
    <row r="1301" ht="15" customHeight="1">
      <c r="A1301" t="inlineStr">
        <is>
          <t>A 70349-2018</t>
        </is>
      </c>
      <c r="B1301" s="1" t="n">
        <v>43446</v>
      </c>
      <c r="C1301" s="1" t="n">
        <v>45212</v>
      </c>
      <c r="D1301" t="inlineStr">
        <is>
          <t>VÄSTRA GÖTALANDS LÄN</t>
        </is>
      </c>
      <c r="E1301" t="inlineStr">
        <is>
          <t>TANUM</t>
        </is>
      </c>
      <c r="G1301" t="n">
        <v>2.6</v>
      </c>
      <c r="H1301" t="n">
        <v>0</v>
      </c>
      <c r="I1301" t="n">
        <v>0</v>
      </c>
      <c r="J1301" t="n">
        <v>0</v>
      </c>
      <c r="K1301" t="n">
        <v>0</v>
      </c>
      <c r="L1301" t="n">
        <v>0</v>
      </c>
      <c r="M1301" t="n">
        <v>0</v>
      </c>
      <c r="N1301" t="n">
        <v>0</v>
      </c>
      <c r="O1301" t="n">
        <v>0</v>
      </c>
      <c r="P1301" t="n">
        <v>0</v>
      </c>
      <c r="Q1301" t="n">
        <v>0</v>
      </c>
      <c r="R1301" s="2" t="inlineStr"/>
    </row>
    <row r="1302" ht="15" customHeight="1">
      <c r="A1302" t="inlineStr">
        <is>
          <t>A 69348-2018</t>
        </is>
      </c>
      <c r="B1302" s="1" t="n">
        <v>43446</v>
      </c>
      <c r="C1302" s="1" t="n">
        <v>45212</v>
      </c>
      <c r="D1302" t="inlineStr">
        <is>
          <t>VÄSTRA GÖTALANDS LÄN</t>
        </is>
      </c>
      <c r="E1302" t="inlineStr">
        <is>
          <t>UDDEVALLA</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69387-2018</t>
        </is>
      </c>
      <c r="B1303" s="1" t="n">
        <v>43446</v>
      </c>
      <c r="C1303" s="1" t="n">
        <v>45212</v>
      </c>
      <c r="D1303" t="inlineStr">
        <is>
          <t>VÄSTRA GÖTALANDS LÄN</t>
        </is>
      </c>
      <c r="E1303" t="inlineStr">
        <is>
          <t>LIDKÖPING</t>
        </is>
      </c>
      <c r="G1303" t="n">
        <v>1.9</v>
      </c>
      <c r="H1303" t="n">
        <v>0</v>
      </c>
      <c r="I1303" t="n">
        <v>0</v>
      </c>
      <c r="J1303" t="n">
        <v>0</v>
      </c>
      <c r="K1303" t="n">
        <v>0</v>
      </c>
      <c r="L1303" t="n">
        <v>0</v>
      </c>
      <c r="M1303" t="n">
        <v>0</v>
      </c>
      <c r="N1303" t="n">
        <v>0</v>
      </c>
      <c r="O1303" t="n">
        <v>0</v>
      </c>
      <c r="P1303" t="n">
        <v>0</v>
      </c>
      <c r="Q1303" t="n">
        <v>0</v>
      </c>
      <c r="R1303" s="2" t="inlineStr"/>
    </row>
    <row r="1304" ht="15" customHeight="1">
      <c r="A1304" t="inlineStr">
        <is>
          <t>A 69466-2018</t>
        </is>
      </c>
      <c r="B1304" s="1" t="n">
        <v>43446</v>
      </c>
      <c r="C1304" s="1" t="n">
        <v>45212</v>
      </c>
      <c r="D1304" t="inlineStr">
        <is>
          <t>VÄSTRA GÖTALANDS LÄN</t>
        </is>
      </c>
      <c r="E1304" t="inlineStr">
        <is>
          <t>ORUST</t>
        </is>
      </c>
      <c r="G1304" t="n">
        <v>13.8</v>
      </c>
      <c r="H1304" t="n">
        <v>0</v>
      </c>
      <c r="I1304" t="n">
        <v>0</v>
      </c>
      <c r="J1304" t="n">
        <v>0</v>
      </c>
      <c r="K1304" t="n">
        <v>0</v>
      </c>
      <c r="L1304" t="n">
        <v>0</v>
      </c>
      <c r="M1304" t="n">
        <v>0</v>
      </c>
      <c r="N1304" t="n">
        <v>0</v>
      </c>
      <c r="O1304" t="n">
        <v>0</v>
      </c>
      <c r="P1304" t="n">
        <v>0</v>
      </c>
      <c r="Q1304" t="n">
        <v>0</v>
      </c>
      <c r="R1304" s="2" t="inlineStr"/>
    </row>
    <row r="1305" ht="15" customHeight="1">
      <c r="A1305" t="inlineStr">
        <is>
          <t>A 70301-2018</t>
        </is>
      </c>
      <c r="B1305" s="1" t="n">
        <v>43446</v>
      </c>
      <c r="C1305" s="1" t="n">
        <v>45212</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70335-2018</t>
        </is>
      </c>
      <c r="B1306" s="1" t="n">
        <v>43446</v>
      </c>
      <c r="C1306" s="1" t="n">
        <v>45212</v>
      </c>
      <c r="D1306" t="inlineStr">
        <is>
          <t>VÄSTRA GÖTALANDS LÄN</t>
        </is>
      </c>
      <c r="E1306" t="inlineStr">
        <is>
          <t>ALINGSÅS</t>
        </is>
      </c>
      <c r="G1306" t="n">
        <v>1</v>
      </c>
      <c r="H1306" t="n">
        <v>0</v>
      </c>
      <c r="I1306" t="n">
        <v>0</v>
      </c>
      <c r="J1306" t="n">
        <v>0</v>
      </c>
      <c r="K1306" t="n">
        <v>0</v>
      </c>
      <c r="L1306" t="n">
        <v>0</v>
      </c>
      <c r="M1306" t="n">
        <v>0</v>
      </c>
      <c r="N1306" t="n">
        <v>0</v>
      </c>
      <c r="O1306" t="n">
        <v>0</v>
      </c>
      <c r="P1306" t="n">
        <v>0</v>
      </c>
      <c r="Q1306" t="n">
        <v>0</v>
      </c>
      <c r="R1306" s="2" t="inlineStr"/>
    </row>
    <row r="1307" ht="15" customHeight="1">
      <c r="A1307" t="inlineStr">
        <is>
          <t>A 70356-2018</t>
        </is>
      </c>
      <c r="B1307" s="1" t="n">
        <v>43446</v>
      </c>
      <c r="C1307" s="1" t="n">
        <v>45212</v>
      </c>
      <c r="D1307" t="inlineStr">
        <is>
          <t>VÄSTRA GÖTALANDS LÄN</t>
        </is>
      </c>
      <c r="E1307" t="inlineStr">
        <is>
          <t>HJO</t>
        </is>
      </c>
      <c r="G1307" t="n">
        <v>3.4</v>
      </c>
      <c r="H1307" t="n">
        <v>0</v>
      </c>
      <c r="I1307" t="n">
        <v>0</v>
      </c>
      <c r="J1307" t="n">
        <v>0</v>
      </c>
      <c r="K1307" t="n">
        <v>0</v>
      </c>
      <c r="L1307" t="n">
        <v>0</v>
      </c>
      <c r="M1307" t="n">
        <v>0</v>
      </c>
      <c r="N1307" t="n">
        <v>0</v>
      </c>
      <c r="O1307" t="n">
        <v>0</v>
      </c>
      <c r="P1307" t="n">
        <v>0</v>
      </c>
      <c r="Q1307" t="n">
        <v>0</v>
      </c>
      <c r="R1307" s="2" t="inlineStr"/>
    </row>
    <row r="1308" ht="15" customHeight="1">
      <c r="A1308" t="inlineStr">
        <is>
          <t>A 70298-2018</t>
        </is>
      </c>
      <c r="B1308" s="1" t="n">
        <v>43446</v>
      </c>
      <c r="C1308" s="1" t="n">
        <v>45212</v>
      </c>
      <c r="D1308" t="inlineStr">
        <is>
          <t>VÄSTRA GÖTALANDS LÄN</t>
        </is>
      </c>
      <c r="E1308" t="inlineStr">
        <is>
          <t>FALKÖPING</t>
        </is>
      </c>
      <c r="G1308" t="n">
        <v>4.9</v>
      </c>
      <c r="H1308" t="n">
        <v>0</v>
      </c>
      <c r="I1308" t="n">
        <v>0</v>
      </c>
      <c r="J1308" t="n">
        <v>0</v>
      </c>
      <c r="K1308" t="n">
        <v>0</v>
      </c>
      <c r="L1308" t="n">
        <v>0</v>
      </c>
      <c r="M1308" t="n">
        <v>0</v>
      </c>
      <c r="N1308" t="n">
        <v>0</v>
      </c>
      <c r="O1308" t="n">
        <v>0</v>
      </c>
      <c r="P1308" t="n">
        <v>0</v>
      </c>
      <c r="Q1308" t="n">
        <v>0</v>
      </c>
      <c r="R1308" s="2" t="inlineStr"/>
    </row>
    <row r="1309" ht="15" customHeight="1">
      <c r="A1309" t="inlineStr">
        <is>
          <t>A 70361-2018</t>
        </is>
      </c>
      <c r="B1309" s="1" t="n">
        <v>43446</v>
      </c>
      <c r="C1309" s="1" t="n">
        <v>45212</v>
      </c>
      <c r="D1309" t="inlineStr">
        <is>
          <t>VÄSTRA GÖTALANDS LÄN</t>
        </is>
      </c>
      <c r="E1309" t="inlineStr">
        <is>
          <t>TANUM</t>
        </is>
      </c>
      <c r="G1309" t="n">
        <v>2.9</v>
      </c>
      <c r="H1309" t="n">
        <v>0</v>
      </c>
      <c r="I1309" t="n">
        <v>0</v>
      </c>
      <c r="J1309" t="n">
        <v>0</v>
      </c>
      <c r="K1309" t="n">
        <v>0</v>
      </c>
      <c r="L1309" t="n">
        <v>0</v>
      </c>
      <c r="M1309" t="n">
        <v>0</v>
      </c>
      <c r="N1309" t="n">
        <v>0</v>
      </c>
      <c r="O1309" t="n">
        <v>0</v>
      </c>
      <c r="P1309" t="n">
        <v>0</v>
      </c>
      <c r="Q1309" t="n">
        <v>0</v>
      </c>
      <c r="R1309" s="2" t="inlineStr"/>
    </row>
    <row r="1310" ht="15" customHeight="1">
      <c r="A1310" t="inlineStr">
        <is>
          <t>A 69632-2018</t>
        </is>
      </c>
      <c r="B1310" s="1" t="n">
        <v>43447</v>
      </c>
      <c r="C1310" s="1" t="n">
        <v>45212</v>
      </c>
      <c r="D1310" t="inlineStr">
        <is>
          <t>VÄSTRA GÖTALANDS LÄN</t>
        </is>
      </c>
      <c r="E1310" t="inlineStr">
        <is>
          <t>VARA</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69722-2018</t>
        </is>
      </c>
      <c r="B1311" s="1" t="n">
        <v>43447</v>
      </c>
      <c r="C1311" s="1" t="n">
        <v>45212</v>
      </c>
      <c r="D1311" t="inlineStr">
        <is>
          <t>VÄSTRA GÖTALANDS LÄN</t>
        </is>
      </c>
      <c r="E1311" t="inlineStr">
        <is>
          <t>TRANEMO</t>
        </is>
      </c>
      <c r="G1311" t="n">
        <v>2.7</v>
      </c>
      <c r="H1311" t="n">
        <v>0</v>
      </c>
      <c r="I1311" t="n">
        <v>0</v>
      </c>
      <c r="J1311" t="n">
        <v>0</v>
      </c>
      <c r="K1311" t="n">
        <v>0</v>
      </c>
      <c r="L1311" t="n">
        <v>0</v>
      </c>
      <c r="M1311" t="n">
        <v>0</v>
      </c>
      <c r="N1311" t="n">
        <v>0</v>
      </c>
      <c r="O1311" t="n">
        <v>0</v>
      </c>
      <c r="P1311" t="n">
        <v>0</v>
      </c>
      <c r="Q1311" t="n">
        <v>0</v>
      </c>
      <c r="R1311" s="2" t="inlineStr"/>
    </row>
    <row r="1312" ht="15" customHeight="1">
      <c r="A1312" t="inlineStr">
        <is>
          <t>A 70525-2018</t>
        </is>
      </c>
      <c r="B1312" s="1" t="n">
        <v>43447</v>
      </c>
      <c r="C1312" s="1" t="n">
        <v>45212</v>
      </c>
      <c r="D1312" t="inlineStr">
        <is>
          <t>VÄSTRA GÖTALANDS LÄN</t>
        </is>
      </c>
      <c r="E1312" t="inlineStr">
        <is>
          <t>STRÖMSTAD</t>
        </is>
      </c>
      <c r="G1312" t="n">
        <v>1.3</v>
      </c>
      <c r="H1312" t="n">
        <v>0</v>
      </c>
      <c r="I1312" t="n">
        <v>0</v>
      </c>
      <c r="J1312" t="n">
        <v>0</v>
      </c>
      <c r="K1312" t="n">
        <v>0</v>
      </c>
      <c r="L1312" t="n">
        <v>0</v>
      </c>
      <c r="M1312" t="n">
        <v>0</v>
      </c>
      <c r="N1312" t="n">
        <v>0</v>
      </c>
      <c r="O1312" t="n">
        <v>0</v>
      </c>
      <c r="P1312" t="n">
        <v>0</v>
      </c>
      <c r="Q1312" t="n">
        <v>0</v>
      </c>
      <c r="R1312" s="2" t="inlineStr"/>
    </row>
    <row r="1313" ht="15" customHeight="1">
      <c r="A1313" t="inlineStr">
        <is>
          <t>A 70554-2018</t>
        </is>
      </c>
      <c r="B1313" s="1" t="n">
        <v>43447</v>
      </c>
      <c r="C1313" s="1" t="n">
        <v>45212</v>
      </c>
      <c r="D1313" t="inlineStr">
        <is>
          <t>VÄSTRA GÖTALANDS LÄN</t>
        </is>
      </c>
      <c r="E1313" t="inlineStr">
        <is>
          <t>VARA</t>
        </is>
      </c>
      <c r="G1313" t="n">
        <v>3.6</v>
      </c>
      <c r="H1313" t="n">
        <v>0</v>
      </c>
      <c r="I1313" t="n">
        <v>0</v>
      </c>
      <c r="J1313" t="n">
        <v>0</v>
      </c>
      <c r="K1313" t="n">
        <v>0</v>
      </c>
      <c r="L1313" t="n">
        <v>0</v>
      </c>
      <c r="M1313" t="n">
        <v>0</v>
      </c>
      <c r="N1313" t="n">
        <v>0</v>
      </c>
      <c r="O1313" t="n">
        <v>0</v>
      </c>
      <c r="P1313" t="n">
        <v>0</v>
      </c>
      <c r="Q1313" t="n">
        <v>0</v>
      </c>
      <c r="R1313" s="2" t="inlineStr"/>
    </row>
    <row r="1314" ht="15" customHeight="1">
      <c r="A1314" t="inlineStr">
        <is>
          <t>A 70690-2018</t>
        </is>
      </c>
      <c r="B1314" s="1" t="n">
        <v>43447</v>
      </c>
      <c r="C1314" s="1" t="n">
        <v>45212</v>
      </c>
      <c r="D1314" t="inlineStr">
        <is>
          <t>VÄSTRA GÖTALANDS LÄN</t>
        </is>
      </c>
      <c r="E1314" t="inlineStr">
        <is>
          <t>MARIESTAD</t>
        </is>
      </c>
      <c r="F1314" t="inlineStr">
        <is>
          <t>Kyrkan</t>
        </is>
      </c>
      <c r="G1314" t="n">
        <v>4.2</v>
      </c>
      <c r="H1314" t="n">
        <v>0</v>
      </c>
      <c r="I1314" t="n">
        <v>0</v>
      </c>
      <c r="J1314" t="n">
        <v>0</v>
      </c>
      <c r="K1314" t="n">
        <v>0</v>
      </c>
      <c r="L1314" t="n">
        <v>0</v>
      </c>
      <c r="M1314" t="n">
        <v>0</v>
      </c>
      <c r="N1314" t="n">
        <v>0</v>
      </c>
      <c r="O1314" t="n">
        <v>0</v>
      </c>
      <c r="P1314" t="n">
        <v>0</v>
      </c>
      <c r="Q1314" t="n">
        <v>0</v>
      </c>
      <c r="R1314" s="2" t="inlineStr"/>
    </row>
    <row r="1315" ht="15" customHeight="1">
      <c r="A1315" t="inlineStr">
        <is>
          <t>A 69774-2018</t>
        </is>
      </c>
      <c r="B1315" s="1" t="n">
        <v>43447</v>
      </c>
      <c r="C1315" s="1" t="n">
        <v>45212</v>
      </c>
      <c r="D1315" t="inlineStr">
        <is>
          <t>VÄSTRA GÖTALANDS LÄN</t>
        </is>
      </c>
      <c r="E1315" t="inlineStr">
        <is>
          <t>TANUM</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69925-2018</t>
        </is>
      </c>
      <c r="B1316" s="1" t="n">
        <v>43447</v>
      </c>
      <c r="C1316" s="1" t="n">
        <v>45212</v>
      </c>
      <c r="D1316" t="inlineStr">
        <is>
          <t>VÄSTRA GÖTALANDS LÄN</t>
        </is>
      </c>
      <c r="E1316" t="inlineStr">
        <is>
          <t>FALKÖPING</t>
        </is>
      </c>
      <c r="F1316" t="inlineStr">
        <is>
          <t>Kyrkan</t>
        </is>
      </c>
      <c r="G1316" t="n">
        <v>3.6</v>
      </c>
      <c r="H1316" t="n">
        <v>0</v>
      </c>
      <c r="I1316" t="n">
        <v>0</v>
      </c>
      <c r="J1316" t="n">
        <v>0</v>
      </c>
      <c r="K1316" t="n">
        <v>0</v>
      </c>
      <c r="L1316" t="n">
        <v>0</v>
      </c>
      <c r="M1316" t="n">
        <v>0</v>
      </c>
      <c r="N1316" t="n">
        <v>0</v>
      </c>
      <c r="O1316" t="n">
        <v>0</v>
      </c>
      <c r="P1316" t="n">
        <v>0</v>
      </c>
      <c r="Q1316" t="n">
        <v>0</v>
      </c>
      <c r="R1316" s="2" t="inlineStr"/>
    </row>
    <row r="1317" ht="15" customHeight="1">
      <c r="A1317" t="inlineStr">
        <is>
          <t>A 70529-2018</t>
        </is>
      </c>
      <c r="B1317" s="1" t="n">
        <v>43447</v>
      </c>
      <c r="C1317" s="1" t="n">
        <v>45212</v>
      </c>
      <c r="D1317" t="inlineStr">
        <is>
          <t>VÄSTRA GÖTALANDS LÄN</t>
        </is>
      </c>
      <c r="E1317" t="inlineStr">
        <is>
          <t>STRÖMSTAD</t>
        </is>
      </c>
      <c r="G1317" t="n">
        <v>1.9</v>
      </c>
      <c r="H1317" t="n">
        <v>0</v>
      </c>
      <c r="I1317" t="n">
        <v>0</v>
      </c>
      <c r="J1317" t="n">
        <v>0</v>
      </c>
      <c r="K1317" t="n">
        <v>0</v>
      </c>
      <c r="L1317" t="n">
        <v>0</v>
      </c>
      <c r="M1317" t="n">
        <v>0</v>
      </c>
      <c r="N1317" t="n">
        <v>0</v>
      </c>
      <c r="O1317" t="n">
        <v>0</v>
      </c>
      <c r="P1317" t="n">
        <v>0</v>
      </c>
      <c r="Q1317" t="n">
        <v>0</v>
      </c>
      <c r="R1317" s="2" t="inlineStr"/>
    </row>
    <row r="1318" ht="15" customHeight="1">
      <c r="A1318" t="inlineStr">
        <is>
          <t>A 69613-2018</t>
        </is>
      </c>
      <c r="B1318" s="1" t="n">
        <v>43447</v>
      </c>
      <c r="C1318" s="1" t="n">
        <v>45212</v>
      </c>
      <c r="D1318" t="inlineStr">
        <is>
          <t>VÄSTRA GÖTALANDS LÄN</t>
        </is>
      </c>
      <c r="E1318" t="inlineStr">
        <is>
          <t>MARK</t>
        </is>
      </c>
      <c r="G1318" t="n">
        <v>2</v>
      </c>
      <c r="H1318" t="n">
        <v>0</v>
      </c>
      <c r="I1318" t="n">
        <v>0</v>
      </c>
      <c r="J1318" t="n">
        <v>0</v>
      </c>
      <c r="K1318" t="n">
        <v>0</v>
      </c>
      <c r="L1318" t="n">
        <v>0</v>
      </c>
      <c r="M1318" t="n">
        <v>0</v>
      </c>
      <c r="N1318" t="n">
        <v>0</v>
      </c>
      <c r="O1318" t="n">
        <v>0</v>
      </c>
      <c r="P1318" t="n">
        <v>0</v>
      </c>
      <c r="Q1318" t="n">
        <v>0</v>
      </c>
      <c r="R1318" s="2" t="inlineStr"/>
    </row>
    <row r="1319" ht="15" customHeight="1">
      <c r="A1319" t="inlineStr">
        <is>
          <t>A 69626-2018</t>
        </is>
      </c>
      <c r="B1319" s="1" t="n">
        <v>43447</v>
      </c>
      <c r="C1319" s="1" t="n">
        <v>45212</v>
      </c>
      <c r="D1319" t="inlineStr">
        <is>
          <t>VÄSTRA GÖTALANDS LÄN</t>
        </is>
      </c>
      <c r="E1319" t="inlineStr">
        <is>
          <t>VÅRGÅRDA</t>
        </is>
      </c>
      <c r="G1319" t="n">
        <v>4.5</v>
      </c>
      <c r="H1319" t="n">
        <v>0</v>
      </c>
      <c r="I1319" t="n">
        <v>0</v>
      </c>
      <c r="J1319" t="n">
        <v>0</v>
      </c>
      <c r="K1319" t="n">
        <v>0</v>
      </c>
      <c r="L1319" t="n">
        <v>0</v>
      </c>
      <c r="M1319" t="n">
        <v>0</v>
      </c>
      <c r="N1319" t="n">
        <v>0</v>
      </c>
      <c r="O1319" t="n">
        <v>0</v>
      </c>
      <c r="P1319" t="n">
        <v>0</v>
      </c>
      <c r="Q1319" t="n">
        <v>0</v>
      </c>
      <c r="R1319" s="2" t="inlineStr"/>
    </row>
    <row r="1320" ht="15" customHeight="1">
      <c r="A1320" t="inlineStr">
        <is>
          <t>A 69694-2018</t>
        </is>
      </c>
      <c r="B1320" s="1" t="n">
        <v>43447</v>
      </c>
      <c r="C1320" s="1" t="n">
        <v>45212</v>
      </c>
      <c r="D1320" t="inlineStr">
        <is>
          <t>VÄSTRA GÖTALANDS LÄN</t>
        </is>
      </c>
      <c r="E1320" t="inlineStr">
        <is>
          <t>MARK</t>
        </is>
      </c>
      <c r="G1320" t="n">
        <v>2.4</v>
      </c>
      <c r="H1320" t="n">
        <v>0</v>
      </c>
      <c r="I1320" t="n">
        <v>0</v>
      </c>
      <c r="J1320" t="n">
        <v>0</v>
      </c>
      <c r="K1320" t="n">
        <v>0</v>
      </c>
      <c r="L1320" t="n">
        <v>0</v>
      </c>
      <c r="M1320" t="n">
        <v>0</v>
      </c>
      <c r="N1320" t="n">
        <v>0</v>
      </c>
      <c r="O1320" t="n">
        <v>0</v>
      </c>
      <c r="P1320" t="n">
        <v>0</v>
      </c>
      <c r="Q1320" t="n">
        <v>0</v>
      </c>
      <c r="R1320" s="2" t="inlineStr"/>
    </row>
    <row r="1321" ht="15" customHeight="1">
      <c r="A1321" t="inlineStr">
        <is>
          <t>A 69785-2018</t>
        </is>
      </c>
      <c r="B1321" s="1" t="n">
        <v>43447</v>
      </c>
      <c r="C1321" s="1" t="n">
        <v>45212</v>
      </c>
      <c r="D1321" t="inlineStr">
        <is>
          <t>VÄSTRA GÖTALANDS LÄN</t>
        </is>
      </c>
      <c r="E1321" t="inlineStr">
        <is>
          <t>STRÖMSTAD</t>
        </is>
      </c>
      <c r="G1321" t="n">
        <v>4.2</v>
      </c>
      <c r="H1321" t="n">
        <v>0</v>
      </c>
      <c r="I1321" t="n">
        <v>0</v>
      </c>
      <c r="J1321" t="n">
        <v>0</v>
      </c>
      <c r="K1321" t="n">
        <v>0</v>
      </c>
      <c r="L1321" t="n">
        <v>0</v>
      </c>
      <c r="M1321" t="n">
        <v>0</v>
      </c>
      <c r="N1321" t="n">
        <v>0</v>
      </c>
      <c r="O1321" t="n">
        <v>0</v>
      </c>
      <c r="P1321" t="n">
        <v>0</v>
      </c>
      <c r="Q1321" t="n">
        <v>0</v>
      </c>
      <c r="R1321" s="2" t="inlineStr"/>
    </row>
    <row r="1322" ht="15" customHeight="1">
      <c r="A1322" t="inlineStr">
        <is>
          <t>A 69815-2018</t>
        </is>
      </c>
      <c r="B1322" s="1" t="n">
        <v>43447</v>
      </c>
      <c r="C1322" s="1" t="n">
        <v>45212</v>
      </c>
      <c r="D1322" t="inlineStr">
        <is>
          <t>VÄSTRA GÖTALANDS LÄN</t>
        </is>
      </c>
      <c r="E1322" t="inlineStr">
        <is>
          <t>SVENLJUNGA</t>
        </is>
      </c>
      <c r="G1322" t="n">
        <v>5.3</v>
      </c>
      <c r="H1322" t="n">
        <v>0</v>
      </c>
      <c r="I1322" t="n">
        <v>0</v>
      </c>
      <c r="J1322" t="n">
        <v>0</v>
      </c>
      <c r="K1322" t="n">
        <v>0</v>
      </c>
      <c r="L1322" t="n">
        <v>0</v>
      </c>
      <c r="M1322" t="n">
        <v>0</v>
      </c>
      <c r="N1322" t="n">
        <v>0</v>
      </c>
      <c r="O1322" t="n">
        <v>0</v>
      </c>
      <c r="P1322" t="n">
        <v>0</v>
      </c>
      <c r="Q1322" t="n">
        <v>0</v>
      </c>
      <c r="R1322" s="2" t="inlineStr"/>
    </row>
    <row r="1323" ht="15" customHeight="1">
      <c r="A1323" t="inlineStr">
        <is>
          <t>A 69841-2018</t>
        </is>
      </c>
      <c r="B1323" s="1" t="n">
        <v>43447</v>
      </c>
      <c r="C1323" s="1" t="n">
        <v>45212</v>
      </c>
      <c r="D1323" t="inlineStr">
        <is>
          <t>VÄSTRA GÖTALANDS LÄN</t>
        </is>
      </c>
      <c r="E1323" t="inlineStr">
        <is>
          <t>SVENLJUNGA</t>
        </is>
      </c>
      <c r="G1323" t="n">
        <v>1.5</v>
      </c>
      <c r="H1323" t="n">
        <v>0</v>
      </c>
      <c r="I1323" t="n">
        <v>0</v>
      </c>
      <c r="J1323" t="n">
        <v>0</v>
      </c>
      <c r="K1323" t="n">
        <v>0</v>
      </c>
      <c r="L1323" t="n">
        <v>0</v>
      </c>
      <c r="M1323" t="n">
        <v>0</v>
      </c>
      <c r="N1323" t="n">
        <v>0</v>
      </c>
      <c r="O1323" t="n">
        <v>0</v>
      </c>
      <c r="P1323" t="n">
        <v>0</v>
      </c>
      <c r="Q1323" t="n">
        <v>0</v>
      </c>
      <c r="R1323" s="2" t="inlineStr"/>
    </row>
    <row r="1324" ht="15" customHeight="1">
      <c r="A1324" t="inlineStr">
        <is>
          <t>A 70467-2018</t>
        </is>
      </c>
      <c r="B1324" s="1" t="n">
        <v>43447</v>
      </c>
      <c r="C1324" s="1" t="n">
        <v>45212</v>
      </c>
      <c r="D1324" t="inlineStr">
        <is>
          <t>VÄSTRA GÖTALANDS LÄN</t>
        </is>
      </c>
      <c r="E1324" t="inlineStr">
        <is>
          <t>TANUM</t>
        </is>
      </c>
      <c r="G1324" t="n">
        <v>3</v>
      </c>
      <c r="H1324" t="n">
        <v>0</v>
      </c>
      <c r="I1324" t="n">
        <v>0</v>
      </c>
      <c r="J1324" t="n">
        <v>0</v>
      </c>
      <c r="K1324" t="n">
        <v>0</v>
      </c>
      <c r="L1324" t="n">
        <v>0</v>
      </c>
      <c r="M1324" t="n">
        <v>0</v>
      </c>
      <c r="N1324" t="n">
        <v>0</v>
      </c>
      <c r="O1324" t="n">
        <v>0</v>
      </c>
      <c r="P1324" t="n">
        <v>0</v>
      </c>
      <c r="Q1324" t="n">
        <v>0</v>
      </c>
      <c r="R1324" s="2" t="inlineStr"/>
    </row>
    <row r="1325" ht="15" customHeight="1">
      <c r="A1325" t="inlineStr">
        <is>
          <t>A 70551-2018</t>
        </is>
      </c>
      <c r="B1325" s="1" t="n">
        <v>43447</v>
      </c>
      <c r="C1325" s="1" t="n">
        <v>45212</v>
      </c>
      <c r="D1325" t="inlineStr">
        <is>
          <t>VÄSTRA GÖTALANDS LÄN</t>
        </is>
      </c>
      <c r="E1325" t="inlineStr">
        <is>
          <t>FALKÖPING</t>
        </is>
      </c>
      <c r="G1325" t="n">
        <v>2.9</v>
      </c>
      <c r="H1325" t="n">
        <v>0</v>
      </c>
      <c r="I1325" t="n">
        <v>0</v>
      </c>
      <c r="J1325" t="n">
        <v>0</v>
      </c>
      <c r="K1325" t="n">
        <v>0</v>
      </c>
      <c r="L1325" t="n">
        <v>0</v>
      </c>
      <c r="M1325" t="n">
        <v>0</v>
      </c>
      <c r="N1325" t="n">
        <v>0</v>
      </c>
      <c r="O1325" t="n">
        <v>0</v>
      </c>
      <c r="P1325" t="n">
        <v>0</v>
      </c>
      <c r="Q1325" t="n">
        <v>0</v>
      </c>
      <c r="R1325" s="2" t="inlineStr"/>
    </row>
    <row r="1326" ht="15" customHeight="1">
      <c r="A1326" t="inlineStr">
        <is>
          <t>A 69941-2018</t>
        </is>
      </c>
      <c r="B1326" s="1" t="n">
        <v>43447</v>
      </c>
      <c r="C1326" s="1" t="n">
        <v>45212</v>
      </c>
      <c r="D1326" t="inlineStr">
        <is>
          <t>VÄSTRA GÖTALANDS LÄN</t>
        </is>
      </c>
      <c r="E1326" t="inlineStr">
        <is>
          <t>ALINGSÅS</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69984-2018</t>
        </is>
      </c>
      <c r="B1327" s="1" t="n">
        <v>43447</v>
      </c>
      <c r="C1327" s="1" t="n">
        <v>45212</v>
      </c>
      <c r="D1327" t="inlineStr">
        <is>
          <t>VÄSTRA GÖTALANDS LÄN</t>
        </is>
      </c>
      <c r="E1327" t="inlineStr">
        <is>
          <t>BORÅS</t>
        </is>
      </c>
      <c r="F1327" t="inlineStr">
        <is>
          <t>Kyrkan</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70470-2018</t>
        </is>
      </c>
      <c r="B1328" s="1" t="n">
        <v>43447</v>
      </c>
      <c r="C1328" s="1" t="n">
        <v>45212</v>
      </c>
      <c r="D1328" t="inlineStr">
        <is>
          <t>VÄSTRA GÖTALANDS LÄN</t>
        </is>
      </c>
      <c r="E1328" t="inlineStr">
        <is>
          <t>STRÖMSTAD</t>
        </is>
      </c>
      <c r="G1328" t="n">
        <v>2.3</v>
      </c>
      <c r="H1328" t="n">
        <v>0</v>
      </c>
      <c r="I1328" t="n">
        <v>0</v>
      </c>
      <c r="J1328" t="n">
        <v>0</v>
      </c>
      <c r="K1328" t="n">
        <v>0</v>
      </c>
      <c r="L1328" t="n">
        <v>0</v>
      </c>
      <c r="M1328" t="n">
        <v>0</v>
      </c>
      <c r="N1328" t="n">
        <v>0</v>
      </c>
      <c r="O1328" t="n">
        <v>0</v>
      </c>
      <c r="P1328" t="n">
        <v>0</v>
      </c>
      <c r="Q1328" t="n">
        <v>0</v>
      </c>
      <c r="R1328" s="2" t="inlineStr"/>
    </row>
    <row r="1329" ht="15" customHeight="1">
      <c r="A1329" t="inlineStr">
        <is>
          <t>A 70104-2018</t>
        </is>
      </c>
      <c r="B1329" s="1" t="n">
        <v>43448</v>
      </c>
      <c r="C1329" s="1" t="n">
        <v>45212</v>
      </c>
      <c r="D1329" t="inlineStr">
        <is>
          <t>VÄSTRA GÖTALANDS LÄN</t>
        </is>
      </c>
      <c r="E1329" t="inlineStr">
        <is>
          <t>TÖREBODA</t>
        </is>
      </c>
      <c r="G1329" t="n">
        <v>2.4</v>
      </c>
      <c r="H1329" t="n">
        <v>0</v>
      </c>
      <c r="I1329" t="n">
        <v>0</v>
      </c>
      <c r="J1329" t="n">
        <v>0</v>
      </c>
      <c r="K1329" t="n">
        <v>0</v>
      </c>
      <c r="L1329" t="n">
        <v>0</v>
      </c>
      <c r="M1329" t="n">
        <v>0</v>
      </c>
      <c r="N1329" t="n">
        <v>0</v>
      </c>
      <c r="O1329" t="n">
        <v>0</v>
      </c>
      <c r="P1329" t="n">
        <v>0</v>
      </c>
      <c r="Q1329" t="n">
        <v>0</v>
      </c>
      <c r="R1329" s="2" t="inlineStr"/>
    </row>
    <row r="1330" ht="15" customHeight="1">
      <c r="A1330" t="inlineStr">
        <is>
          <t>A 70213-2018</t>
        </is>
      </c>
      <c r="B1330" s="1" t="n">
        <v>43448</v>
      </c>
      <c r="C1330" s="1" t="n">
        <v>45212</v>
      </c>
      <c r="D1330" t="inlineStr">
        <is>
          <t>VÄSTRA GÖTALANDS LÄN</t>
        </is>
      </c>
      <c r="E1330" t="inlineStr">
        <is>
          <t>LYSEKIL</t>
        </is>
      </c>
      <c r="G1330" t="n">
        <v>5.8</v>
      </c>
      <c r="H1330" t="n">
        <v>0</v>
      </c>
      <c r="I1330" t="n">
        <v>0</v>
      </c>
      <c r="J1330" t="n">
        <v>0</v>
      </c>
      <c r="K1330" t="n">
        <v>0</v>
      </c>
      <c r="L1330" t="n">
        <v>0</v>
      </c>
      <c r="M1330" t="n">
        <v>0</v>
      </c>
      <c r="N1330" t="n">
        <v>0</v>
      </c>
      <c r="O1330" t="n">
        <v>0</v>
      </c>
      <c r="P1330" t="n">
        <v>0</v>
      </c>
      <c r="Q1330" t="n">
        <v>0</v>
      </c>
      <c r="R1330" s="2" t="inlineStr"/>
    </row>
    <row r="1331" ht="15" customHeight="1">
      <c r="A1331" t="inlineStr">
        <is>
          <t>A 69998-2018</t>
        </is>
      </c>
      <c r="B1331" s="1" t="n">
        <v>43448</v>
      </c>
      <c r="C1331" s="1" t="n">
        <v>45212</v>
      </c>
      <c r="D1331" t="inlineStr">
        <is>
          <t>VÄSTRA GÖTALANDS LÄN</t>
        </is>
      </c>
      <c r="E1331" t="inlineStr">
        <is>
          <t>SVENLJUNGA</t>
        </is>
      </c>
      <c r="G1331" t="n">
        <v>2</v>
      </c>
      <c r="H1331" t="n">
        <v>0</v>
      </c>
      <c r="I1331" t="n">
        <v>0</v>
      </c>
      <c r="J1331" t="n">
        <v>0</v>
      </c>
      <c r="K1331" t="n">
        <v>0</v>
      </c>
      <c r="L1331" t="n">
        <v>0</v>
      </c>
      <c r="M1331" t="n">
        <v>0</v>
      </c>
      <c r="N1331" t="n">
        <v>0</v>
      </c>
      <c r="O1331" t="n">
        <v>0</v>
      </c>
      <c r="P1331" t="n">
        <v>0</v>
      </c>
      <c r="Q1331" t="n">
        <v>0</v>
      </c>
      <c r="R1331" s="2" t="inlineStr"/>
    </row>
    <row r="1332" ht="15" customHeight="1">
      <c r="A1332" t="inlineStr">
        <is>
          <t>A 70097-2018</t>
        </is>
      </c>
      <c r="B1332" s="1" t="n">
        <v>43448</v>
      </c>
      <c r="C1332" s="1" t="n">
        <v>45212</v>
      </c>
      <c r="D1332" t="inlineStr">
        <is>
          <t>VÄSTRA GÖTALANDS LÄN</t>
        </is>
      </c>
      <c r="E1332" t="inlineStr">
        <is>
          <t>TRANEMO</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70173-2018</t>
        </is>
      </c>
      <c r="B1333" s="1" t="n">
        <v>43448</v>
      </c>
      <c r="C1333" s="1" t="n">
        <v>45212</v>
      </c>
      <c r="D1333" t="inlineStr">
        <is>
          <t>VÄSTRA GÖTALANDS LÄN</t>
        </is>
      </c>
      <c r="E1333" t="inlineStr">
        <is>
          <t>TROLLHÄTTAN</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70834-2018</t>
        </is>
      </c>
      <c r="B1334" s="1" t="n">
        <v>43448</v>
      </c>
      <c r="C1334" s="1" t="n">
        <v>45212</v>
      </c>
      <c r="D1334" t="inlineStr">
        <is>
          <t>VÄSTRA GÖTALANDS LÄN</t>
        </is>
      </c>
      <c r="E1334" t="inlineStr">
        <is>
          <t>LIDKÖPING</t>
        </is>
      </c>
      <c r="F1334" t="inlineStr">
        <is>
          <t>Kommuner</t>
        </is>
      </c>
      <c r="G1334" t="n">
        <v>2.2</v>
      </c>
      <c r="H1334" t="n">
        <v>0</v>
      </c>
      <c r="I1334" t="n">
        <v>0</v>
      </c>
      <c r="J1334" t="n">
        <v>0</v>
      </c>
      <c r="K1334" t="n">
        <v>0</v>
      </c>
      <c r="L1334" t="n">
        <v>0</v>
      </c>
      <c r="M1334" t="n">
        <v>0</v>
      </c>
      <c r="N1334" t="n">
        <v>0</v>
      </c>
      <c r="O1334" t="n">
        <v>0</v>
      </c>
      <c r="P1334" t="n">
        <v>0</v>
      </c>
      <c r="Q1334" t="n">
        <v>0</v>
      </c>
      <c r="R1334" s="2" t="inlineStr"/>
    </row>
    <row r="1335" ht="15" customHeight="1">
      <c r="A1335" t="inlineStr">
        <is>
          <t>A 70185-2018</t>
        </is>
      </c>
      <c r="B1335" s="1" t="n">
        <v>43448</v>
      </c>
      <c r="C1335" s="1" t="n">
        <v>45212</v>
      </c>
      <c r="D1335" t="inlineStr">
        <is>
          <t>VÄSTRA GÖTALANDS LÄN</t>
        </is>
      </c>
      <c r="E1335" t="inlineStr">
        <is>
          <t>STENUNGSUND</t>
        </is>
      </c>
      <c r="G1335" t="n">
        <v>3.9</v>
      </c>
      <c r="H1335" t="n">
        <v>0</v>
      </c>
      <c r="I1335" t="n">
        <v>0</v>
      </c>
      <c r="J1335" t="n">
        <v>0</v>
      </c>
      <c r="K1335" t="n">
        <v>0</v>
      </c>
      <c r="L1335" t="n">
        <v>0</v>
      </c>
      <c r="M1335" t="n">
        <v>0</v>
      </c>
      <c r="N1335" t="n">
        <v>0</v>
      </c>
      <c r="O1335" t="n">
        <v>0</v>
      </c>
      <c r="P1335" t="n">
        <v>0</v>
      </c>
      <c r="Q1335" t="n">
        <v>0</v>
      </c>
      <c r="R1335" s="2" t="inlineStr"/>
    </row>
    <row r="1336" ht="15" customHeight="1">
      <c r="A1336" t="inlineStr">
        <is>
          <t>A 70831-2018</t>
        </is>
      </c>
      <c r="B1336" s="1" t="n">
        <v>43448</v>
      </c>
      <c r="C1336" s="1" t="n">
        <v>45212</v>
      </c>
      <c r="D1336" t="inlineStr">
        <is>
          <t>VÄSTRA GÖTALANDS LÄN</t>
        </is>
      </c>
      <c r="E1336" t="inlineStr">
        <is>
          <t>LIDKÖPING</t>
        </is>
      </c>
      <c r="F1336" t="inlineStr">
        <is>
          <t>Kommuner</t>
        </is>
      </c>
      <c r="G1336" t="n">
        <v>1</v>
      </c>
      <c r="H1336" t="n">
        <v>0</v>
      </c>
      <c r="I1336" t="n">
        <v>0</v>
      </c>
      <c r="J1336" t="n">
        <v>0</v>
      </c>
      <c r="K1336" t="n">
        <v>0</v>
      </c>
      <c r="L1336" t="n">
        <v>0</v>
      </c>
      <c r="M1336" t="n">
        <v>0</v>
      </c>
      <c r="N1336" t="n">
        <v>0</v>
      </c>
      <c r="O1336" t="n">
        <v>0</v>
      </c>
      <c r="P1336" t="n">
        <v>0</v>
      </c>
      <c r="Q1336" t="n">
        <v>0</v>
      </c>
      <c r="R1336" s="2" t="inlineStr"/>
    </row>
    <row r="1337" ht="15" customHeight="1">
      <c r="A1337" t="inlineStr">
        <is>
          <t>A 70935-2018</t>
        </is>
      </c>
      <c r="B1337" s="1" t="n">
        <v>43448</v>
      </c>
      <c r="C1337" s="1" t="n">
        <v>45212</v>
      </c>
      <c r="D1337" t="inlineStr">
        <is>
          <t>VÄSTRA GÖTALANDS LÄN</t>
        </is>
      </c>
      <c r="E1337" t="inlineStr">
        <is>
          <t>LIDKÖPING</t>
        </is>
      </c>
      <c r="G1337" t="n">
        <v>2.7</v>
      </c>
      <c r="H1337" t="n">
        <v>0</v>
      </c>
      <c r="I1337" t="n">
        <v>0</v>
      </c>
      <c r="J1337" t="n">
        <v>0</v>
      </c>
      <c r="K1337" t="n">
        <v>0</v>
      </c>
      <c r="L1337" t="n">
        <v>0</v>
      </c>
      <c r="M1337" t="n">
        <v>0</v>
      </c>
      <c r="N1337" t="n">
        <v>0</v>
      </c>
      <c r="O1337" t="n">
        <v>0</v>
      </c>
      <c r="P1337" t="n">
        <v>0</v>
      </c>
      <c r="Q1337" t="n">
        <v>0</v>
      </c>
      <c r="R1337" s="2" t="inlineStr"/>
    </row>
    <row r="1338" ht="15" customHeight="1">
      <c r="A1338" t="inlineStr">
        <is>
          <t>A 71304-2018</t>
        </is>
      </c>
      <c r="B1338" s="1" t="n">
        <v>43448</v>
      </c>
      <c r="C1338" s="1" t="n">
        <v>45212</v>
      </c>
      <c r="D1338" t="inlineStr">
        <is>
          <t>VÄSTRA GÖTALANDS LÄN</t>
        </is>
      </c>
      <c r="E1338" t="inlineStr">
        <is>
          <t>STRÖMSTAD</t>
        </is>
      </c>
      <c r="G1338" t="n">
        <v>1.2</v>
      </c>
      <c r="H1338" t="n">
        <v>0</v>
      </c>
      <c r="I1338" t="n">
        <v>0</v>
      </c>
      <c r="J1338" t="n">
        <v>0</v>
      </c>
      <c r="K1338" t="n">
        <v>0</v>
      </c>
      <c r="L1338" t="n">
        <v>0</v>
      </c>
      <c r="M1338" t="n">
        <v>0</v>
      </c>
      <c r="N1338" t="n">
        <v>0</v>
      </c>
      <c r="O1338" t="n">
        <v>0</v>
      </c>
      <c r="P1338" t="n">
        <v>0</v>
      </c>
      <c r="Q1338" t="n">
        <v>0</v>
      </c>
      <c r="R1338" s="2" t="inlineStr"/>
    </row>
    <row r="1339" ht="15" customHeight="1">
      <c r="A1339" t="inlineStr">
        <is>
          <t>A 71394-2018</t>
        </is>
      </c>
      <c r="B1339" s="1" t="n">
        <v>43448</v>
      </c>
      <c r="C1339" s="1" t="n">
        <v>45212</v>
      </c>
      <c r="D1339" t="inlineStr">
        <is>
          <t>VÄSTRA GÖTALANDS LÄN</t>
        </is>
      </c>
      <c r="E1339" t="inlineStr">
        <is>
          <t>BENGTSFORS</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70822-2018</t>
        </is>
      </c>
      <c r="B1340" s="1" t="n">
        <v>43448</v>
      </c>
      <c r="C1340" s="1" t="n">
        <v>45212</v>
      </c>
      <c r="D1340" t="inlineStr">
        <is>
          <t>VÄSTRA GÖTALANDS LÄN</t>
        </is>
      </c>
      <c r="E1340" t="inlineStr">
        <is>
          <t>TROLLHÄTTAN</t>
        </is>
      </c>
      <c r="G1340" t="n">
        <v>2.9</v>
      </c>
      <c r="H1340" t="n">
        <v>0</v>
      </c>
      <c r="I1340" t="n">
        <v>0</v>
      </c>
      <c r="J1340" t="n">
        <v>0</v>
      </c>
      <c r="K1340" t="n">
        <v>0</v>
      </c>
      <c r="L1340" t="n">
        <v>0</v>
      </c>
      <c r="M1340" t="n">
        <v>0</v>
      </c>
      <c r="N1340" t="n">
        <v>0</v>
      </c>
      <c r="O1340" t="n">
        <v>0</v>
      </c>
      <c r="P1340" t="n">
        <v>0</v>
      </c>
      <c r="Q1340" t="n">
        <v>0</v>
      </c>
      <c r="R1340" s="2" t="inlineStr"/>
    </row>
    <row r="1341" ht="15" customHeight="1">
      <c r="A1341" t="inlineStr">
        <is>
          <t>A 17091-2019</t>
        </is>
      </c>
      <c r="B1341" s="1" t="n">
        <v>43450</v>
      </c>
      <c r="C1341" s="1" t="n">
        <v>45212</v>
      </c>
      <c r="D1341" t="inlineStr">
        <is>
          <t>VÄSTRA GÖTALANDS LÄN</t>
        </is>
      </c>
      <c r="E1341" t="inlineStr">
        <is>
          <t>STENUNGSUND</t>
        </is>
      </c>
      <c r="G1341" t="n">
        <v>0.9</v>
      </c>
      <c r="H1341" t="n">
        <v>0</v>
      </c>
      <c r="I1341" t="n">
        <v>0</v>
      </c>
      <c r="J1341" t="n">
        <v>0</v>
      </c>
      <c r="K1341" t="n">
        <v>0</v>
      </c>
      <c r="L1341" t="n">
        <v>0</v>
      </c>
      <c r="M1341" t="n">
        <v>0</v>
      </c>
      <c r="N1341" t="n">
        <v>0</v>
      </c>
      <c r="O1341" t="n">
        <v>0</v>
      </c>
      <c r="P1341" t="n">
        <v>0</v>
      </c>
      <c r="Q1341" t="n">
        <v>0</v>
      </c>
      <c r="R1341" s="2" t="inlineStr"/>
    </row>
    <row r="1342" ht="15" customHeight="1">
      <c r="A1342" t="inlineStr">
        <is>
          <t>A 70496-2018</t>
        </is>
      </c>
      <c r="B1342" s="1" t="n">
        <v>43451</v>
      </c>
      <c r="C1342" s="1" t="n">
        <v>45212</v>
      </c>
      <c r="D1342" t="inlineStr">
        <is>
          <t>VÄSTRA GÖTALANDS LÄN</t>
        </is>
      </c>
      <c r="E1342" t="inlineStr">
        <is>
          <t>MARIESTAD</t>
        </is>
      </c>
      <c r="F1342" t="inlineStr">
        <is>
          <t>Kyrkan</t>
        </is>
      </c>
      <c r="G1342" t="n">
        <v>4.2</v>
      </c>
      <c r="H1342" t="n">
        <v>0</v>
      </c>
      <c r="I1342" t="n">
        <v>0</v>
      </c>
      <c r="J1342" t="n">
        <v>0</v>
      </c>
      <c r="K1342" t="n">
        <v>0</v>
      </c>
      <c r="L1342" t="n">
        <v>0</v>
      </c>
      <c r="M1342" t="n">
        <v>0</v>
      </c>
      <c r="N1342" t="n">
        <v>0</v>
      </c>
      <c r="O1342" t="n">
        <v>0</v>
      </c>
      <c r="P1342" t="n">
        <v>0</v>
      </c>
      <c r="Q1342" t="n">
        <v>0</v>
      </c>
      <c r="R1342" s="2" t="inlineStr"/>
    </row>
    <row r="1343" ht="15" customHeight="1">
      <c r="A1343" t="inlineStr">
        <is>
          <t>A 70634-2018</t>
        </is>
      </c>
      <c r="B1343" s="1" t="n">
        <v>43451</v>
      </c>
      <c r="C1343" s="1" t="n">
        <v>45212</v>
      </c>
      <c r="D1343" t="inlineStr">
        <is>
          <t>VÄSTRA GÖTALANDS LÄN</t>
        </is>
      </c>
      <c r="E1343" t="inlineStr">
        <is>
          <t>BOLLEBYGD</t>
        </is>
      </c>
      <c r="G1343" t="n">
        <v>2.2</v>
      </c>
      <c r="H1343" t="n">
        <v>0</v>
      </c>
      <c r="I1343" t="n">
        <v>0</v>
      </c>
      <c r="J1343" t="n">
        <v>0</v>
      </c>
      <c r="K1343" t="n">
        <v>0</v>
      </c>
      <c r="L1343" t="n">
        <v>0</v>
      </c>
      <c r="M1343" t="n">
        <v>0</v>
      </c>
      <c r="N1343" t="n">
        <v>0</v>
      </c>
      <c r="O1343" t="n">
        <v>0</v>
      </c>
      <c r="P1343" t="n">
        <v>0</v>
      </c>
      <c r="Q1343" t="n">
        <v>0</v>
      </c>
      <c r="R1343" s="2" t="inlineStr"/>
    </row>
    <row r="1344" ht="15" customHeight="1">
      <c r="A1344" t="inlineStr">
        <is>
          <t>A 70753-2018</t>
        </is>
      </c>
      <c r="B1344" s="1" t="n">
        <v>43451</v>
      </c>
      <c r="C1344" s="1" t="n">
        <v>45212</v>
      </c>
      <c r="D1344" t="inlineStr">
        <is>
          <t>VÄSTRA GÖTALANDS LÄN</t>
        </is>
      </c>
      <c r="E1344" t="inlineStr">
        <is>
          <t>FÄRGELANDA</t>
        </is>
      </c>
      <c r="G1344" t="n">
        <v>0.6</v>
      </c>
      <c r="H1344" t="n">
        <v>0</v>
      </c>
      <c r="I1344" t="n">
        <v>0</v>
      </c>
      <c r="J1344" t="n">
        <v>0</v>
      </c>
      <c r="K1344" t="n">
        <v>0</v>
      </c>
      <c r="L1344" t="n">
        <v>0</v>
      </c>
      <c r="M1344" t="n">
        <v>0</v>
      </c>
      <c r="N1344" t="n">
        <v>0</v>
      </c>
      <c r="O1344" t="n">
        <v>0</v>
      </c>
      <c r="P1344" t="n">
        <v>0</v>
      </c>
      <c r="Q1344" t="n">
        <v>0</v>
      </c>
      <c r="R1344" s="2" t="inlineStr"/>
    </row>
    <row r="1345" ht="15" customHeight="1">
      <c r="A1345" t="inlineStr">
        <is>
          <t>A 70757-2018</t>
        </is>
      </c>
      <c r="B1345" s="1" t="n">
        <v>43451</v>
      </c>
      <c r="C1345" s="1" t="n">
        <v>45212</v>
      </c>
      <c r="D1345" t="inlineStr">
        <is>
          <t>VÄSTRA GÖTALANDS LÄN</t>
        </is>
      </c>
      <c r="E1345" t="inlineStr">
        <is>
          <t>FÄRGELANDA</t>
        </is>
      </c>
      <c r="G1345" t="n">
        <v>0.5</v>
      </c>
      <c r="H1345" t="n">
        <v>0</v>
      </c>
      <c r="I1345" t="n">
        <v>0</v>
      </c>
      <c r="J1345" t="n">
        <v>0</v>
      </c>
      <c r="K1345" t="n">
        <v>0</v>
      </c>
      <c r="L1345" t="n">
        <v>0</v>
      </c>
      <c r="M1345" t="n">
        <v>0</v>
      </c>
      <c r="N1345" t="n">
        <v>0</v>
      </c>
      <c r="O1345" t="n">
        <v>0</v>
      </c>
      <c r="P1345" t="n">
        <v>0</v>
      </c>
      <c r="Q1345" t="n">
        <v>0</v>
      </c>
      <c r="R1345" s="2" t="inlineStr"/>
    </row>
    <row r="1346" ht="15" customHeight="1">
      <c r="A1346" t="inlineStr">
        <is>
          <t>A 70458-2018</t>
        </is>
      </c>
      <c r="B1346" s="1" t="n">
        <v>43451</v>
      </c>
      <c r="C1346" s="1" t="n">
        <v>45212</v>
      </c>
      <c r="D1346" t="inlineStr">
        <is>
          <t>VÄSTRA GÖTALANDS LÄN</t>
        </is>
      </c>
      <c r="E1346" t="inlineStr">
        <is>
          <t>MARK</t>
        </is>
      </c>
      <c r="G1346" t="n">
        <v>7.1</v>
      </c>
      <c r="H1346" t="n">
        <v>0</v>
      </c>
      <c r="I1346" t="n">
        <v>0</v>
      </c>
      <c r="J1346" t="n">
        <v>0</v>
      </c>
      <c r="K1346" t="n">
        <v>0</v>
      </c>
      <c r="L1346" t="n">
        <v>0</v>
      </c>
      <c r="M1346" t="n">
        <v>0</v>
      </c>
      <c r="N1346" t="n">
        <v>0</v>
      </c>
      <c r="O1346" t="n">
        <v>0</v>
      </c>
      <c r="P1346" t="n">
        <v>0</v>
      </c>
      <c r="Q1346" t="n">
        <v>0</v>
      </c>
      <c r="R1346" s="2" t="inlineStr"/>
    </row>
    <row r="1347" ht="15" customHeight="1">
      <c r="A1347" t="inlineStr">
        <is>
          <t>A 70521-2018</t>
        </is>
      </c>
      <c r="B1347" s="1" t="n">
        <v>43451</v>
      </c>
      <c r="C1347" s="1" t="n">
        <v>45212</v>
      </c>
      <c r="D1347" t="inlineStr">
        <is>
          <t>VÄSTRA GÖTALANDS LÄN</t>
        </is>
      </c>
      <c r="E1347" t="inlineStr">
        <is>
          <t>FÄRGELANDA</t>
        </is>
      </c>
      <c r="G1347" t="n">
        <v>6.4</v>
      </c>
      <c r="H1347" t="n">
        <v>0</v>
      </c>
      <c r="I1347" t="n">
        <v>0</v>
      </c>
      <c r="J1347" t="n">
        <v>0</v>
      </c>
      <c r="K1347" t="n">
        <v>0</v>
      </c>
      <c r="L1347" t="n">
        <v>0</v>
      </c>
      <c r="M1347" t="n">
        <v>0</v>
      </c>
      <c r="N1347" t="n">
        <v>0</v>
      </c>
      <c r="O1347" t="n">
        <v>0</v>
      </c>
      <c r="P1347" t="n">
        <v>0</v>
      </c>
      <c r="Q1347" t="n">
        <v>0</v>
      </c>
      <c r="R1347" s="2" t="inlineStr"/>
    </row>
    <row r="1348" ht="15" customHeight="1">
      <c r="A1348" t="inlineStr">
        <is>
          <t>A 70538-2018</t>
        </is>
      </c>
      <c r="B1348" s="1" t="n">
        <v>43451</v>
      </c>
      <c r="C1348" s="1" t="n">
        <v>45212</v>
      </c>
      <c r="D1348" t="inlineStr">
        <is>
          <t>VÄSTRA GÖTALANDS LÄN</t>
        </is>
      </c>
      <c r="E1348" t="inlineStr">
        <is>
          <t>ÅMÅL</t>
        </is>
      </c>
      <c r="G1348" t="n">
        <v>3.3</v>
      </c>
      <c r="H1348" t="n">
        <v>0</v>
      </c>
      <c r="I1348" t="n">
        <v>0</v>
      </c>
      <c r="J1348" t="n">
        <v>0</v>
      </c>
      <c r="K1348" t="n">
        <v>0</v>
      </c>
      <c r="L1348" t="n">
        <v>0</v>
      </c>
      <c r="M1348" t="n">
        <v>0</v>
      </c>
      <c r="N1348" t="n">
        <v>0</v>
      </c>
      <c r="O1348" t="n">
        <v>0</v>
      </c>
      <c r="P1348" t="n">
        <v>0</v>
      </c>
      <c r="Q1348" t="n">
        <v>0</v>
      </c>
      <c r="R1348" s="2" t="inlineStr"/>
    </row>
    <row r="1349" ht="15" customHeight="1">
      <c r="A1349" t="inlineStr">
        <is>
          <t>A 70585-2018</t>
        </is>
      </c>
      <c r="B1349" s="1" t="n">
        <v>43451</v>
      </c>
      <c r="C1349" s="1" t="n">
        <v>45212</v>
      </c>
      <c r="D1349" t="inlineStr">
        <is>
          <t>VÄSTRA GÖTALANDS LÄN</t>
        </is>
      </c>
      <c r="E1349" t="inlineStr">
        <is>
          <t>SVENLJUNGA</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70667-2018</t>
        </is>
      </c>
      <c r="B1350" s="1" t="n">
        <v>43451</v>
      </c>
      <c r="C1350" s="1" t="n">
        <v>45212</v>
      </c>
      <c r="D1350" t="inlineStr">
        <is>
          <t>VÄSTRA GÖTALANDS LÄN</t>
        </is>
      </c>
      <c r="E1350" t="inlineStr">
        <is>
          <t>FÄRGELANDA</t>
        </is>
      </c>
      <c r="G1350" t="n">
        <v>5.3</v>
      </c>
      <c r="H1350" t="n">
        <v>0</v>
      </c>
      <c r="I1350" t="n">
        <v>0</v>
      </c>
      <c r="J1350" t="n">
        <v>0</v>
      </c>
      <c r="K1350" t="n">
        <v>0</v>
      </c>
      <c r="L1350" t="n">
        <v>0</v>
      </c>
      <c r="M1350" t="n">
        <v>0</v>
      </c>
      <c r="N1350" t="n">
        <v>0</v>
      </c>
      <c r="O1350" t="n">
        <v>0</v>
      </c>
      <c r="P1350" t="n">
        <v>0</v>
      </c>
      <c r="Q1350" t="n">
        <v>0</v>
      </c>
      <c r="R1350" s="2" t="inlineStr"/>
    </row>
    <row r="1351" ht="15" customHeight="1">
      <c r="A1351" t="inlineStr">
        <is>
          <t>A 70741-2018</t>
        </is>
      </c>
      <c r="B1351" s="1" t="n">
        <v>43451</v>
      </c>
      <c r="C1351" s="1" t="n">
        <v>45212</v>
      </c>
      <c r="D1351" t="inlineStr">
        <is>
          <t>VÄSTRA GÖTALANDS LÄN</t>
        </is>
      </c>
      <c r="E1351" t="inlineStr">
        <is>
          <t>UDDEVALLA</t>
        </is>
      </c>
      <c r="G1351" t="n">
        <v>0.9</v>
      </c>
      <c r="H1351" t="n">
        <v>0</v>
      </c>
      <c r="I1351" t="n">
        <v>0</v>
      </c>
      <c r="J1351" t="n">
        <v>0</v>
      </c>
      <c r="K1351" t="n">
        <v>0</v>
      </c>
      <c r="L1351" t="n">
        <v>0</v>
      </c>
      <c r="M1351" t="n">
        <v>0</v>
      </c>
      <c r="N1351" t="n">
        <v>0</v>
      </c>
      <c r="O1351" t="n">
        <v>0</v>
      </c>
      <c r="P1351" t="n">
        <v>0</v>
      </c>
      <c r="Q1351" t="n">
        <v>0</v>
      </c>
      <c r="R1351" s="2" t="inlineStr"/>
    </row>
    <row r="1352" ht="15" customHeight="1">
      <c r="A1352" t="inlineStr">
        <is>
          <t>A 70754-2018</t>
        </is>
      </c>
      <c r="B1352" s="1" t="n">
        <v>43451</v>
      </c>
      <c r="C1352" s="1" t="n">
        <v>45212</v>
      </c>
      <c r="D1352" t="inlineStr">
        <is>
          <t>VÄSTRA GÖTALANDS LÄN</t>
        </is>
      </c>
      <c r="E1352" t="inlineStr">
        <is>
          <t>FÄRGELANDA</t>
        </is>
      </c>
      <c r="G1352" t="n">
        <v>1.2</v>
      </c>
      <c r="H1352" t="n">
        <v>0</v>
      </c>
      <c r="I1352" t="n">
        <v>0</v>
      </c>
      <c r="J1352" t="n">
        <v>0</v>
      </c>
      <c r="K1352" t="n">
        <v>0</v>
      </c>
      <c r="L1352" t="n">
        <v>0</v>
      </c>
      <c r="M1352" t="n">
        <v>0</v>
      </c>
      <c r="N1352" t="n">
        <v>0</v>
      </c>
      <c r="O1352" t="n">
        <v>0</v>
      </c>
      <c r="P1352" t="n">
        <v>0</v>
      </c>
      <c r="Q1352" t="n">
        <v>0</v>
      </c>
      <c r="R1352" s="2" t="inlineStr"/>
    </row>
    <row r="1353" ht="15" customHeight="1">
      <c r="A1353" t="inlineStr">
        <is>
          <t>A 70759-2018</t>
        </is>
      </c>
      <c r="B1353" s="1" t="n">
        <v>43451</v>
      </c>
      <c r="C1353" s="1" t="n">
        <v>45212</v>
      </c>
      <c r="D1353" t="inlineStr">
        <is>
          <t>VÄSTRA GÖTALANDS LÄN</t>
        </is>
      </c>
      <c r="E1353" t="inlineStr">
        <is>
          <t>DALS-ED</t>
        </is>
      </c>
      <c r="G1353" t="n">
        <v>0.4</v>
      </c>
      <c r="H1353" t="n">
        <v>0</v>
      </c>
      <c r="I1353" t="n">
        <v>0</v>
      </c>
      <c r="J1353" t="n">
        <v>0</v>
      </c>
      <c r="K1353" t="n">
        <v>0</v>
      </c>
      <c r="L1353" t="n">
        <v>0</v>
      </c>
      <c r="M1353" t="n">
        <v>0</v>
      </c>
      <c r="N1353" t="n">
        <v>0</v>
      </c>
      <c r="O1353" t="n">
        <v>0</v>
      </c>
      <c r="P1353" t="n">
        <v>0</v>
      </c>
      <c r="Q1353" t="n">
        <v>0</v>
      </c>
      <c r="R1353" s="2" t="inlineStr"/>
    </row>
    <row r="1354" ht="15" customHeight="1">
      <c r="A1354" t="inlineStr">
        <is>
          <t>A 70750-2018</t>
        </is>
      </c>
      <c r="B1354" s="1" t="n">
        <v>43451</v>
      </c>
      <c r="C1354" s="1" t="n">
        <v>45212</v>
      </c>
      <c r="D1354" t="inlineStr">
        <is>
          <t>VÄSTRA GÖTALANDS LÄN</t>
        </is>
      </c>
      <c r="E1354" t="inlineStr">
        <is>
          <t>FÄRGELANDA</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70756-2018</t>
        </is>
      </c>
      <c r="B1355" s="1" t="n">
        <v>43451</v>
      </c>
      <c r="C1355" s="1" t="n">
        <v>45212</v>
      </c>
      <c r="D1355" t="inlineStr">
        <is>
          <t>VÄSTRA GÖTALANDS LÄN</t>
        </is>
      </c>
      <c r="E1355" t="inlineStr">
        <is>
          <t>FÄRGELANDA</t>
        </is>
      </c>
      <c r="G1355" t="n">
        <v>1.8</v>
      </c>
      <c r="H1355" t="n">
        <v>0</v>
      </c>
      <c r="I1355" t="n">
        <v>0</v>
      </c>
      <c r="J1355" t="n">
        <v>0</v>
      </c>
      <c r="K1355" t="n">
        <v>0</v>
      </c>
      <c r="L1355" t="n">
        <v>0</v>
      </c>
      <c r="M1355" t="n">
        <v>0</v>
      </c>
      <c r="N1355" t="n">
        <v>0</v>
      </c>
      <c r="O1355" t="n">
        <v>0</v>
      </c>
      <c r="P1355" t="n">
        <v>0</v>
      </c>
      <c r="Q1355" t="n">
        <v>0</v>
      </c>
      <c r="R1355" s="2" t="inlineStr"/>
    </row>
    <row r="1356" ht="15" customHeight="1">
      <c r="A1356" t="inlineStr">
        <is>
          <t>A 70771-2018</t>
        </is>
      </c>
      <c r="B1356" s="1" t="n">
        <v>43451</v>
      </c>
      <c r="C1356" s="1" t="n">
        <v>45212</v>
      </c>
      <c r="D1356" t="inlineStr">
        <is>
          <t>VÄSTRA GÖTALANDS LÄN</t>
        </is>
      </c>
      <c r="E1356" t="inlineStr">
        <is>
          <t>FALKÖPING</t>
        </is>
      </c>
      <c r="G1356" t="n">
        <v>3.2</v>
      </c>
      <c r="H1356" t="n">
        <v>0</v>
      </c>
      <c r="I1356" t="n">
        <v>0</v>
      </c>
      <c r="J1356" t="n">
        <v>0</v>
      </c>
      <c r="K1356" t="n">
        <v>0</v>
      </c>
      <c r="L1356" t="n">
        <v>0</v>
      </c>
      <c r="M1356" t="n">
        <v>0</v>
      </c>
      <c r="N1356" t="n">
        <v>0</v>
      </c>
      <c r="O1356" t="n">
        <v>0</v>
      </c>
      <c r="P1356" t="n">
        <v>0</v>
      </c>
      <c r="Q1356" t="n">
        <v>0</v>
      </c>
      <c r="R1356" s="2" t="inlineStr"/>
    </row>
    <row r="1357" ht="15" customHeight="1">
      <c r="A1357" t="inlineStr">
        <is>
          <t>A 71014-2018</t>
        </is>
      </c>
      <c r="B1357" s="1" t="n">
        <v>43451</v>
      </c>
      <c r="C1357" s="1" t="n">
        <v>45212</v>
      </c>
      <c r="D1357" t="inlineStr">
        <is>
          <t>VÄSTRA GÖTALANDS LÄN</t>
        </is>
      </c>
      <c r="E1357" t="inlineStr">
        <is>
          <t>TRANEMO</t>
        </is>
      </c>
      <c r="G1357" t="n">
        <v>3.9</v>
      </c>
      <c r="H1357" t="n">
        <v>0</v>
      </c>
      <c r="I1357" t="n">
        <v>0</v>
      </c>
      <c r="J1357" t="n">
        <v>0</v>
      </c>
      <c r="K1357" t="n">
        <v>0</v>
      </c>
      <c r="L1357" t="n">
        <v>0</v>
      </c>
      <c r="M1357" t="n">
        <v>0</v>
      </c>
      <c r="N1357" t="n">
        <v>0</v>
      </c>
      <c r="O1357" t="n">
        <v>0</v>
      </c>
      <c r="P1357" t="n">
        <v>0</v>
      </c>
      <c r="Q1357" t="n">
        <v>0</v>
      </c>
      <c r="R1357" s="2" t="inlineStr"/>
    </row>
    <row r="1358" ht="15" customHeight="1">
      <c r="A1358" t="inlineStr">
        <is>
          <t>A 70524-2018</t>
        </is>
      </c>
      <c r="B1358" s="1" t="n">
        <v>43451</v>
      </c>
      <c r="C1358" s="1" t="n">
        <v>45212</v>
      </c>
      <c r="D1358" t="inlineStr">
        <is>
          <t>VÄSTRA GÖTALANDS LÄN</t>
        </is>
      </c>
      <c r="E1358" t="inlineStr">
        <is>
          <t>TÖREBODA</t>
        </is>
      </c>
      <c r="G1358" t="n">
        <v>5.2</v>
      </c>
      <c r="H1358" t="n">
        <v>0</v>
      </c>
      <c r="I1358" t="n">
        <v>0</v>
      </c>
      <c r="J1358" t="n">
        <v>0</v>
      </c>
      <c r="K1358" t="n">
        <v>0</v>
      </c>
      <c r="L1358" t="n">
        <v>0</v>
      </c>
      <c r="M1358" t="n">
        <v>0</v>
      </c>
      <c r="N1358" t="n">
        <v>0</v>
      </c>
      <c r="O1358" t="n">
        <v>0</v>
      </c>
      <c r="P1358" t="n">
        <v>0</v>
      </c>
      <c r="Q1358" t="n">
        <v>0</v>
      </c>
      <c r="R1358" s="2" t="inlineStr"/>
    </row>
    <row r="1359" ht="15" customHeight="1">
      <c r="A1359" t="inlineStr">
        <is>
          <t>A 70902-2018</t>
        </is>
      </c>
      <c r="B1359" s="1" t="n">
        <v>43452</v>
      </c>
      <c r="C1359" s="1" t="n">
        <v>45212</v>
      </c>
      <c r="D1359" t="inlineStr">
        <is>
          <t>VÄSTRA GÖTALANDS LÄN</t>
        </is>
      </c>
      <c r="E1359" t="inlineStr">
        <is>
          <t>FÄRGELANDA</t>
        </is>
      </c>
      <c r="G1359" t="n">
        <v>1.5</v>
      </c>
      <c r="H1359" t="n">
        <v>0</v>
      </c>
      <c r="I1359" t="n">
        <v>0</v>
      </c>
      <c r="J1359" t="n">
        <v>0</v>
      </c>
      <c r="K1359" t="n">
        <v>0</v>
      </c>
      <c r="L1359" t="n">
        <v>0</v>
      </c>
      <c r="M1359" t="n">
        <v>0</v>
      </c>
      <c r="N1359" t="n">
        <v>0</v>
      </c>
      <c r="O1359" t="n">
        <v>0</v>
      </c>
      <c r="P1359" t="n">
        <v>0</v>
      </c>
      <c r="Q1359" t="n">
        <v>0</v>
      </c>
      <c r="R1359" s="2" t="inlineStr"/>
    </row>
    <row r="1360" ht="15" customHeight="1">
      <c r="A1360" t="inlineStr">
        <is>
          <t>A 71090-2018</t>
        </is>
      </c>
      <c r="B1360" s="1" t="n">
        <v>43452</v>
      </c>
      <c r="C1360" s="1" t="n">
        <v>45212</v>
      </c>
      <c r="D1360" t="inlineStr">
        <is>
          <t>VÄSTRA GÖTALANDS LÄN</t>
        </is>
      </c>
      <c r="E1360" t="inlineStr">
        <is>
          <t>FALKÖPING</t>
        </is>
      </c>
      <c r="G1360" t="n">
        <v>5.2</v>
      </c>
      <c r="H1360" t="n">
        <v>0</v>
      </c>
      <c r="I1360" t="n">
        <v>0</v>
      </c>
      <c r="J1360" t="n">
        <v>0</v>
      </c>
      <c r="K1360" t="n">
        <v>0</v>
      </c>
      <c r="L1360" t="n">
        <v>0</v>
      </c>
      <c r="M1360" t="n">
        <v>0</v>
      </c>
      <c r="N1360" t="n">
        <v>0</v>
      </c>
      <c r="O1360" t="n">
        <v>0</v>
      </c>
      <c r="P1360" t="n">
        <v>0</v>
      </c>
      <c r="Q1360" t="n">
        <v>0</v>
      </c>
      <c r="R1360" s="2" t="inlineStr"/>
    </row>
    <row r="1361" ht="15" customHeight="1">
      <c r="A1361" t="inlineStr">
        <is>
          <t>A 70857-2018</t>
        </is>
      </c>
      <c r="B1361" s="1" t="n">
        <v>43452</v>
      </c>
      <c r="C1361" s="1" t="n">
        <v>45212</v>
      </c>
      <c r="D1361" t="inlineStr">
        <is>
          <t>VÄSTRA GÖTALANDS LÄN</t>
        </is>
      </c>
      <c r="E1361" t="inlineStr">
        <is>
          <t>GULLSPÅNG</t>
        </is>
      </c>
      <c r="G1361" t="n">
        <v>2.2</v>
      </c>
      <c r="H1361" t="n">
        <v>0</v>
      </c>
      <c r="I1361" t="n">
        <v>0</v>
      </c>
      <c r="J1361" t="n">
        <v>0</v>
      </c>
      <c r="K1361" t="n">
        <v>0</v>
      </c>
      <c r="L1361" t="n">
        <v>0</v>
      </c>
      <c r="M1361" t="n">
        <v>0</v>
      </c>
      <c r="N1361" t="n">
        <v>0</v>
      </c>
      <c r="O1361" t="n">
        <v>0</v>
      </c>
      <c r="P1361" t="n">
        <v>0</v>
      </c>
      <c r="Q1361" t="n">
        <v>0</v>
      </c>
      <c r="R1361" s="2" t="inlineStr"/>
    </row>
    <row r="1362" ht="15" customHeight="1">
      <c r="A1362" t="inlineStr">
        <is>
          <t>A 71104-2018</t>
        </is>
      </c>
      <c r="B1362" s="1" t="n">
        <v>43452</v>
      </c>
      <c r="C1362" s="1" t="n">
        <v>45212</v>
      </c>
      <c r="D1362" t="inlineStr">
        <is>
          <t>VÄSTRA GÖTALANDS LÄN</t>
        </is>
      </c>
      <c r="E1362" t="inlineStr">
        <is>
          <t>UDDEVALLA</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71561-2018</t>
        </is>
      </c>
      <c r="B1363" s="1" t="n">
        <v>43452</v>
      </c>
      <c r="C1363" s="1" t="n">
        <v>45212</v>
      </c>
      <c r="D1363" t="inlineStr">
        <is>
          <t>VÄSTRA GÖTALANDS LÄN</t>
        </is>
      </c>
      <c r="E1363" t="inlineStr">
        <is>
          <t>UDDEVALLA</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71672-2018</t>
        </is>
      </c>
      <c r="B1364" s="1" t="n">
        <v>43452</v>
      </c>
      <c r="C1364" s="1" t="n">
        <v>45212</v>
      </c>
      <c r="D1364" t="inlineStr">
        <is>
          <t>VÄSTRA GÖTALANDS LÄN</t>
        </is>
      </c>
      <c r="E1364" t="inlineStr">
        <is>
          <t>ÅMÅL</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70860-2018</t>
        </is>
      </c>
      <c r="B1365" s="1" t="n">
        <v>43452</v>
      </c>
      <c r="C1365" s="1" t="n">
        <v>45212</v>
      </c>
      <c r="D1365" t="inlineStr">
        <is>
          <t>VÄSTRA GÖTALANDS LÄN</t>
        </is>
      </c>
      <c r="E1365" t="inlineStr">
        <is>
          <t>DALS-ED</t>
        </is>
      </c>
      <c r="G1365" t="n">
        <v>2</v>
      </c>
      <c r="H1365" t="n">
        <v>0</v>
      </c>
      <c r="I1365" t="n">
        <v>0</v>
      </c>
      <c r="J1365" t="n">
        <v>0</v>
      </c>
      <c r="K1365" t="n">
        <v>0</v>
      </c>
      <c r="L1365" t="n">
        <v>0</v>
      </c>
      <c r="M1365" t="n">
        <v>0</v>
      </c>
      <c r="N1365" t="n">
        <v>0</v>
      </c>
      <c r="O1365" t="n">
        <v>0</v>
      </c>
      <c r="P1365" t="n">
        <v>0</v>
      </c>
      <c r="Q1365" t="n">
        <v>0</v>
      </c>
      <c r="R1365" s="2" t="inlineStr"/>
    </row>
    <row r="1366" ht="15" customHeight="1">
      <c r="A1366" t="inlineStr">
        <is>
          <t>A 71005-2018</t>
        </is>
      </c>
      <c r="B1366" s="1" t="n">
        <v>43452</v>
      </c>
      <c r="C1366" s="1" t="n">
        <v>45212</v>
      </c>
      <c r="D1366" t="inlineStr">
        <is>
          <t>VÄSTRA GÖTALANDS LÄN</t>
        </is>
      </c>
      <c r="E1366" t="inlineStr">
        <is>
          <t>SKÖVDE</t>
        </is>
      </c>
      <c r="G1366" t="n">
        <v>1.7</v>
      </c>
      <c r="H1366" t="n">
        <v>0</v>
      </c>
      <c r="I1366" t="n">
        <v>0</v>
      </c>
      <c r="J1366" t="n">
        <v>0</v>
      </c>
      <c r="K1366" t="n">
        <v>0</v>
      </c>
      <c r="L1366" t="n">
        <v>0</v>
      </c>
      <c r="M1366" t="n">
        <v>0</v>
      </c>
      <c r="N1366" t="n">
        <v>0</v>
      </c>
      <c r="O1366" t="n">
        <v>0</v>
      </c>
      <c r="P1366" t="n">
        <v>0</v>
      </c>
      <c r="Q1366" t="n">
        <v>0</v>
      </c>
      <c r="R1366" s="2" t="inlineStr"/>
    </row>
    <row r="1367" ht="15" customHeight="1">
      <c r="A1367" t="inlineStr">
        <is>
          <t>A 71047-2018</t>
        </is>
      </c>
      <c r="B1367" s="1" t="n">
        <v>43452</v>
      </c>
      <c r="C1367" s="1" t="n">
        <v>45212</v>
      </c>
      <c r="D1367" t="inlineStr">
        <is>
          <t>VÄSTRA GÖTALANDS LÄN</t>
        </is>
      </c>
      <c r="E1367" t="inlineStr">
        <is>
          <t>FALKÖPING</t>
        </is>
      </c>
      <c r="G1367" t="n">
        <v>5.8</v>
      </c>
      <c r="H1367" t="n">
        <v>0</v>
      </c>
      <c r="I1367" t="n">
        <v>0</v>
      </c>
      <c r="J1367" t="n">
        <v>0</v>
      </c>
      <c r="K1367" t="n">
        <v>0</v>
      </c>
      <c r="L1367" t="n">
        <v>0</v>
      </c>
      <c r="M1367" t="n">
        <v>0</v>
      </c>
      <c r="N1367" t="n">
        <v>0</v>
      </c>
      <c r="O1367" t="n">
        <v>0</v>
      </c>
      <c r="P1367" t="n">
        <v>0</v>
      </c>
      <c r="Q1367" t="n">
        <v>0</v>
      </c>
      <c r="R1367" s="2" t="inlineStr"/>
    </row>
    <row r="1368" ht="15" customHeight="1">
      <c r="A1368" t="inlineStr">
        <is>
          <t>A 71065-2018</t>
        </is>
      </c>
      <c r="B1368" s="1" t="n">
        <v>43452</v>
      </c>
      <c r="C1368" s="1" t="n">
        <v>45212</v>
      </c>
      <c r="D1368" t="inlineStr">
        <is>
          <t>VÄSTRA GÖTALANDS LÄN</t>
        </is>
      </c>
      <c r="E1368" t="inlineStr">
        <is>
          <t>FALKÖPING</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70943-2018</t>
        </is>
      </c>
      <c r="B1369" s="1" t="n">
        <v>43452</v>
      </c>
      <c r="C1369" s="1" t="n">
        <v>45212</v>
      </c>
      <c r="D1369" t="inlineStr">
        <is>
          <t>VÄSTRA GÖTALANDS LÄN</t>
        </is>
      </c>
      <c r="E1369" t="inlineStr">
        <is>
          <t>TÖREBODA</t>
        </is>
      </c>
      <c r="G1369" t="n">
        <v>1.2</v>
      </c>
      <c r="H1369" t="n">
        <v>0</v>
      </c>
      <c r="I1369" t="n">
        <v>0</v>
      </c>
      <c r="J1369" t="n">
        <v>0</v>
      </c>
      <c r="K1369" t="n">
        <v>0</v>
      </c>
      <c r="L1369" t="n">
        <v>0</v>
      </c>
      <c r="M1369" t="n">
        <v>0</v>
      </c>
      <c r="N1369" t="n">
        <v>0</v>
      </c>
      <c r="O1369" t="n">
        <v>0</v>
      </c>
      <c r="P1369" t="n">
        <v>0</v>
      </c>
      <c r="Q1369" t="n">
        <v>0</v>
      </c>
      <c r="R1369" s="2" t="inlineStr"/>
    </row>
    <row r="1370" ht="15" customHeight="1">
      <c r="A1370" t="inlineStr">
        <is>
          <t>A 71072-2018</t>
        </is>
      </c>
      <c r="B1370" s="1" t="n">
        <v>43452</v>
      </c>
      <c r="C1370" s="1" t="n">
        <v>45212</v>
      </c>
      <c r="D1370" t="inlineStr">
        <is>
          <t>VÄSTRA GÖTALANDS LÄN</t>
        </is>
      </c>
      <c r="E1370" t="inlineStr">
        <is>
          <t>TIDAHOLM</t>
        </is>
      </c>
      <c r="G1370" t="n">
        <v>1.4</v>
      </c>
      <c r="H1370" t="n">
        <v>0</v>
      </c>
      <c r="I1370" t="n">
        <v>0</v>
      </c>
      <c r="J1370" t="n">
        <v>0</v>
      </c>
      <c r="K1370" t="n">
        <v>0</v>
      </c>
      <c r="L1370" t="n">
        <v>0</v>
      </c>
      <c r="M1370" t="n">
        <v>0</v>
      </c>
      <c r="N1370" t="n">
        <v>0</v>
      </c>
      <c r="O1370" t="n">
        <v>0</v>
      </c>
      <c r="P1370" t="n">
        <v>0</v>
      </c>
      <c r="Q1370" t="n">
        <v>0</v>
      </c>
      <c r="R1370" s="2" t="inlineStr"/>
    </row>
    <row r="1371" ht="15" customHeight="1">
      <c r="A1371" t="inlineStr">
        <is>
          <t>A 71140-2018</t>
        </is>
      </c>
      <c r="B1371" s="1" t="n">
        <v>43452</v>
      </c>
      <c r="C1371" s="1" t="n">
        <v>45212</v>
      </c>
      <c r="D1371" t="inlineStr">
        <is>
          <t>VÄSTRA GÖTALANDS LÄN</t>
        </is>
      </c>
      <c r="E1371" t="inlineStr">
        <is>
          <t>TROLLHÄTTAN</t>
        </is>
      </c>
      <c r="G1371" t="n">
        <v>0.4</v>
      </c>
      <c r="H1371" t="n">
        <v>0</v>
      </c>
      <c r="I1371" t="n">
        <v>0</v>
      </c>
      <c r="J1371" t="n">
        <v>0</v>
      </c>
      <c r="K1371" t="n">
        <v>0</v>
      </c>
      <c r="L1371" t="n">
        <v>0</v>
      </c>
      <c r="M1371" t="n">
        <v>0</v>
      </c>
      <c r="N1371" t="n">
        <v>0</v>
      </c>
      <c r="O1371" t="n">
        <v>0</v>
      </c>
      <c r="P1371" t="n">
        <v>0</v>
      </c>
      <c r="Q1371" t="n">
        <v>0</v>
      </c>
      <c r="R1371" s="2" t="inlineStr"/>
    </row>
    <row r="1372" ht="15" customHeight="1">
      <c r="A1372" t="inlineStr">
        <is>
          <t>A 71668-2018</t>
        </is>
      </c>
      <c r="B1372" s="1" t="n">
        <v>43452</v>
      </c>
      <c r="C1372" s="1" t="n">
        <v>45212</v>
      </c>
      <c r="D1372" t="inlineStr">
        <is>
          <t>VÄSTRA GÖTALANDS LÄN</t>
        </is>
      </c>
      <c r="E1372" t="inlineStr">
        <is>
          <t>HJO</t>
        </is>
      </c>
      <c r="G1372" t="n">
        <v>1.8</v>
      </c>
      <c r="H1372" t="n">
        <v>0</v>
      </c>
      <c r="I1372" t="n">
        <v>0</v>
      </c>
      <c r="J1372" t="n">
        <v>0</v>
      </c>
      <c r="K1372" t="n">
        <v>0</v>
      </c>
      <c r="L1372" t="n">
        <v>0</v>
      </c>
      <c r="M1372" t="n">
        <v>0</v>
      </c>
      <c r="N1372" t="n">
        <v>0</v>
      </c>
      <c r="O1372" t="n">
        <v>0</v>
      </c>
      <c r="P1372" t="n">
        <v>0</v>
      </c>
      <c r="Q1372" t="n">
        <v>0</v>
      </c>
      <c r="R1372" s="2" t="inlineStr"/>
    </row>
    <row r="1373" ht="15" customHeight="1">
      <c r="A1373" t="inlineStr">
        <is>
          <t>A 71293-2018</t>
        </is>
      </c>
      <c r="B1373" s="1" t="n">
        <v>43453</v>
      </c>
      <c r="C1373" s="1" t="n">
        <v>45212</v>
      </c>
      <c r="D1373" t="inlineStr">
        <is>
          <t>VÄSTRA GÖTALANDS LÄN</t>
        </is>
      </c>
      <c r="E1373" t="inlineStr">
        <is>
          <t>LERUM</t>
        </is>
      </c>
      <c r="G1373" t="n">
        <v>4.3</v>
      </c>
      <c r="H1373" t="n">
        <v>0</v>
      </c>
      <c r="I1373" t="n">
        <v>0</v>
      </c>
      <c r="J1373" t="n">
        <v>0</v>
      </c>
      <c r="K1373" t="n">
        <v>0</v>
      </c>
      <c r="L1373" t="n">
        <v>0</v>
      </c>
      <c r="M1373" t="n">
        <v>0</v>
      </c>
      <c r="N1373" t="n">
        <v>0</v>
      </c>
      <c r="O1373" t="n">
        <v>0</v>
      </c>
      <c r="P1373" t="n">
        <v>0</v>
      </c>
      <c r="Q1373" t="n">
        <v>0</v>
      </c>
      <c r="R1373" s="2" t="inlineStr"/>
    </row>
    <row r="1374" ht="15" customHeight="1">
      <c r="A1374" t="inlineStr">
        <is>
          <t>A 71303-2018</t>
        </is>
      </c>
      <c r="B1374" s="1" t="n">
        <v>43453</v>
      </c>
      <c r="C1374" s="1" t="n">
        <v>45212</v>
      </c>
      <c r="D1374" t="inlineStr">
        <is>
          <t>VÄSTRA GÖTALANDS LÄN</t>
        </is>
      </c>
      <c r="E1374" t="inlineStr">
        <is>
          <t>LERUM</t>
        </is>
      </c>
      <c r="G1374" t="n">
        <v>6.1</v>
      </c>
      <c r="H1374" t="n">
        <v>0</v>
      </c>
      <c r="I1374" t="n">
        <v>0</v>
      </c>
      <c r="J1374" t="n">
        <v>0</v>
      </c>
      <c r="K1374" t="n">
        <v>0</v>
      </c>
      <c r="L1374" t="n">
        <v>0</v>
      </c>
      <c r="M1374" t="n">
        <v>0</v>
      </c>
      <c r="N1374" t="n">
        <v>0</v>
      </c>
      <c r="O1374" t="n">
        <v>0</v>
      </c>
      <c r="P1374" t="n">
        <v>0</v>
      </c>
      <c r="Q1374" t="n">
        <v>0</v>
      </c>
      <c r="R1374" s="2" t="inlineStr"/>
    </row>
    <row r="1375" ht="15" customHeight="1">
      <c r="A1375" t="inlineStr">
        <is>
          <t>A 72049-2018</t>
        </is>
      </c>
      <c r="B1375" s="1" t="n">
        <v>43453</v>
      </c>
      <c r="C1375" s="1" t="n">
        <v>45212</v>
      </c>
      <c r="D1375" t="inlineStr">
        <is>
          <t>VÄSTRA GÖTALANDS LÄN</t>
        </is>
      </c>
      <c r="E1375" t="inlineStr">
        <is>
          <t>GULLSPÅNG</t>
        </is>
      </c>
      <c r="G1375" t="n">
        <v>3.2</v>
      </c>
      <c r="H1375" t="n">
        <v>0</v>
      </c>
      <c r="I1375" t="n">
        <v>0</v>
      </c>
      <c r="J1375" t="n">
        <v>0</v>
      </c>
      <c r="K1375" t="n">
        <v>0</v>
      </c>
      <c r="L1375" t="n">
        <v>0</v>
      </c>
      <c r="M1375" t="n">
        <v>0</v>
      </c>
      <c r="N1375" t="n">
        <v>0</v>
      </c>
      <c r="O1375" t="n">
        <v>0</v>
      </c>
      <c r="P1375" t="n">
        <v>0</v>
      </c>
      <c r="Q1375" t="n">
        <v>0</v>
      </c>
      <c r="R1375" s="2" t="inlineStr"/>
    </row>
    <row r="1376" ht="15" customHeight="1">
      <c r="A1376" t="inlineStr">
        <is>
          <t>A 72434-2018</t>
        </is>
      </c>
      <c r="B1376" s="1" t="n">
        <v>43453</v>
      </c>
      <c r="C1376" s="1" t="n">
        <v>45212</v>
      </c>
      <c r="D1376" t="inlineStr">
        <is>
          <t>VÄSTRA GÖTALANDS LÄN</t>
        </is>
      </c>
      <c r="E1376" t="inlineStr">
        <is>
          <t>DALS-ED</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71244-2018</t>
        </is>
      </c>
      <c r="B1377" s="1" t="n">
        <v>43453</v>
      </c>
      <c r="C1377" s="1" t="n">
        <v>45212</v>
      </c>
      <c r="D1377" t="inlineStr">
        <is>
          <t>VÄSTRA GÖTALANDS LÄN</t>
        </is>
      </c>
      <c r="E1377" t="inlineStr">
        <is>
          <t>BENGTSFORS</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71261-2018</t>
        </is>
      </c>
      <c r="B1378" s="1" t="n">
        <v>43453</v>
      </c>
      <c r="C1378" s="1" t="n">
        <v>45212</v>
      </c>
      <c r="D1378" t="inlineStr">
        <is>
          <t>VÄSTRA GÖTALANDS LÄN</t>
        </is>
      </c>
      <c r="E1378" t="inlineStr">
        <is>
          <t>BENGTSFORS</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71294-2018</t>
        </is>
      </c>
      <c r="B1379" s="1" t="n">
        <v>43453</v>
      </c>
      <c r="C1379" s="1" t="n">
        <v>45212</v>
      </c>
      <c r="D1379" t="inlineStr">
        <is>
          <t>VÄSTRA GÖTALANDS LÄN</t>
        </is>
      </c>
      <c r="E1379" t="inlineStr">
        <is>
          <t>MARK</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71309-2018</t>
        </is>
      </c>
      <c r="B1380" s="1" t="n">
        <v>43453</v>
      </c>
      <c r="C1380" s="1" t="n">
        <v>45212</v>
      </c>
      <c r="D1380" t="inlineStr">
        <is>
          <t>VÄSTRA GÖTALANDS LÄN</t>
        </is>
      </c>
      <c r="E1380" t="inlineStr">
        <is>
          <t>BOLLEBYGD</t>
        </is>
      </c>
      <c r="G1380" t="n">
        <v>2.5</v>
      </c>
      <c r="H1380" t="n">
        <v>0</v>
      </c>
      <c r="I1380" t="n">
        <v>0</v>
      </c>
      <c r="J1380" t="n">
        <v>0</v>
      </c>
      <c r="K1380" t="n">
        <v>0</v>
      </c>
      <c r="L1380" t="n">
        <v>0</v>
      </c>
      <c r="M1380" t="n">
        <v>0</v>
      </c>
      <c r="N1380" t="n">
        <v>0</v>
      </c>
      <c r="O1380" t="n">
        <v>0</v>
      </c>
      <c r="P1380" t="n">
        <v>0</v>
      </c>
      <c r="Q1380" t="n">
        <v>0</v>
      </c>
      <c r="R1380" s="2" t="inlineStr"/>
    </row>
    <row r="1381" ht="15" customHeight="1">
      <c r="A1381" t="inlineStr">
        <is>
          <t>A 71402-2018</t>
        </is>
      </c>
      <c r="B1381" s="1" t="n">
        <v>43453</v>
      </c>
      <c r="C1381" s="1" t="n">
        <v>45212</v>
      </c>
      <c r="D1381" t="inlineStr">
        <is>
          <t>VÄSTRA GÖTALANDS LÄN</t>
        </is>
      </c>
      <c r="E1381" t="inlineStr">
        <is>
          <t>BORÅS</t>
        </is>
      </c>
      <c r="G1381" t="n">
        <v>1.2</v>
      </c>
      <c r="H1381" t="n">
        <v>0</v>
      </c>
      <c r="I1381" t="n">
        <v>0</v>
      </c>
      <c r="J1381" t="n">
        <v>0</v>
      </c>
      <c r="K1381" t="n">
        <v>0</v>
      </c>
      <c r="L1381" t="n">
        <v>0</v>
      </c>
      <c r="M1381" t="n">
        <v>0</v>
      </c>
      <c r="N1381" t="n">
        <v>0</v>
      </c>
      <c r="O1381" t="n">
        <v>0</v>
      </c>
      <c r="P1381" t="n">
        <v>0</v>
      </c>
      <c r="Q1381" t="n">
        <v>0</v>
      </c>
      <c r="R1381" s="2" t="inlineStr"/>
    </row>
    <row r="1382" ht="15" customHeight="1">
      <c r="A1382" t="inlineStr">
        <is>
          <t>A 71412-2018</t>
        </is>
      </c>
      <c r="B1382" s="1" t="n">
        <v>43453</v>
      </c>
      <c r="C1382" s="1" t="n">
        <v>45212</v>
      </c>
      <c r="D1382" t="inlineStr">
        <is>
          <t>VÄSTRA GÖTALANDS LÄN</t>
        </is>
      </c>
      <c r="E1382" t="inlineStr">
        <is>
          <t>SKARA</t>
        </is>
      </c>
      <c r="F1382" t="inlineStr">
        <is>
          <t>Kommuner</t>
        </is>
      </c>
      <c r="G1382" t="n">
        <v>4.2</v>
      </c>
      <c r="H1382" t="n">
        <v>0</v>
      </c>
      <c r="I1382" t="n">
        <v>0</v>
      </c>
      <c r="J1382" t="n">
        <v>0</v>
      </c>
      <c r="K1382" t="n">
        <v>0</v>
      </c>
      <c r="L1382" t="n">
        <v>0</v>
      </c>
      <c r="M1382" t="n">
        <v>0</v>
      </c>
      <c r="N1382" t="n">
        <v>0</v>
      </c>
      <c r="O1382" t="n">
        <v>0</v>
      </c>
      <c r="P1382" t="n">
        <v>0</v>
      </c>
      <c r="Q1382" t="n">
        <v>0</v>
      </c>
      <c r="R1382" s="2" t="inlineStr"/>
    </row>
    <row r="1383" ht="15" customHeight="1">
      <c r="A1383" t="inlineStr">
        <is>
          <t>A 71513-2018</t>
        </is>
      </c>
      <c r="B1383" s="1" t="n">
        <v>43453</v>
      </c>
      <c r="C1383" s="1" t="n">
        <v>45212</v>
      </c>
      <c r="D1383" t="inlineStr">
        <is>
          <t>VÄSTRA GÖTALANDS LÄN</t>
        </is>
      </c>
      <c r="E1383" t="inlineStr">
        <is>
          <t>FALKÖPING</t>
        </is>
      </c>
      <c r="G1383" t="n">
        <v>5</v>
      </c>
      <c r="H1383" t="n">
        <v>0</v>
      </c>
      <c r="I1383" t="n">
        <v>0</v>
      </c>
      <c r="J1383" t="n">
        <v>0</v>
      </c>
      <c r="K1383" t="n">
        <v>0</v>
      </c>
      <c r="L1383" t="n">
        <v>0</v>
      </c>
      <c r="M1383" t="n">
        <v>0</v>
      </c>
      <c r="N1383" t="n">
        <v>0</v>
      </c>
      <c r="O1383" t="n">
        <v>0</v>
      </c>
      <c r="P1383" t="n">
        <v>0</v>
      </c>
      <c r="Q1383" t="n">
        <v>0</v>
      </c>
      <c r="R1383" s="2" t="inlineStr"/>
    </row>
    <row r="1384" ht="15" customHeight="1">
      <c r="A1384" t="inlineStr">
        <is>
          <t>A 71929-2018</t>
        </is>
      </c>
      <c r="B1384" s="1" t="n">
        <v>43453</v>
      </c>
      <c r="C1384" s="1" t="n">
        <v>45212</v>
      </c>
      <c r="D1384" t="inlineStr">
        <is>
          <t>VÄSTRA GÖTALANDS LÄN</t>
        </is>
      </c>
      <c r="E1384" t="inlineStr">
        <is>
          <t>TRANEMO</t>
        </is>
      </c>
      <c r="G1384" t="n">
        <v>9.6</v>
      </c>
      <c r="H1384" t="n">
        <v>0</v>
      </c>
      <c r="I1384" t="n">
        <v>0</v>
      </c>
      <c r="J1384" t="n">
        <v>0</v>
      </c>
      <c r="K1384" t="n">
        <v>0</v>
      </c>
      <c r="L1384" t="n">
        <v>0</v>
      </c>
      <c r="M1384" t="n">
        <v>0</v>
      </c>
      <c r="N1384" t="n">
        <v>0</v>
      </c>
      <c r="O1384" t="n">
        <v>0</v>
      </c>
      <c r="P1384" t="n">
        <v>0</v>
      </c>
      <c r="Q1384" t="n">
        <v>0</v>
      </c>
      <c r="R1384" s="2" t="inlineStr"/>
    </row>
    <row r="1385" ht="15" customHeight="1">
      <c r="A1385" t="inlineStr">
        <is>
          <t>A 71408-2018</t>
        </is>
      </c>
      <c r="B1385" s="1" t="n">
        <v>43453</v>
      </c>
      <c r="C1385" s="1" t="n">
        <v>45212</v>
      </c>
      <c r="D1385" t="inlineStr">
        <is>
          <t>VÄSTRA GÖTALANDS LÄN</t>
        </is>
      </c>
      <c r="E1385" t="inlineStr">
        <is>
          <t>TIDAHOLM</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72427-2018</t>
        </is>
      </c>
      <c r="B1386" s="1" t="n">
        <v>43453</v>
      </c>
      <c r="C1386" s="1" t="n">
        <v>45212</v>
      </c>
      <c r="D1386" t="inlineStr">
        <is>
          <t>VÄSTRA GÖTALANDS LÄN</t>
        </is>
      </c>
      <c r="E1386" t="inlineStr">
        <is>
          <t>DALS-ED</t>
        </is>
      </c>
      <c r="G1386" t="n">
        <v>6.3</v>
      </c>
      <c r="H1386" t="n">
        <v>0</v>
      </c>
      <c r="I1386" t="n">
        <v>0</v>
      </c>
      <c r="J1386" t="n">
        <v>0</v>
      </c>
      <c r="K1386" t="n">
        <v>0</v>
      </c>
      <c r="L1386" t="n">
        <v>0</v>
      </c>
      <c r="M1386" t="n">
        <v>0</v>
      </c>
      <c r="N1386" t="n">
        <v>0</v>
      </c>
      <c r="O1386" t="n">
        <v>0</v>
      </c>
      <c r="P1386" t="n">
        <v>0</v>
      </c>
      <c r="Q1386" t="n">
        <v>0</v>
      </c>
      <c r="R1386" s="2" t="inlineStr"/>
    </row>
    <row r="1387" ht="15" customHeight="1">
      <c r="A1387" t="inlineStr">
        <is>
          <t>A 71175-2018</t>
        </is>
      </c>
      <c r="B1387" s="1" t="n">
        <v>43453</v>
      </c>
      <c r="C1387" s="1" t="n">
        <v>45212</v>
      </c>
      <c r="D1387" t="inlineStr">
        <is>
          <t>VÄSTRA GÖTALANDS LÄN</t>
        </is>
      </c>
      <c r="E1387" t="inlineStr">
        <is>
          <t>MELLERUD</t>
        </is>
      </c>
      <c r="G1387" t="n">
        <v>0.7</v>
      </c>
      <c r="H1387" t="n">
        <v>0</v>
      </c>
      <c r="I1387" t="n">
        <v>0</v>
      </c>
      <c r="J1387" t="n">
        <v>0</v>
      </c>
      <c r="K1387" t="n">
        <v>0</v>
      </c>
      <c r="L1387" t="n">
        <v>0</v>
      </c>
      <c r="M1387" t="n">
        <v>0</v>
      </c>
      <c r="N1387" t="n">
        <v>0</v>
      </c>
      <c r="O1387" t="n">
        <v>0</v>
      </c>
      <c r="P1387" t="n">
        <v>0</v>
      </c>
      <c r="Q1387" t="n">
        <v>0</v>
      </c>
      <c r="R1387" s="2" t="inlineStr"/>
    </row>
    <row r="1388" ht="15" customHeight="1">
      <c r="A1388" t="inlineStr">
        <is>
          <t>A 71499-2018</t>
        </is>
      </c>
      <c r="B1388" s="1" t="n">
        <v>43453</v>
      </c>
      <c r="C1388" s="1" t="n">
        <v>45212</v>
      </c>
      <c r="D1388" t="inlineStr">
        <is>
          <t>VÄSTRA GÖTALANDS LÄN</t>
        </is>
      </c>
      <c r="E1388" t="inlineStr">
        <is>
          <t>ALINGSÅS</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71515-2018</t>
        </is>
      </c>
      <c r="B1389" s="1" t="n">
        <v>43453</v>
      </c>
      <c r="C1389" s="1" t="n">
        <v>45212</v>
      </c>
      <c r="D1389" t="inlineStr">
        <is>
          <t>VÄSTRA GÖTALANDS LÄN</t>
        </is>
      </c>
      <c r="E1389" t="inlineStr">
        <is>
          <t>FALKÖPING</t>
        </is>
      </c>
      <c r="G1389" t="n">
        <v>1.8</v>
      </c>
      <c r="H1389" t="n">
        <v>0</v>
      </c>
      <c r="I1389" t="n">
        <v>0</v>
      </c>
      <c r="J1389" t="n">
        <v>0</v>
      </c>
      <c r="K1389" t="n">
        <v>0</v>
      </c>
      <c r="L1389" t="n">
        <v>0</v>
      </c>
      <c r="M1389" t="n">
        <v>0</v>
      </c>
      <c r="N1389" t="n">
        <v>0</v>
      </c>
      <c r="O1389" t="n">
        <v>0</v>
      </c>
      <c r="P1389" t="n">
        <v>0</v>
      </c>
      <c r="Q1389" t="n">
        <v>0</v>
      </c>
      <c r="R1389" s="2" t="inlineStr"/>
    </row>
    <row r="1390" ht="15" customHeight="1">
      <c r="A1390" t="inlineStr">
        <is>
          <t>A 71799-2018</t>
        </is>
      </c>
      <c r="B1390" s="1" t="n">
        <v>43453</v>
      </c>
      <c r="C1390" s="1" t="n">
        <v>45212</v>
      </c>
      <c r="D1390" t="inlineStr">
        <is>
          <t>VÄSTRA GÖTALANDS LÄN</t>
        </is>
      </c>
      <c r="E1390" t="inlineStr">
        <is>
          <t>SKÖVDE</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72421-2018</t>
        </is>
      </c>
      <c r="B1391" s="1" t="n">
        <v>43453</v>
      </c>
      <c r="C1391" s="1" t="n">
        <v>45212</v>
      </c>
      <c r="D1391" t="inlineStr">
        <is>
          <t>VÄSTRA GÖTALANDS LÄN</t>
        </is>
      </c>
      <c r="E1391" t="inlineStr">
        <is>
          <t>DALS-ED</t>
        </is>
      </c>
      <c r="G1391" t="n">
        <v>1</v>
      </c>
      <c r="H1391" t="n">
        <v>0</v>
      </c>
      <c r="I1391" t="n">
        <v>0</v>
      </c>
      <c r="J1391" t="n">
        <v>0</v>
      </c>
      <c r="K1391" t="n">
        <v>0</v>
      </c>
      <c r="L1391" t="n">
        <v>0</v>
      </c>
      <c r="M1391" t="n">
        <v>0</v>
      </c>
      <c r="N1391" t="n">
        <v>0</v>
      </c>
      <c r="O1391" t="n">
        <v>0</v>
      </c>
      <c r="P1391" t="n">
        <v>0</v>
      </c>
      <c r="Q1391" t="n">
        <v>0</v>
      </c>
      <c r="R1391" s="2" t="inlineStr"/>
    </row>
    <row r="1392" ht="15" customHeight="1">
      <c r="A1392" t="inlineStr">
        <is>
          <t>A 71614-2018</t>
        </is>
      </c>
      <c r="B1392" s="1" t="n">
        <v>43454</v>
      </c>
      <c r="C1392" s="1" t="n">
        <v>45212</v>
      </c>
      <c r="D1392" t="inlineStr">
        <is>
          <t>VÄSTRA GÖTALANDS LÄN</t>
        </is>
      </c>
      <c r="E1392" t="inlineStr">
        <is>
          <t>ÅMÅL</t>
        </is>
      </c>
      <c r="G1392" t="n">
        <v>5.2</v>
      </c>
      <c r="H1392" t="n">
        <v>0</v>
      </c>
      <c r="I1392" t="n">
        <v>0</v>
      </c>
      <c r="J1392" t="n">
        <v>0</v>
      </c>
      <c r="K1392" t="n">
        <v>0</v>
      </c>
      <c r="L1392" t="n">
        <v>0</v>
      </c>
      <c r="M1392" t="n">
        <v>0</v>
      </c>
      <c r="N1392" t="n">
        <v>0</v>
      </c>
      <c r="O1392" t="n">
        <v>0</v>
      </c>
      <c r="P1392" t="n">
        <v>0</v>
      </c>
      <c r="Q1392" t="n">
        <v>0</v>
      </c>
      <c r="R1392" s="2" t="inlineStr"/>
    </row>
    <row r="1393" ht="15" customHeight="1">
      <c r="A1393" t="inlineStr">
        <is>
          <t>A 71648-2018</t>
        </is>
      </c>
      <c r="B1393" s="1" t="n">
        <v>43454</v>
      </c>
      <c r="C1393" s="1" t="n">
        <v>45212</v>
      </c>
      <c r="D1393" t="inlineStr">
        <is>
          <t>VÄSTRA GÖTALANDS LÄN</t>
        </is>
      </c>
      <c r="E1393" t="inlineStr">
        <is>
          <t>SVENLJUNGA</t>
        </is>
      </c>
      <c r="F1393" t="inlineStr">
        <is>
          <t>Kommuner</t>
        </is>
      </c>
      <c r="G1393" t="n">
        <v>0.9</v>
      </c>
      <c r="H1393" t="n">
        <v>0</v>
      </c>
      <c r="I1393" t="n">
        <v>0</v>
      </c>
      <c r="J1393" t="n">
        <v>0</v>
      </c>
      <c r="K1393" t="n">
        <v>0</v>
      </c>
      <c r="L1393" t="n">
        <v>0</v>
      </c>
      <c r="M1393" t="n">
        <v>0</v>
      </c>
      <c r="N1393" t="n">
        <v>0</v>
      </c>
      <c r="O1393" t="n">
        <v>0</v>
      </c>
      <c r="P1393" t="n">
        <v>0</v>
      </c>
      <c r="Q1393" t="n">
        <v>0</v>
      </c>
      <c r="R1393" s="2" t="inlineStr"/>
    </row>
    <row r="1394" ht="15" customHeight="1">
      <c r="A1394" t="inlineStr">
        <is>
          <t>A 71670-2018</t>
        </is>
      </c>
      <c r="B1394" s="1" t="n">
        <v>43454</v>
      </c>
      <c r="C1394" s="1" t="n">
        <v>45212</v>
      </c>
      <c r="D1394" t="inlineStr">
        <is>
          <t>VÄSTRA GÖTALANDS LÄN</t>
        </is>
      </c>
      <c r="E1394" t="inlineStr">
        <is>
          <t>SKARA</t>
        </is>
      </c>
      <c r="G1394" t="n">
        <v>0.5</v>
      </c>
      <c r="H1394" t="n">
        <v>0</v>
      </c>
      <c r="I1394" t="n">
        <v>0</v>
      </c>
      <c r="J1394" t="n">
        <v>0</v>
      </c>
      <c r="K1394" t="n">
        <v>0</v>
      </c>
      <c r="L1394" t="n">
        <v>0</v>
      </c>
      <c r="M1394" t="n">
        <v>0</v>
      </c>
      <c r="N1394" t="n">
        <v>0</v>
      </c>
      <c r="O1394" t="n">
        <v>0</v>
      </c>
      <c r="P1394" t="n">
        <v>0</v>
      </c>
      <c r="Q1394" t="n">
        <v>0</v>
      </c>
      <c r="R1394" s="2" t="inlineStr"/>
    </row>
    <row r="1395" ht="15" customHeight="1">
      <c r="A1395" t="inlineStr">
        <is>
          <t>A 71599-2018</t>
        </is>
      </c>
      <c r="B1395" s="1" t="n">
        <v>43454</v>
      </c>
      <c r="C1395" s="1" t="n">
        <v>45212</v>
      </c>
      <c r="D1395" t="inlineStr">
        <is>
          <t>VÄSTRA GÖTALANDS LÄN</t>
        </is>
      </c>
      <c r="E1395" t="inlineStr">
        <is>
          <t>ÅMÅL</t>
        </is>
      </c>
      <c r="G1395" t="n">
        <v>2.9</v>
      </c>
      <c r="H1395" t="n">
        <v>0</v>
      </c>
      <c r="I1395" t="n">
        <v>0</v>
      </c>
      <c r="J1395" t="n">
        <v>0</v>
      </c>
      <c r="K1395" t="n">
        <v>0</v>
      </c>
      <c r="L1395" t="n">
        <v>0</v>
      </c>
      <c r="M1395" t="n">
        <v>0</v>
      </c>
      <c r="N1395" t="n">
        <v>0</v>
      </c>
      <c r="O1395" t="n">
        <v>0</v>
      </c>
      <c r="P1395" t="n">
        <v>0</v>
      </c>
      <c r="Q1395" t="n">
        <v>0</v>
      </c>
      <c r="R1395" s="2" t="inlineStr"/>
    </row>
    <row r="1396" ht="15" customHeight="1">
      <c r="A1396" t="inlineStr">
        <is>
          <t>A 71649-2018</t>
        </is>
      </c>
      <c r="B1396" s="1" t="n">
        <v>43454</v>
      </c>
      <c r="C1396" s="1" t="n">
        <v>45212</v>
      </c>
      <c r="D1396" t="inlineStr">
        <is>
          <t>VÄSTRA GÖTALANDS LÄN</t>
        </is>
      </c>
      <c r="E1396" t="inlineStr">
        <is>
          <t>SVENLJUNGA</t>
        </is>
      </c>
      <c r="F1396" t="inlineStr">
        <is>
          <t>Kommuner</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71671-2018</t>
        </is>
      </c>
      <c r="B1397" s="1" t="n">
        <v>43454</v>
      </c>
      <c r="C1397" s="1" t="n">
        <v>45212</v>
      </c>
      <c r="D1397" t="inlineStr">
        <is>
          <t>VÄSTRA GÖTALANDS LÄN</t>
        </is>
      </c>
      <c r="E1397" t="inlineStr">
        <is>
          <t>SVENLJUNGA</t>
        </is>
      </c>
      <c r="G1397" t="n">
        <v>1.7</v>
      </c>
      <c r="H1397" t="n">
        <v>0</v>
      </c>
      <c r="I1397" t="n">
        <v>0</v>
      </c>
      <c r="J1397" t="n">
        <v>0</v>
      </c>
      <c r="K1397" t="n">
        <v>0</v>
      </c>
      <c r="L1397" t="n">
        <v>0</v>
      </c>
      <c r="M1397" t="n">
        <v>0</v>
      </c>
      <c r="N1397" t="n">
        <v>0</v>
      </c>
      <c r="O1397" t="n">
        <v>0</v>
      </c>
      <c r="P1397" t="n">
        <v>0</v>
      </c>
      <c r="Q1397" t="n">
        <v>0</v>
      </c>
      <c r="R1397" s="2" t="inlineStr"/>
    </row>
    <row r="1398" ht="15" customHeight="1">
      <c r="A1398" t="inlineStr">
        <is>
          <t>A 71825-2018</t>
        </is>
      </c>
      <c r="B1398" s="1" t="n">
        <v>43454</v>
      </c>
      <c r="C1398" s="1" t="n">
        <v>45212</v>
      </c>
      <c r="D1398" t="inlineStr">
        <is>
          <t>VÄSTRA GÖTALANDS LÄN</t>
        </is>
      </c>
      <c r="E1398" t="inlineStr">
        <is>
          <t>SVENLJUNGA</t>
        </is>
      </c>
      <c r="G1398" t="n">
        <v>11.2</v>
      </c>
      <c r="H1398" t="n">
        <v>0</v>
      </c>
      <c r="I1398" t="n">
        <v>0</v>
      </c>
      <c r="J1398" t="n">
        <v>0</v>
      </c>
      <c r="K1398" t="n">
        <v>0</v>
      </c>
      <c r="L1398" t="n">
        <v>0</v>
      </c>
      <c r="M1398" t="n">
        <v>0</v>
      </c>
      <c r="N1398" t="n">
        <v>0</v>
      </c>
      <c r="O1398" t="n">
        <v>0</v>
      </c>
      <c r="P1398" t="n">
        <v>0</v>
      </c>
      <c r="Q1398" t="n">
        <v>0</v>
      </c>
      <c r="R1398" s="2" t="inlineStr"/>
    </row>
    <row r="1399" ht="15" customHeight="1">
      <c r="A1399" t="inlineStr">
        <is>
          <t>A 71582-2018</t>
        </is>
      </c>
      <c r="B1399" s="1" t="n">
        <v>43454</v>
      </c>
      <c r="C1399" s="1" t="n">
        <v>45212</v>
      </c>
      <c r="D1399" t="inlineStr">
        <is>
          <t>VÄSTRA GÖTALANDS LÄN</t>
        </is>
      </c>
      <c r="E1399" t="inlineStr">
        <is>
          <t>HERRLJUNGA</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71751-2018</t>
        </is>
      </c>
      <c r="B1400" s="1" t="n">
        <v>43454</v>
      </c>
      <c r="C1400" s="1" t="n">
        <v>45212</v>
      </c>
      <c r="D1400" t="inlineStr">
        <is>
          <t>VÄSTRA GÖTALANDS LÄN</t>
        </is>
      </c>
      <c r="E1400" t="inlineStr">
        <is>
          <t>VÅRGÅRDA</t>
        </is>
      </c>
      <c r="G1400" t="n">
        <v>1</v>
      </c>
      <c r="H1400" t="n">
        <v>0</v>
      </c>
      <c r="I1400" t="n">
        <v>0</v>
      </c>
      <c r="J1400" t="n">
        <v>0</v>
      </c>
      <c r="K1400" t="n">
        <v>0</v>
      </c>
      <c r="L1400" t="n">
        <v>0</v>
      </c>
      <c r="M1400" t="n">
        <v>0</v>
      </c>
      <c r="N1400" t="n">
        <v>0</v>
      </c>
      <c r="O1400" t="n">
        <v>0</v>
      </c>
      <c r="P1400" t="n">
        <v>0</v>
      </c>
      <c r="Q1400" t="n">
        <v>0</v>
      </c>
      <c r="R1400" s="2" t="inlineStr"/>
    </row>
    <row r="1401" ht="15" customHeight="1">
      <c r="A1401" t="inlineStr">
        <is>
          <t>A 71653-2018</t>
        </is>
      </c>
      <c r="B1401" s="1" t="n">
        <v>43454</v>
      </c>
      <c r="C1401" s="1" t="n">
        <v>45212</v>
      </c>
      <c r="D1401" t="inlineStr">
        <is>
          <t>VÄSTRA GÖTALANDS LÄN</t>
        </is>
      </c>
      <c r="E1401" t="inlineStr">
        <is>
          <t>SVENLJUNGA</t>
        </is>
      </c>
      <c r="F1401" t="inlineStr">
        <is>
          <t>Kommuner</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71664-2018</t>
        </is>
      </c>
      <c r="B1402" s="1" t="n">
        <v>43454</v>
      </c>
      <c r="C1402" s="1" t="n">
        <v>45212</v>
      </c>
      <c r="D1402" t="inlineStr">
        <is>
          <t>VÄSTRA GÖTALANDS LÄN</t>
        </is>
      </c>
      <c r="E1402" t="inlineStr">
        <is>
          <t>TANUM</t>
        </is>
      </c>
      <c r="G1402" t="n">
        <v>2.6</v>
      </c>
      <c r="H1402" t="n">
        <v>0</v>
      </c>
      <c r="I1402" t="n">
        <v>0</v>
      </c>
      <c r="J1402" t="n">
        <v>0</v>
      </c>
      <c r="K1402" t="n">
        <v>0</v>
      </c>
      <c r="L1402" t="n">
        <v>0</v>
      </c>
      <c r="M1402" t="n">
        <v>0</v>
      </c>
      <c r="N1402" t="n">
        <v>0</v>
      </c>
      <c r="O1402" t="n">
        <v>0</v>
      </c>
      <c r="P1402" t="n">
        <v>0</v>
      </c>
      <c r="Q1402" t="n">
        <v>0</v>
      </c>
      <c r="R1402" s="2" t="inlineStr"/>
    </row>
    <row r="1403" ht="15" customHeight="1">
      <c r="A1403" t="inlineStr">
        <is>
          <t>A 71673-2018</t>
        </is>
      </c>
      <c r="B1403" s="1" t="n">
        <v>43454</v>
      </c>
      <c r="C1403" s="1" t="n">
        <v>45212</v>
      </c>
      <c r="D1403" t="inlineStr">
        <is>
          <t>VÄSTRA GÖTALANDS LÄN</t>
        </is>
      </c>
      <c r="E1403" t="inlineStr">
        <is>
          <t>SVENLJUNGA</t>
        </is>
      </c>
      <c r="G1403" t="n">
        <v>0.8</v>
      </c>
      <c r="H1403" t="n">
        <v>0</v>
      </c>
      <c r="I1403" t="n">
        <v>0</v>
      </c>
      <c r="J1403" t="n">
        <v>0</v>
      </c>
      <c r="K1403" t="n">
        <v>0</v>
      </c>
      <c r="L1403" t="n">
        <v>0</v>
      </c>
      <c r="M1403" t="n">
        <v>0</v>
      </c>
      <c r="N1403" t="n">
        <v>0</v>
      </c>
      <c r="O1403" t="n">
        <v>0</v>
      </c>
      <c r="P1403" t="n">
        <v>0</v>
      </c>
      <c r="Q1403" t="n">
        <v>0</v>
      </c>
      <c r="R1403" s="2" t="inlineStr"/>
    </row>
    <row r="1404" ht="15" customHeight="1">
      <c r="A1404" t="inlineStr">
        <is>
          <t>A 71700-2018</t>
        </is>
      </c>
      <c r="B1404" s="1" t="n">
        <v>43454</v>
      </c>
      <c r="C1404" s="1" t="n">
        <v>45212</v>
      </c>
      <c r="D1404" t="inlineStr">
        <is>
          <t>VÄSTRA GÖTALANDS LÄN</t>
        </is>
      </c>
      <c r="E1404" t="inlineStr">
        <is>
          <t>SKARA</t>
        </is>
      </c>
      <c r="F1404" t="inlineStr">
        <is>
          <t>Kommuner</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71748-2018</t>
        </is>
      </c>
      <c r="B1405" s="1" t="n">
        <v>43454</v>
      </c>
      <c r="C1405" s="1" t="n">
        <v>45212</v>
      </c>
      <c r="D1405" t="inlineStr">
        <is>
          <t>VÄSTRA GÖTALANDS LÄN</t>
        </is>
      </c>
      <c r="E1405" t="inlineStr">
        <is>
          <t>ULRICEHAMN</t>
        </is>
      </c>
      <c r="G1405" t="n">
        <v>3.7</v>
      </c>
      <c r="H1405" t="n">
        <v>0</v>
      </c>
      <c r="I1405" t="n">
        <v>0</v>
      </c>
      <c r="J1405" t="n">
        <v>0</v>
      </c>
      <c r="K1405" t="n">
        <v>0</v>
      </c>
      <c r="L1405" t="n">
        <v>0</v>
      </c>
      <c r="M1405" t="n">
        <v>0</v>
      </c>
      <c r="N1405" t="n">
        <v>0</v>
      </c>
      <c r="O1405" t="n">
        <v>0</v>
      </c>
      <c r="P1405" t="n">
        <v>0</v>
      </c>
      <c r="Q1405" t="n">
        <v>0</v>
      </c>
      <c r="R1405" s="2" t="inlineStr"/>
    </row>
    <row r="1406" ht="15" customHeight="1">
      <c r="A1406" t="inlineStr">
        <is>
          <t>A 71826-2018</t>
        </is>
      </c>
      <c r="B1406" s="1" t="n">
        <v>43454</v>
      </c>
      <c r="C1406" s="1" t="n">
        <v>45212</v>
      </c>
      <c r="D1406" t="inlineStr">
        <is>
          <t>VÄSTRA GÖTALANDS LÄN</t>
        </is>
      </c>
      <c r="E1406" t="inlineStr">
        <is>
          <t>SVENLJUNGA</t>
        </is>
      </c>
      <c r="G1406" t="n">
        <v>2.2</v>
      </c>
      <c r="H1406" t="n">
        <v>0</v>
      </c>
      <c r="I1406" t="n">
        <v>0</v>
      </c>
      <c r="J1406" t="n">
        <v>0</v>
      </c>
      <c r="K1406" t="n">
        <v>0</v>
      </c>
      <c r="L1406" t="n">
        <v>0</v>
      </c>
      <c r="M1406" t="n">
        <v>0</v>
      </c>
      <c r="N1406" t="n">
        <v>0</v>
      </c>
      <c r="O1406" t="n">
        <v>0</v>
      </c>
      <c r="P1406" t="n">
        <v>0</v>
      </c>
      <c r="Q1406" t="n">
        <v>0</v>
      </c>
      <c r="R1406" s="2" t="inlineStr"/>
    </row>
    <row r="1407" ht="15" customHeight="1">
      <c r="A1407" t="inlineStr">
        <is>
          <t>A 385-2019</t>
        </is>
      </c>
      <c r="B1407" s="1" t="n">
        <v>43454</v>
      </c>
      <c r="C1407" s="1" t="n">
        <v>45212</v>
      </c>
      <c r="D1407" t="inlineStr">
        <is>
          <t>VÄSTRA GÖTALANDS LÄN</t>
        </is>
      </c>
      <c r="E1407" t="inlineStr">
        <is>
          <t>SKÖVDE</t>
        </is>
      </c>
      <c r="G1407" t="n">
        <v>3.8</v>
      </c>
      <c r="H1407" t="n">
        <v>0</v>
      </c>
      <c r="I1407" t="n">
        <v>0</v>
      </c>
      <c r="J1407" t="n">
        <v>0</v>
      </c>
      <c r="K1407" t="n">
        <v>0</v>
      </c>
      <c r="L1407" t="n">
        <v>0</v>
      </c>
      <c r="M1407" t="n">
        <v>0</v>
      </c>
      <c r="N1407" t="n">
        <v>0</v>
      </c>
      <c r="O1407" t="n">
        <v>0</v>
      </c>
      <c r="P1407" t="n">
        <v>0</v>
      </c>
      <c r="Q1407" t="n">
        <v>0</v>
      </c>
      <c r="R1407" s="2" t="inlineStr"/>
    </row>
    <row r="1408" ht="15" customHeight="1">
      <c r="A1408" t="inlineStr">
        <is>
          <t>A 71918-2018</t>
        </is>
      </c>
      <c r="B1408" s="1" t="n">
        <v>43455</v>
      </c>
      <c r="C1408" s="1" t="n">
        <v>45212</v>
      </c>
      <c r="D1408" t="inlineStr">
        <is>
          <t>VÄSTRA GÖTALANDS LÄN</t>
        </is>
      </c>
      <c r="E1408" t="inlineStr">
        <is>
          <t>SVENLJUNGA</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71993-2018</t>
        </is>
      </c>
      <c r="B1409" s="1" t="n">
        <v>43455</v>
      </c>
      <c r="C1409" s="1" t="n">
        <v>45212</v>
      </c>
      <c r="D1409" t="inlineStr">
        <is>
          <t>VÄSTRA GÖTALANDS LÄN</t>
        </is>
      </c>
      <c r="E1409" t="inlineStr">
        <is>
          <t>SVENLJUNGA</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72210-2018</t>
        </is>
      </c>
      <c r="B1410" s="1" t="n">
        <v>43455</v>
      </c>
      <c r="C1410" s="1" t="n">
        <v>45212</v>
      </c>
      <c r="D1410" t="inlineStr">
        <is>
          <t>VÄSTRA GÖTALANDS LÄN</t>
        </is>
      </c>
      <c r="E1410" t="inlineStr">
        <is>
          <t>HÄRRYDA</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572-2019</t>
        </is>
      </c>
      <c r="B1411" s="1" t="n">
        <v>43455</v>
      </c>
      <c r="C1411" s="1" t="n">
        <v>45212</v>
      </c>
      <c r="D1411" t="inlineStr">
        <is>
          <t>VÄSTRA GÖTALANDS LÄN</t>
        </is>
      </c>
      <c r="E1411" t="inlineStr">
        <is>
          <t>MUNKEDAL</t>
        </is>
      </c>
      <c r="G1411" t="n">
        <v>1.7</v>
      </c>
      <c r="H1411" t="n">
        <v>0</v>
      </c>
      <c r="I1411" t="n">
        <v>0</v>
      </c>
      <c r="J1411" t="n">
        <v>0</v>
      </c>
      <c r="K1411" t="n">
        <v>0</v>
      </c>
      <c r="L1411" t="n">
        <v>0</v>
      </c>
      <c r="M1411" t="n">
        <v>0</v>
      </c>
      <c r="N1411" t="n">
        <v>0</v>
      </c>
      <c r="O1411" t="n">
        <v>0</v>
      </c>
      <c r="P1411" t="n">
        <v>0</v>
      </c>
      <c r="Q1411" t="n">
        <v>0</v>
      </c>
      <c r="R1411" s="2" t="inlineStr"/>
    </row>
    <row r="1412" ht="15" customHeight="1">
      <c r="A1412" t="inlineStr">
        <is>
          <t>A 71963-2018</t>
        </is>
      </c>
      <c r="B1412" s="1" t="n">
        <v>43455</v>
      </c>
      <c r="C1412" s="1" t="n">
        <v>45212</v>
      </c>
      <c r="D1412" t="inlineStr">
        <is>
          <t>VÄSTRA GÖTALANDS LÄN</t>
        </is>
      </c>
      <c r="E1412" t="inlineStr">
        <is>
          <t>ORUST</t>
        </is>
      </c>
      <c r="G1412" t="n">
        <v>10.7</v>
      </c>
      <c r="H1412" t="n">
        <v>0</v>
      </c>
      <c r="I1412" t="n">
        <v>0</v>
      </c>
      <c r="J1412" t="n">
        <v>0</v>
      </c>
      <c r="K1412" t="n">
        <v>0</v>
      </c>
      <c r="L1412" t="n">
        <v>0</v>
      </c>
      <c r="M1412" t="n">
        <v>0</v>
      </c>
      <c r="N1412" t="n">
        <v>0</v>
      </c>
      <c r="O1412" t="n">
        <v>0</v>
      </c>
      <c r="P1412" t="n">
        <v>0</v>
      </c>
      <c r="Q1412" t="n">
        <v>0</v>
      </c>
      <c r="R1412" s="2" t="inlineStr"/>
    </row>
    <row r="1413" ht="15" customHeight="1">
      <c r="A1413" t="inlineStr">
        <is>
          <t>A 71988-2018</t>
        </is>
      </c>
      <c r="B1413" s="1" t="n">
        <v>43455</v>
      </c>
      <c r="C1413" s="1" t="n">
        <v>45212</v>
      </c>
      <c r="D1413" t="inlineStr">
        <is>
          <t>VÄSTRA GÖTALANDS LÄN</t>
        </is>
      </c>
      <c r="E1413" t="inlineStr">
        <is>
          <t>UDDEVALLA</t>
        </is>
      </c>
      <c r="G1413" t="n">
        <v>1.4</v>
      </c>
      <c r="H1413" t="n">
        <v>0</v>
      </c>
      <c r="I1413" t="n">
        <v>0</v>
      </c>
      <c r="J1413" t="n">
        <v>0</v>
      </c>
      <c r="K1413" t="n">
        <v>0</v>
      </c>
      <c r="L1413" t="n">
        <v>0</v>
      </c>
      <c r="M1413" t="n">
        <v>0</v>
      </c>
      <c r="N1413" t="n">
        <v>0</v>
      </c>
      <c r="O1413" t="n">
        <v>0</v>
      </c>
      <c r="P1413" t="n">
        <v>0</v>
      </c>
      <c r="Q1413" t="n">
        <v>0</v>
      </c>
      <c r="R1413" s="2" t="inlineStr"/>
    </row>
    <row r="1414" ht="15" customHeight="1">
      <c r="A1414" t="inlineStr">
        <is>
          <t>A 72065-2018</t>
        </is>
      </c>
      <c r="B1414" s="1" t="n">
        <v>43455</v>
      </c>
      <c r="C1414" s="1" t="n">
        <v>45212</v>
      </c>
      <c r="D1414" t="inlineStr">
        <is>
          <t>VÄSTRA GÖTALANDS LÄN</t>
        </is>
      </c>
      <c r="E1414" t="inlineStr">
        <is>
          <t>TRANEMO</t>
        </is>
      </c>
      <c r="F1414" t="inlineStr">
        <is>
          <t>Kyrkan</t>
        </is>
      </c>
      <c r="G1414" t="n">
        <v>3.1</v>
      </c>
      <c r="H1414" t="n">
        <v>0</v>
      </c>
      <c r="I1414" t="n">
        <v>0</v>
      </c>
      <c r="J1414" t="n">
        <v>0</v>
      </c>
      <c r="K1414" t="n">
        <v>0</v>
      </c>
      <c r="L1414" t="n">
        <v>0</v>
      </c>
      <c r="M1414" t="n">
        <v>0</v>
      </c>
      <c r="N1414" t="n">
        <v>0</v>
      </c>
      <c r="O1414" t="n">
        <v>0</v>
      </c>
      <c r="P1414" t="n">
        <v>0</v>
      </c>
      <c r="Q1414" t="n">
        <v>0</v>
      </c>
      <c r="R1414" s="2" t="inlineStr"/>
    </row>
    <row r="1415" ht="15" customHeight="1">
      <c r="A1415" t="inlineStr">
        <is>
          <t>A 414-2019</t>
        </is>
      </c>
      <c r="B1415" s="1" t="n">
        <v>43455</v>
      </c>
      <c r="C1415" s="1" t="n">
        <v>45212</v>
      </c>
      <c r="D1415" t="inlineStr">
        <is>
          <t>VÄSTRA GÖTALANDS LÄN</t>
        </is>
      </c>
      <c r="E1415" t="inlineStr">
        <is>
          <t>BENGTSFORS</t>
        </is>
      </c>
      <c r="G1415" t="n">
        <v>1.9</v>
      </c>
      <c r="H1415" t="n">
        <v>0</v>
      </c>
      <c r="I1415" t="n">
        <v>0</v>
      </c>
      <c r="J1415" t="n">
        <v>0</v>
      </c>
      <c r="K1415" t="n">
        <v>0</v>
      </c>
      <c r="L1415" t="n">
        <v>0</v>
      </c>
      <c r="M1415" t="n">
        <v>0</v>
      </c>
      <c r="N1415" t="n">
        <v>0</v>
      </c>
      <c r="O1415" t="n">
        <v>0</v>
      </c>
      <c r="P1415" t="n">
        <v>0</v>
      </c>
      <c r="Q1415" t="n">
        <v>0</v>
      </c>
      <c r="R1415" s="2" t="inlineStr"/>
    </row>
    <row r="1416" ht="15" customHeight="1">
      <c r="A1416" t="inlineStr">
        <is>
          <t>A 71909-2018</t>
        </is>
      </c>
      <c r="B1416" s="1" t="n">
        <v>43455</v>
      </c>
      <c r="C1416" s="1" t="n">
        <v>45212</v>
      </c>
      <c r="D1416" t="inlineStr">
        <is>
          <t>VÄSTRA GÖTALANDS LÄN</t>
        </is>
      </c>
      <c r="E1416" t="inlineStr">
        <is>
          <t>MARK</t>
        </is>
      </c>
      <c r="F1416" t="inlineStr">
        <is>
          <t>Kyrkan</t>
        </is>
      </c>
      <c r="G1416" t="n">
        <v>4.4</v>
      </c>
      <c r="H1416" t="n">
        <v>0</v>
      </c>
      <c r="I1416" t="n">
        <v>0</v>
      </c>
      <c r="J1416" t="n">
        <v>0</v>
      </c>
      <c r="K1416" t="n">
        <v>0</v>
      </c>
      <c r="L1416" t="n">
        <v>0</v>
      </c>
      <c r="M1416" t="n">
        <v>0</v>
      </c>
      <c r="N1416" t="n">
        <v>0</v>
      </c>
      <c r="O1416" t="n">
        <v>0</v>
      </c>
      <c r="P1416" t="n">
        <v>0</v>
      </c>
      <c r="Q1416" t="n">
        <v>0</v>
      </c>
      <c r="R1416" s="2" t="inlineStr"/>
    </row>
    <row r="1417" ht="15" customHeight="1">
      <c r="A1417" t="inlineStr">
        <is>
          <t>A 71970-2018</t>
        </is>
      </c>
      <c r="B1417" s="1" t="n">
        <v>43455</v>
      </c>
      <c r="C1417" s="1" t="n">
        <v>45212</v>
      </c>
      <c r="D1417" t="inlineStr">
        <is>
          <t>VÄSTRA GÖTALANDS LÄN</t>
        </is>
      </c>
      <c r="E1417" t="inlineStr">
        <is>
          <t>SVENLJUNGA</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72044-2018</t>
        </is>
      </c>
      <c r="B1418" s="1" t="n">
        <v>43455</v>
      </c>
      <c r="C1418" s="1" t="n">
        <v>45212</v>
      </c>
      <c r="D1418" t="inlineStr">
        <is>
          <t>VÄSTRA GÖTALANDS LÄN</t>
        </is>
      </c>
      <c r="E1418" t="inlineStr">
        <is>
          <t>MÖLNDAL</t>
        </is>
      </c>
      <c r="F1418" t="inlineStr">
        <is>
          <t>Kommuner</t>
        </is>
      </c>
      <c r="G1418" t="n">
        <v>0.8</v>
      </c>
      <c r="H1418" t="n">
        <v>0</v>
      </c>
      <c r="I1418" t="n">
        <v>0</v>
      </c>
      <c r="J1418" t="n">
        <v>0</v>
      </c>
      <c r="K1418" t="n">
        <v>0</v>
      </c>
      <c r="L1418" t="n">
        <v>0</v>
      </c>
      <c r="M1418" t="n">
        <v>0</v>
      </c>
      <c r="N1418" t="n">
        <v>0</v>
      </c>
      <c r="O1418" t="n">
        <v>0</v>
      </c>
      <c r="P1418" t="n">
        <v>0</v>
      </c>
      <c r="Q1418" t="n">
        <v>0</v>
      </c>
      <c r="R1418" s="2" t="inlineStr"/>
    </row>
    <row r="1419" ht="15" customHeight="1">
      <c r="A1419" t="inlineStr">
        <is>
          <t>A 72211-2018</t>
        </is>
      </c>
      <c r="B1419" s="1" t="n">
        <v>43455</v>
      </c>
      <c r="C1419" s="1" t="n">
        <v>45212</v>
      </c>
      <c r="D1419" t="inlineStr">
        <is>
          <t>VÄSTRA GÖTALANDS LÄN</t>
        </is>
      </c>
      <c r="E1419" t="inlineStr">
        <is>
          <t>HÄRRYDA</t>
        </is>
      </c>
      <c r="F1419" t="inlineStr">
        <is>
          <t>Kommuner</t>
        </is>
      </c>
      <c r="G1419" t="n">
        <v>0.7</v>
      </c>
      <c r="H1419" t="n">
        <v>0</v>
      </c>
      <c r="I1419" t="n">
        <v>0</v>
      </c>
      <c r="J1419" t="n">
        <v>0</v>
      </c>
      <c r="K1419" t="n">
        <v>0</v>
      </c>
      <c r="L1419" t="n">
        <v>0</v>
      </c>
      <c r="M1419" t="n">
        <v>0</v>
      </c>
      <c r="N1419" t="n">
        <v>0</v>
      </c>
      <c r="O1419" t="n">
        <v>0</v>
      </c>
      <c r="P1419" t="n">
        <v>0</v>
      </c>
      <c r="Q1419" t="n">
        <v>0</v>
      </c>
      <c r="R1419" s="2" t="inlineStr"/>
    </row>
    <row r="1420" ht="15" customHeight="1">
      <c r="A1420" t="inlineStr">
        <is>
          <t>A 72093-2018</t>
        </is>
      </c>
      <c r="B1420" s="1" t="n">
        <v>43455</v>
      </c>
      <c r="C1420" s="1" t="n">
        <v>45212</v>
      </c>
      <c r="D1420" t="inlineStr">
        <is>
          <t>VÄSTRA GÖTALANDS LÄN</t>
        </is>
      </c>
      <c r="E1420" t="inlineStr">
        <is>
          <t>MARIESTAD</t>
        </is>
      </c>
      <c r="F1420" t="inlineStr">
        <is>
          <t>Kyrkan</t>
        </is>
      </c>
      <c r="G1420" t="n">
        <v>2.9</v>
      </c>
      <c r="H1420" t="n">
        <v>0</v>
      </c>
      <c r="I1420" t="n">
        <v>0</v>
      </c>
      <c r="J1420" t="n">
        <v>0</v>
      </c>
      <c r="K1420" t="n">
        <v>0</v>
      </c>
      <c r="L1420" t="n">
        <v>0</v>
      </c>
      <c r="M1420" t="n">
        <v>0</v>
      </c>
      <c r="N1420" t="n">
        <v>0</v>
      </c>
      <c r="O1420" t="n">
        <v>0</v>
      </c>
      <c r="P1420" t="n">
        <v>0</v>
      </c>
      <c r="Q1420" t="n">
        <v>0</v>
      </c>
      <c r="R1420" s="2" t="inlineStr"/>
    </row>
    <row r="1421" ht="15" customHeight="1">
      <c r="A1421" t="inlineStr">
        <is>
          <t>A 538-2019</t>
        </is>
      </c>
      <c r="B1421" s="1" t="n">
        <v>43455</v>
      </c>
      <c r="C1421" s="1" t="n">
        <v>45212</v>
      </c>
      <c r="D1421" t="inlineStr">
        <is>
          <t>VÄSTRA GÖTALANDS LÄN</t>
        </is>
      </c>
      <c r="E1421" t="inlineStr">
        <is>
          <t>TANUM</t>
        </is>
      </c>
      <c r="G1421" t="n">
        <v>0.8</v>
      </c>
      <c r="H1421" t="n">
        <v>0</v>
      </c>
      <c r="I1421" t="n">
        <v>0</v>
      </c>
      <c r="J1421" t="n">
        <v>0</v>
      </c>
      <c r="K1421" t="n">
        <v>0</v>
      </c>
      <c r="L1421" t="n">
        <v>0</v>
      </c>
      <c r="M1421" t="n">
        <v>0</v>
      </c>
      <c r="N1421" t="n">
        <v>0</v>
      </c>
      <c r="O1421" t="n">
        <v>0</v>
      </c>
      <c r="P1421" t="n">
        <v>0</v>
      </c>
      <c r="Q1421" t="n">
        <v>0</v>
      </c>
      <c r="R1421" s="2" t="inlineStr"/>
    </row>
    <row r="1422" ht="15" customHeight="1">
      <c r="A1422" t="inlineStr">
        <is>
          <t>A 1648-2019</t>
        </is>
      </c>
      <c r="B1422" s="1" t="n">
        <v>43461</v>
      </c>
      <c r="C1422" s="1" t="n">
        <v>45212</v>
      </c>
      <c r="D1422" t="inlineStr">
        <is>
          <t>VÄSTRA GÖTALANDS LÄN</t>
        </is>
      </c>
      <c r="E1422" t="inlineStr">
        <is>
          <t>STRÖMSTAD</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1660-2019</t>
        </is>
      </c>
      <c r="B1423" s="1" t="n">
        <v>43461</v>
      </c>
      <c r="C1423" s="1" t="n">
        <v>45212</v>
      </c>
      <c r="D1423" t="inlineStr">
        <is>
          <t>VÄSTRA GÖTALANDS LÄN</t>
        </is>
      </c>
      <c r="E1423" t="inlineStr">
        <is>
          <t>TANUM</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1686-2019</t>
        </is>
      </c>
      <c r="B1424" s="1" t="n">
        <v>43461</v>
      </c>
      <c r="C1424" s="1" t="n">
        <v>45212</v>
      </c>
      <c r="D1424" t="inlineStr">
        <is>
          <t>VÄSTRA GÖTALANDS LÄN</t>
        </is>
      </c>
      <c r="E1424" t="inlineStr">
        <is>
          <t>SVENLJUNGA</t>
        </is>
      </c>
      <c r="F1424" t="inlineStr">
        <is>
          <t>Kommuner</t>
        </is>
      </c>
      <c r="G1424" t="n">
        <v>2.6</v>
      </c>
      <c r="H1424" t="n">
        <v>0</v>
      </c>
      <c r="I1424" t="n">
        <v>0</v>
      </c>
      <c r="J1424" t="n">
        <v>0</v>
      </c>
      <c r="K1424" t="n">
        <v>0</v>
      </c>
      <c r="L1424" t="n">
        <v>0</v>
      </c>
      <c r="M1424" t="n">
        <v>0</v>
      </c>
      <c r="N1424" t="n">
        <v>0</v>
      </c>
      <c r="O1424" t="n">
        <v>0</v>
      </c>
      <c r="P1424" t="n">
        <v>0</v>
      </c>
      <c r="Q1424" t="n">
        <v>0</v>
      </c>
      <c r="R1424" s="2" t="inlineStr"/>
    </row>
    <row r="1425" ht="15" customHeight="1">
      <c r="A1425" t="inlineStr">
        <is>
          <t>A 72377-2018</t>
        </is>
      </c>
      <c r="B1425" s="1" t="n">
        <v>43461</v>
      </c>
      <c r="C1425" s="1" t="n">
        <v>45212</v>
      </c>
      <c r="D1425" t="inlineStr">
        <is>
          <t>VÄSTRA GÖTALANDS LÄN</t>
        </is>
      </c>
      <c r="E1425" t="inlineStr">
        <is>
          <t>UDDEVALLA</t>
        </is>
      </c>
      <c r="G1425" t="n">
        <v>0.9</v>
      </c>
      <c r="H1425" t="n">
        <v>0</v>
      </c>
      <c r="I1425" t="n">
        <v>0</v>
      </c>
      <c r="J1425" t="n">
        <v>0</v>
      </c>
      <c r="K1425" t="n">
        <v>0</v>
      </c>
      <c r="L1425" t="n">
        <v>0</v>
      </c>
      <c r="M1425" t="n">
        <v>0</v>
      </c>
      <c r="N1425" t="n">
        <v>0</v>
      </c>
      <c r="O1425" t="n">
        <v>0</v>
      </c>
      <c r="P1425" t="n">
        <v>0</v>
      </c>
      <c r="Q1425" t="n">
        <v>0</v>
      </c>
      <c r="R1425" s="2" t="inlineStr"/>
    </row>
    <row r="1426" ht="15" customHeight="1">
      <c r="A1426" t="inlineStr">
        <is>
          <t>A 72367-2018</t>
        </is>
      </c>
      <c r="B1426" s="1" t="n">
        <v>43461</v>
      </c>
      <c r="C1426" s="1" t="n">
        <v>45212</v>
      </c>
      <c r="D1426" t="inlineStr">
        <is>
          <t>VÄSTRA GÖTALANDS LÄN</t>
        </is>
      </c>
      <c r="E1426" t="inlineStr">
        <is>
          <t>LYSEKIL</t>
        </is>
      </c>
      <c r="G1426" t="n">
        <v>3.6</v>
      </c>
      <c r="H1426" t="n">
        <v>0</v>
      </c>
      <c r="I1426" t="n">
        <v>0</v>
      </c>
      <c r="J1426" t="n">
        <v>0</v>
      </c>
      <c r="K1426" t="n">
        <v>0</v>
      </c>
      <c r="L1426" t="n">
        <v>0</v>
      </c>
      <c r="M1426" t="n">
        <v>0</v>
      </c>
      <c r="N1426" t="n">
        <v>0</v>
      </c>
      <c r="O1426" t="n">
        <v>0</v>
      </c>
      <c r="P1426" t="n">
        <v>0</v>
      </c>
      <c r="Q1426" t="n">
        <v>0</v>
      </c>
      <c r="R1426" s="2" t="inlineStr"/>
    </row>
    <row r="1427" ht="15" customHeight="1">
      <c r="A1427" t="inlineStr">
        <is>
          <t>A 72422-2018</t>
        </is>
      </c>
      <c r="B1427" s="1" t="n">
        <v>43461</v>
      </c>
      <c r="C1427" s="1" t="n">
        <v>45212</v>
      </c>
      <c r="D1427" t="inlineStr">
        <is>
          <t>VÄSTRA GÖTALANDS LÄN</t>
        </is>
      </c>
      <c r="E1427" t="inlineStr">
        <is>
          <t>TROLLHÄTTAN</t>
        </is>
      </c>
      <c r="G1427" t="n">
        <v>0.7</v>
      </c>
      <c r="H1427" t="n">
        <v>0</v>
      </c>
      <c r="I1427" t="n">
        <v>0</v>
      </c>
      <c r="J1427" t="n">
        <v>0</v>
      </c>
      <c r="K1427" t="n">
        <v>0</v>
      </c>
      <c r="L1427" t="n">
        <v>0</v>
      </c>
      <c r="M1427" t="n">
        <v>0</v>
      </c>
      <c r="N1427" t="n">
        <v>0</v>
      </c>
      <c r="O1427" t="n">
        <v>0</v>
      </c>
      <c r="P1427" t="n">
        <v>0</v>
      </c>
      <c r="Q1427" t="n">
        <v>0</v>
      </c>
      <c r="R1427" s="2" t="inlineStr"/>
    </row>
    <row r="1428" ht="15" customHeight="1">
      <c r="A1428" t="inlineStr">
        <is>
          <t>A 72430-2018</t>
        </is>
      </c>
      <c r="B1428" s="1" t="n">
        <v>43461</v>
      </c>
      <c r="C1428" s="1" t="n">
        <v>45212</v>
      </c>
      <c r="D1428" t="inlineStr">
        <is>
          <t>VÄSTRA GÖTALANDS LÄN</t>
        </is>
      </c>
      <c r="E1428" t="inlineStr">
        <is>
          <t>HERRLJUNGA</t>
        </is>
      </c>
      <c r="G1428" t="n">
        <v>0.4</v>
      </c>
      <c r="H1428" t="n">
        <v>0</v>
      </c>
      <c r="I1428" t="n">
        <v>0</v>
      </c>
      <c r="J1428" t="n">
        <v>0</v>
      </c>
      <c r="K1428" t="n">
        <v>0</v>
      </c>
      <c r="L1428" t="n">
        <v>0</v>
      </c>
      <c r="M1428" t="n">
        <v>0</v>
      </c>
      <c r="N1428" t="n">
        <v>0</v>
      </c>
      <c r="O1428" t="n">
        <v>0</v>
      </c>
      <c r="P1428" t="n">
        <v>0</v>
      </c>
      <c r="Q1428" t="n">
        <v>0</v>
      </c>
      <c r="R1428" s="2" t="inlineStr"/>
    </row>
    <row r="1429" ht="15" customHeight="1">
      <c r="A1429" t="inlineStr">
        <is>
          <t>A 72471-2018</t>
        </is>
      </c>
      <c r="B1429" s="1" t="n">
        <v>43461</v>
      </c>
      <c r="C1429" s="1" t="n">
        <v>45212</v>
      </c>
      <c r="D1429" t="inlineStr">
        <is>
          <t>VÄSTRA GÖTALANDS LÄN</t>
        </is>
      </c>
      <c r="E1429" t="inlineStr">
        <is>
          <t>TÖREBODA</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1682-2019</t>
        </is>
      </c>
      <c r="B1430" s="1" t="n">
        <v>43461</v>
      </c>
      <c r="C1430" s="1" t="n">
        <v>45212</v>
      </c>
      <c r="D1430" t="inlineStr">
        <is>
          <t>VÄSTRA GÖTALANDS LÄN</t>
        </is>
      </c>
      <c r="E1430" t="inlineStr">
        <is>
          <t>SVENLJUNGA</t>
        </is>
      </c>
      <c r="F1430" t="inlineStr">
        <is>
          <t>Kommuner</t>
        </is>
      </c>
      <c r="G1430" t="n">
        <v>4.4</v>
      </c>
      <c r="H1430" t="n">
        <v>0</v>
      </c>
      <c r="I1430" t="n">
        <v>0</v>
      </c>
      <c r="J1430" t="n">
        <v>0</v>
      </c>
      <c r="K1430" t="n">
        <v>0</v>
      </c>
      <c r="L1430" t="n">
        <v>0</v>
      </c>
      <c r="M1430" t="n">
        <v>0</v>
      </c>
      <c r="N1430" t="n">
        <v>0</v>
      </c>
      <c r="O1430" t="n">
        <v>0</v>
      </c>
      <c r="P1430" t="n">
        <v>0</v>
      </c>
      <c r="Q1430" t="n">
        <v>0</v>
      </c>
      <c r="R1430" s="2" t="inlineStr"/>
    </row>
    <row r="1431" ht="15" customHeight="1">
      <c r="A1431" t="inlineStr">
        <is>
          <t>A 72581-2018</t>
        </is>
      </c>
      <c r="B1431" s="1" t="n">
        <v>43462</v>
      </c>
      <c r="C1431" s="1" t="n">
        <v>45212</v>
      </c>
      <c r="D1431" t="inlineStr">
        <is>
          <t>VÄSTRA GÖTALANDS LÄN</t>
        </is>
      </c>
      <c r="E1431" t="inlineStr">
        <is>
          <t>SVENLJUNGA</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1738-2019</t>
        </is>
      </c>
      <c r="B1432" s="1" t="n">
        <v>43462</v>
      </c>
      <c r="C1432" s="1" t="n">
        <v>45212</v>
      </c>
      <c r="D1432" t="inlineStr">
        <is>
          <t>VÄSTRA GÖTALANDS LÄN</t>
        </is>
      </c>
      <c r="E1432" t="inlineStr">
        <is>
          <t>ALINGSÅS</t>
        </is>
      </c>
      <c r="G1432" t="n">
        <v>0.8</v>
      </c>
      <c r="H1432" t="n">
        <v>0</v>
      </c>
      <c r="I1432" t="n">
        <v>0</v>
      </c>
      <c r="J1432" t="n">
        <v>0</v>
      </c>
      <c r="K1432" t="n">
        <v>0</v>
      </c>
      <c r="L1432" t="n">
        <v>0</v>
      </c>
      <c r="M1432" t="n">
        <v>0</v>
      </c>
      <c r="N1432" t="n">
        <v>0</v>
      </c>
      <c r="O1432" t="n">
        <v>0</v>
      </c>
      <c r="P1432" t="n">
        <v>0</v>
      </c>
      <c r="Q1432" t="n">
        <v>0</v>
      </c>
      <c r="R1432" s="2" t="inlineStr"/>
    </row>
    <row r="1433" ht="15" customHeight="1">
      <c r="A1433" t="inlineStr">
        <is>
          <t>A 1810-2019</t>
        </is>
      </c>
      <c r="B1433" s="1" t="n">
        <v>43462</v>
      </c>
      <c r="C1433" s="1" t="n">
        <v>45212</v>
      </c>
      <c r="D1433" t="inlineStr">
        <is>
          <t>VÄSTRA GÖTALANDS LÄN</t>
        </is>
      </c>
      <c r="E1433" t="inlineStr">
        <is>
          <t>BORÅS</t>
        </is>
      </c>
      <c r="G1433" t="n">
        <v>6.4</v>
      </c>
      <c r="H1433" t="n">
        <v>0</v>
      </c>
      <c r="I1433" t="n">
        <v>0</v>
      </c>
      <c r="J1433" t="n">
        <v>0</v>
      </c>
      <c r="K1433" t="n">
        <v>0</v>
      </c>
      <c r="L1433" t="n">
        <v>0</v>
      </c>
      <c r="M1433" t="n">
        <v>0</v>
      </c>
      <c r="N1433" t="n">
        <v>0</v>
      </c>
      <c r="O1433" t="n">
        <v>0</v>
      </c>
      <c r="P1433" t="n">
        <v>0</v>
      </c>
      <c r="Q1433" t="n">
        <v>0</v>
      </c>
      <c r="R1433" s="2" t="inlineStr"/>
    </row>
    <row r="1434" ht="15" customHeight="1">
      <c r="A1434" t="inlineStr">
        <is>
          <t>A 1797-2019</t>
        </is>
      </c>
      <c r="B1434" s="1" t="n">
        <v>43462</v>
      </c>
      <c r="C1434" s="1" t="n">
        <v>45212</v>
      </c>
      <c r="D1434" t="inlineStr">
        <is>
          <t>VÄSTRA GÖTALANDS LÄN</t>
        </is>
      </c>
      <c r="E1434" t="inlineStr">
        <is>
          <t>ALINGSÅS</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1724-2019</t>
        </is>
      </c>
      <c r="B1435" s="1" t="n">
        <v>43462</v>
      </c>
      <c r="C1435" s="1" t="n">
        <v>45212</v>
      </c>
      <c r="D1435" t="inlineStr">
        <is>
          <t>VÄSTRA GÖTALANDS LÄN</t>
        </is>
      </c>
      <c r="E1435" t="inlineStr">
        <is>
          <t>ULRICEHAMN</t>
        </is>
      </c>
      <c r="G1435" t="n">
        <v>3.4</v>
      </c>
      <c r="H1435" t="n">
        <v>0</v>
      </c>
      <c r="I1435" t="n">
        <v>0</v>
      </c>
      <c r="J1435" t="n">
        <v>0</v>
      </c>
      <c r="K1435" t="n">
        <v>0</v>
      </c>
      <c r="L1435" t="n">
        <v>0</v>
      </c>
      <c r="M1435" t="n">
        <v>0</v>
      </c>
      <c r="N1435" t="n">
        <v>0</v>
      </c>
      <c r="O1435" t="n">
        <v>0</v>
      </c>
      <c r="P1435" t="n">
        <v>0</v>
      </c>
      <c r="Q1435" t="n">
        <v>0</v>
      </c>
      <c r="R1435" s="2" t="inlineStr"/>
    </row>
    <row r="1436" ht="15" customHeight="1">
      <c r="A1436" t="inlineStr">
        <is>
          <t>A 1840-2019</t>
        </is>
      </c>
      <c r="B1436" s="1" t="n">
        <v>43462</v>
      </c>
      <c r="C1436" s="1" t="n">
        <v>45212</v>
      </c>
      <c r="D1436" t="inlineStr">
        <is>
          <t>VÄSTRA GÖTALANDS LÄN</t>
        </is>
      </c>
      <c r="E1436" t="inlineStr">
        <is>
          <t>VÄNERSBORG</t>
        </is>
      </c>
      <c r="G1436" t="n">
        <v>0.7</v>
      </c>
      <c r="H1436" t="n">
        <v>0</v>
      </c>
      <c r="I1436" t="n">
        <v>0</v>
      </c>
      <c r="J1436" t="n">
        <v>0</v>
      </c>
      <c r="K1436" t="n">
        <v>0</v>
      </c>
      <c r="L1436" t="n">
        <v>0</v>
      </c>
      <c r="M1436" t="n">
        <v>0</v>
      </c>
      <c r="N1436" t="n">
        <v>0</v>
      </c>
      <c r="O1436" t="n">
        <v>0</v>
      </c>
      <c r="P1436" t="n">
        <v>0</v>
      </c>
      <c r="Q1436" t="n">
        <v>0</v>
      </c>
      <c r="R1436" s="2" t="inlineStr"/>
    </row>
    <row r="1437" ht="15" customHeight="1">
      <c r="A1437" t="inlineStr">
        <is>
          <t>A 72556-2018</t>
        </is>
      </c>
      <c r="B1437" s="1" t="n">
        <v>43462</v>
      </c>
      <c r="C1437" s="1" t="n">
        <v>45212</v>
      </c>
      <c r="D1437" t="inlineStr">
        <is>
          <t>VÄSTRA GÖTALANDS LÄN</t>
        </is>
      </c>
      <c r="E1437" t="inlineStr">
        <is>
          <t>STRÖMSTAD</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1799-2019</t>
        </is>
      </c>
      <c r="B1438" s="1" t="n">
        <v>43462</v>
      </c>
      <c r="C1438" s="1" t="n">
        <v>45212</v>
      </c>
      <c r="D1438" t="inlineStr">
        <is>
          <t>VÄSTRA GÖTALANDS LÄN</t>
        </is>
      </c>
      <c r="E1438" t="inlineStr">
        <is>
          <t>ALINGSÅS</t>
        </is>
      </c>
      <c r="G1438" t="n">
        <v>1.2</v>
      </c>
      <c r="H1438" t="n">
        <v>0</v>
      </c>
      <c r="I1438" t="n">
        <v>0</v>
      </c>
      <c r="J1438" t="n">
        <v>0</v>
      </c>
      <c r="K1438" t="n">
        <v>0</v>
      </c>
      <c r="L1438" t="n">
        <v>0</v>
      </c>
      <c r="M1438" t="n">
        <v>0</v>
      </c>
      <c r="N1438" t="n">
        <v>0</v>
      </c>
      <c r="O1438" t="n">
        <v>0</v>
      </c>
      <c r="P1438" t="n">
        <v>0</v>
      </c>
      <c r="Q1438" t="n">
        <v>0</v>
      </c>
      <c r="R1438" s="2" t="inlineStr"/>
    </row>
    <row r="1439" ht="15" customHeight="1">
      <c r="A1439" t="inlineStr">
        <is>
          <t>A 72608-2018</t>
        </is>
      </c>
      <c r="B1439" s="1" t="n">
        <v>43463</v>
      </c>
      <c r="C1439" s="1" t="n">
        <v>45212</v>
      </c>
      <c r="D1439" t="inlineStr">
        <is>
          <t>VÄSTRA GÖTALANDS LÄN</t>
        </is>
      </c>
      <c r="E1439" t="inlineStr">
        <is>
          <t>LERUM</t>
        </is>
      </c>
      <c r="G1439" t="n">
        <v>3.9</v>
      </c>
      <c r="H1439" t="n">
        <v>0</v>
      </c>
      <c r="I1439" t="n">
        <v>0</v>
      </c>
      <c r="J1439" t="n">
        <v>0</v>
      </c>
      <c r="K1439" t="n">
        <v>0</v>
      </c>
      <c r="L1439" t="n">
        <v>0</v>
      </c>
      <c r="M1439" t="n">
        <v>0</v>
      </c>
      <c r="N1439" t="n">
        <v>0</v>
      </c>
      <c r="O1439" t="n">
        <v>0</v>
      </c>
      <c r="P1439" t="n">
        <v>0</v>
      </c>
      <c r="Q1439" t="n">
        <v>0</v>
      </c>
      <c r="R1439" s="2" t="inlineStr"/>
    </row>
    <row r="1440" ht="15" customHeight="1">
      <c r="A1440" t="inlineStr">
        <is>
          <t>A 72609-2018</t>
        </is>
      </c>
      <c r="B1440" s="1" t="n">
        <v>43463</v>
      </c>
      <c r="C1440" s="1" t="n">
        <v>45212</v>
      </c>
      <c r="D1440" t="inlineStr">
        <is>
          <t>VÄSTRA GÖTALANDS LÄN</t>
        </is>
      </c>
      <c r="E1440" t="inlineStr">
        <is>
          <t>LERUM</t>
        </is>
      </c>
      <c r="G1440" t="n">
        <v>3.8</v>
      </c>
      <c r="H1440" t="n">
        <v>0</v>
      </c>
      <c r="I1440" t="n">
        <v>0</v>
      </c>
      <c r="J1440" t="n">
        <v>0</v>
      </c>
      <c r="K1440" t="n">
        <v>0</v>
      </c>
      <c r="L1440" t="n">
        <v>0</v>
      </c>
      <c r="M1440" t="n">
        <v>0</v>
      </c>
      <c r="N1440" t="n">
        <v>0</v>
      </c>
      <c r="O1440" t="n">
        <v>0</v>
      </c>
      <c r="P1440" t="n">
        <v>0</v>
      </c>
      <c r="Q1440" t="n">
        <v>0</v>
      </c>
      <c r="R1440" s="2" t="inlineStr"/>
    </row>
    <row r="1441" ht="15" customHeight="1">
      <c r="A1441" t="inlineStr">
        <is>
          <t>A 72611-2018</t>
        </is>
      </c>
      <c r="B1441" s="1" t="n">
        <v>43463</v>
      </c>
      <c r="C1441" s="1" t="n">
        <v>45212</v>
      </c>
      <c r="D1441" t="inlineStr">
        <is>
          <t>VÄSTRA GÖTALANDS LÄN</t>
        </is>
      </c>
      <c r="E1441" t="inlineStr">
        <is>
          <t>LERUM</t>
        </is>
      </c>
      <c r="G1441" t="n">
        <v>3.3</v>
      </c>
      <c r="H1441" t="n">
        <v>0</v>
      </c>
      <c r="I1441" t="n">
        <v>0</v>
      </c>
      <c r="J1441" t="n">
        <v>0</v>
      </c>
      <c r="K1441" t="n">
        <v>0</v>
      </c>
      <c r="L1441" t="n">
        <v>0</v>
      </c>
      <c r="M1441" t="n">
        <v>0</v>
      </c>
      <c r="N1441" t="n">
        <v>0</v>
      </c>
      <c r="O1441" t="n">
        <v>0</v>
      </c>
      <c r="P1441" t="n">
        <v>0</v>
      </c>
      <c r="Q1441" t="n">
        <v>0</v>
      </c>
      <c r="R1441" s="2" t="inlineStr"/>
    </row>
    <row r="1442" ht="15" customHeight="1">
      <c r="A1442" t="inlineStr">
        <is>
          <t>A 72634-2018</t>
        </is>
      </c>
      <c r="B1442" s="1" t="n">
        <v>43464</v>
      </c>
      <c r="C1442" s="1" t="n">
        <v>45212</v>
      </c>
      <c r="D1442" t="inlineStr">
        <is>
          <t>VÄSTRA GÖTALANDS LÄN</t>
        </is>
      </c>
      <c r="E1442" t="inlineStr">
        <is>
          <t>ULRICEHAMN</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72632-2018</t>
        </is>
      </c>
      <c r="B1443" s="1" t="n">
        <v>43464</v>
      </c>
      <c r="C1443" s="1" t="n">
        <v>45212</v>
      </c>
      <c r="D1443" t="inlineStr">
        <is>
          <t>VÄSTRA GÖTALANDS LÄN</t>
        </is>
      </c>
      <c r="E1443" t="inlineStr">
        <is>
          <t>ULRICEHAMN</t>
        </is>
      </c>
      <c r="G1443" t="n">
        <v>4</v>
      </c>
      <c r="H1443" t="n">
        <v>0</v>
      </c>
      <c r="I1443" t="n">
        <v>0</v>
      </c>
      <c r="J1443" t="n">
        <v>0</v>
      </c>
      <c r="K1443" t="n">
        <v>0</v>
      </c>
      <c r="L1443" t="n">
        <v>0</v>
      </c>
      <c r="M1443" t="n">
        <v>0</v>
      </c>
      <c r="N1443" t="n">
        <v>0</v>
      </c>
      <c r="O1443" t="n">
        <v>0</v>
      </c>
      <c r="P1443" t="n">
        <v>0</v>
      </c>
      <c r="Q1443" t="n">
        <v>0</v>
      </c>
      <c r="R1443" s="2" t="inlineStr"/>
    </row>
    <row r="1444" ht="15" customHeight="1">
      <c r="A1444" t="inlineStr">
        <is>
          <t>A 72633-2018</t>
        </is>
      </c>
      <c r="B1444" s="1" t="n">
        <v>43464</v>
      </c>
      <c r="C1444" s="1" t="n">
        <v>45212</v>
      </c>
      <c r="D1444" t="inlineStr">
        <is>
          <t>VÄSTRA GÖTALANDS LÄN</t>
        </is>
      </c>
      <c r="E1444" t="inlineStr">
        <is>
          <t>ULRICEHAMN</t>
        </is>
      </c>
      <c r="G1444" t="n">
        <v>2.4</v>
      </c>
      <c r="H1444" t="n">
        <v>0</v>
      </c>
      <c r="I1444" t="n">
        <v>0</v>
      </c>
      <c r="J1444" t="n">
        <v>0</v>
      </c>
      <c r="K1444" t="n">
        <v>0</v>
      </c>
      <c r="L1444" t="n">
        <v>0</v>
      </c>
      <c r="M1444" t="n">
        <v>0</v>
      </c>
      <c r="N1444" t="n">
        <v>0</v>
      </c>
      <c r="O1444" t="n">
        <v>0</v>
      </c>
      <c r="P1444" t="n">
        <v>0</v>
      </c>
      <c r="Q1444" t="n">
        <v>0</v>
      </c>
      <c r="R1444" s="2" t="inlineStr"/>
    </row>
    <row r="1445" ht="15" customHeight="1">
      <c r="A1445" t="inlineStr">
        <is>
          <t>A 72654-2018</t>
        </is>
      </c>
      <c r="B1445" s="1" t="n">
        <v>43465</v>
      </c>
      <c r="C1445" s="1" t="n">
        <v>45212</v>
      </c>
      <c r="D1445" t="inlineStr">
        <is>
          <t>VÄSTRA GÖTALANDS LÄN</t>
        </is>
      </c>
      <c r="E1445" t="inlineStr">
        <is>
          <t>DALS-ED</t>
        </is>
      </c>
      <c r="G1445" t="n">
        <v>29.4</v>
      </c>
      <c r="H1445" t="n">
        <v>0</v>
      </c>
      <c r="I1445" t="n">
        <v>0</v>
      </c>
      <c r="J1445" t="n">
        <v>0</v>
      </c>
      <c r="K1445" t="n">
        <v>0</v>
      </c>
      <c r="L1445" t="n">
        <v>0</v>
      </c>
      <c r="M1445" t="n">
        <v>0</v>
      </c>
      <c r="N1445" t="n">
        <v>0</v>
      </c>
      <c r="O1445" t="n">
        <v>0</v>
      </c>
      <c r="P1445" t="n">
        <v>0</v>
      </c>
      <c r="Q1445" t="n">
        <v>0</v>
      </c>
      <c r="R1445" s="2" t="inlineStr"/>
    </row>
    <row r="1446" ht="15" customHeight="1">
      <c r="A1446" t="inlineStr">
        <is>
          <t>A 72655-2018</t>
        </is>
      </c>
      <c r="B1446" s="1" t="n">
        <v>43465</v>
      </c>
      <c r="C1446" s="1" t="n">
        <v>45212</v>
      </c>
      <c r="D1446" t="inlineStr">
        <is>
          <t>VÄSTRA GÖTALANDS LÄN</t>
        </is>
      </c>
      <c r="E1446" t="inlineStr">
        <is>
          <t>DALS-ED</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4-2019</t>
        </is>
      </c>
      <c r="B1447" s="1" t="n">
        <v>43466</v>
      </c>
      <c r="C1447" s="1" t="n">
        <v>45212</v>
      </c>
      <c r="D1447" t="inlineStr">
        <is>
          <t>VÄSTRA GÖTALANDS LÄN</t>
        </is>
      </c>
      <c r="E1447" t="inlineStr">
        <is>
          <t>SKÖVDE</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55-2019</t>
        </is>
      </c>
      <c r="B1448" s="1" t="n">
        <v>43467</v>
      </c>
      <c r="C1448" s="1" t="n">
        <v>45212</v>
      </c>
      <c r="D1448" t="inlineStr">
        <is>
          <t>VÄSTRA GÖTALANDS LÄN</t>
        </is>
      </c>
      <c r="E1448" t="inlineStr">
        <is>
          <t>BENGTSFORS</t>
        </is>
      </c>
      <c r="G1448" t="n">
        <v>1</v>
      </c>
      <c r="H1448" t="n">
        <v>0</v>
      </c>
      <c r="I1448" t="n">
        <v>0</v>
      </c>
      <c r="J1448" t="n">
        <v>0</v>
      </c>
      <c r="K1448" t="n">
        <v>0</v>
      </c>
      <c r="L1448" t="n">
        <v>0</v>
      </c>
      <c r="M1448" t="n">
        <v>0</v>
      </c>
      <c r="N1448" t="n">
        <v>0</v>
      </c>
      <c r="O1448" t="n">
        <v>0</v>
      </c>
      <c r="P1448" t="n">
        <v>0</v>
      </c>
      <c r="Q1448" t="n">
        <v>0</v>
      </c>
      <c r="R1448" s="2" t="inlineStr"/>
    </row>
    <row r="1449" ht="15" customHeight="1">
      <c r="A1449" t="inlineStr">
        <is>
          <t>A 218-2019</t>
        </is>
      </c>
      <c r="B1449" s="1" t="n">
        <v>43467</v>
      </c>
      <c r="C1449" s="1" t="n">
        <v>45212</v>
      </c>
      <c r="D1449" t="inlineStr">
        <is>
          <t>VÄSTRA GÖTALANDS LÄN</t>
        </is>
      </c>
      <c r="E1449" t="inlineStr">
        <is>
          <t>MARIESTAD</t>
        </is>
      </c>
      <c r="G1449" t="n">
        <v>2</v>
      </c>
      <c r="H1449" t="n">
        <v>0</v>
      </c>
      <c r="I1449" t="n">
        <v>0</v>
      </c>
      <c r="J1449" t="n">
        <v>0</v>
      </c>
      <c r="K1449" t="n">
        <v>0</v>
      </c>
      <c r="L1449" t="n">
        <v>0</v>
      </c>
      <c r="M1449" t="n">
        <v>0</v>
      </c>
      <c r="N1449" t="n">
        <v>0</v>
      </c>
      <c r="O1449" t="n">
        <v>0</v>
      </c>
      <c r="P1449" t="n">
        <v>0</v>
      </c>
      <c r="Q1449" t="n">
        <v>0</v>
      </c>
      <c r="R1449" s="2" t="inlineStr"/>
    </row>
    <row r="1450" ht="15" customHeight="1">
      <c r="A1450" t="inlineStr">
        <is>
          <t>A 27-2019</t>
        </is>
      </c>
      <c r="B1450" s="1" t="n">
        <v>43467</v>
      </c>
      <c r="C1450" s="1" t="n">
        <v>45212</v>
      </c>
      <c r="D1450" t="inlineStr">
        <is>
          <t>VÄSTRA GÖTALANDS LÄN</t>
        </is>
      </c>
      <c r="E1450" t="inlineStr">
        <is>
          <t>UDDEVALLA</t>
        </is>
      </c>
      <c r="G1450" t="n">
        <v>0.4</v>
      </c>
      <c r="H1450" t="n">
        <v>0</v>
      </c>
      <c r="I1450" t="n">
        <v>0</v>
      </c>
      <c r="J1450" t="n">
        <v>0</v>
      </c>
      <c r="K1450" t="n">
        <v>0</v>
      </c>
      <c r="L1450" t="n">
        <v>0</v>
      </c>
      <c r="M1450" t="n">
        <v>0</v>
      </c>
      <c r="N1450" t="n">
        <v>0</v>
      </c>
      <c r="O1450" t="n">
        <v>0</v>
      </c>
      <c r="P1450" t="n">
        <v>0</v>
      </c>
      <c r="Q1450" t="n">
        <v>0</v>
      </c>
      <c r="R1450" s="2" t="inlineStr"/>
    </row>
    <row r="1451" ht="15" customHeight="1">
      <c r="A1451" t="inlineStr">
        <is>
          <t>A 101-2019</t>
        </is>
      </c>
      <c r="B1451" s="1" t="n">
        <v>43467</v>
      </c>
      <c r="C1451" s="1" t="n">
        <v>45212</v>
      </c>
      <c r="D1451" t="inlineStr">
        <is>
          <t>VÄSTRA GÖTALANDS LÄN</t>
        </is>
      </c>
      <c r="E1451" t="inlineStr">
        <is>
          <t>LILLA EDET</t>
        </is>
      </c>
      <c r="G1451" t="n">
        <v>3.6</v>
      </c>
      <c r="H1451" t="n">
        <v>0</v>
      </c>
      <c r="I1451" t="n">
        <v>0</v>
      </c>
      <c r="J1451" t="n">
        <v>0</v>
      </c>
      <c r="K1451" t="n">
        <v>0</v>
      </c>
      <c r="L1451" t="n">
        <v>0</v>
      </c>
      <c r="M1451" t="n">
        <v>0</v>
      </c>
      <c r="N1451" t="n">
        <v>0</v>
      </c>
      <c r="O1451" t="n">
        <v>0</v>
      </c>
      <c r="P1451" t="n">
        <v>0</v>
      </c>
      <c r="Q1451" t="n">
        <v>0</v>
      </c>
      <c r="R1451" s="2" t="inlineStr"/>
    </row>
    <row r="1452" ht="15" customHeight="1">
      <c r="A1452" t="inlineStr">
        <is>
          <t>A 251-2019</t>
        </is>
      </c>
      <c r="B1452" s="1" t="n">
        <v>43468</v>
      </c>
      <c r="C1452" s="1" t="n">
        <v>45212</v>
      </c>
      <c r="D1452" t="inlineStr">
        <is>
          <t>VÄSTRA GÖTALANDS LÄN</t>
        </is>
      </c>
      <c r="E1452" t="inlineStr">
        <is>
          <t>MARK</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411-2019</t>
        </is>
      </c>
      <c r="B1453" s="1" t="n">
        <v>43468</v>
      </c>
      <c r="C1453" s="1" t="n">
        <v>45212</v>
      </c>
      <c r="D1453" t="inlineStr">
        <is>
          <t>VÄSTRA GÖTALANDS LÄN</t>
        </is>
      </c>
      <c r="E1453" t="inlineStr">
        <is>
          <t>ORUST</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381-2019</t>
        </is>
      </c>
      <c r="B1454" s="1" t="n">
        <v>43468</v>
      </c>
      <c r="C1454" s="1" t="n">
        <v>45212</v>
      </c>
      <c r="D1454" t="inlineStr">
        <is>
          <t>VÄSTRA GÖTALANDS LÄN</t>
        </is>
      </c>
      <c r="E1454" t="inlineStr">
        <is>
          <t>BOLLEBYGD</t>
        </is>
      </c>
      <c r="G1454" t="n">
        <v>1.8</v>
      </c>
      <c r="H1454" t="n">
        <v>0</v>
      </c>
      <c r="I1454" t="n">
        <v>0</v>
      </c>
      <c r="J1454" t="n">
        <v>0</v>
      </c>
      <c r="K1454" t="n">
        <v>0</v>
      </c>
      <c r="L1454" t="n">
        <v>0</v>
      </c>
      <c r="M1454" t="n">
        <v>0</v>
      </c>
      <c r="N1454" t="n">
        <v>0</v>
      </c>
      <c r="O1454" t="n">
        <v>0</v>
      </c>
      <c r="P1454" t="n">
        <v>0</v>
      </c>
      <c r="Q1454" t="n">
        <v>0</v>
      </c>
      <c r="R1454" s="2" t="inlineStr"/>
    </row>
    <row r="1455" ht="15" customHeight="1">
      <c r="A1455" t="inlineStr">
        <is>
          <t>A 2513-2019</t>
        </is>
      </c>
      <c r="B1455" s="1" t="n">
        <v>43468</v>
      </c>
      <c r="C1455" s="1" t="n">
        <v>45212</v>
      </c>
      <c r="D1455" t="inlineStr">
        <is>
          <t>VÄSTRA GÖTALANDS LÄN</t>
        </is>
      </c>
      <c r="E1455" t="inlineStr">
        <is>
          <t>GULLSPÅNG</t>
        </is>
      </c>
      <c r="G1455" t="n">
        <v>3.8</v>
      </c>
      <c r="H1455" t="n">
        <v>0</v>
      </c>
      <c r="I1455" t="n">
        <v>0</v>
      </c>
      <c r="J1455" t="n">
        <v>0</v>
      </c>
      <c r="K1455" t="n">
        <v>0</v>
      </c>
      <c r="L1455" t="n">
        <v>0</v>
      </c>
      <c r="M1455" t="n">
        <v>0</v>
      </c>
      <c r="N1455" t="n">
        <v>0</v>
      </c>
      <c r="O1455" t="n">
        <v>0</v>
      </c>
      <c r="P1455" t="n">
        <v>0</v>
      </c>
      <c r="Q1455" t="n">
        <v>0</v>
      </c>
      <c r="R1455" s="2" t="inlineStr"/>
    </row>
    <row r="1456" ht="15" customHeight="1">
      <c r="A1456" t="inlineStr">
        <is>
          <t>A 2533-2019</t>
        </is>
      </c>
      <c r="B1456" s="1" t="n">
        <v>43468</v>
      </c>
      <c r="C1456" s="1" t="n">
        <v>45212</v>
      </c>
      <c r="D1456" t="inlineStr">
        <is>
          <t>VÄSTRA GÖTALANDS LÄN</t>
        </is>
      </c>
      <c r="E1456" t="inlineStr">
        <is>
          <t>GULLSPÅNG</t>
        </is>
      </c>
      <c r="G1456" t="n">
        <v>6.1</v>
      </c>
      <c r="H1456" t="n">
        <v>0</v>
      </c>
      <c r="I1456" t="n">
        <v>0</v>
      </c>
      <c r="J1456" t="n">
        <v>0</v>
      </c>
      <c r="K1456" t="n">
        <v>0</v>
      </c>
      <c r="L1456" t="n">
        <v>0</v>
      </c>
      <c r="M1456" t="n">
        <v>0</v>
      </c>
      <c r="N1456" t="n">
        <v>0</v>
      </c>
      <c r="O1456" t="n">
        <v>0</v>
      </c>
      <c r="P1456" t="n">
        <v>0</v>
      </c>
      <c r="Q1456" t="n">
        <v>0</v>
      </c>
      <c r="R1456" s="2" t="inlineStr"/>
    </row>
    <row r="1457" ht="15" customHeight="1">
      <c r="A1457" t="inlineStr">
        <is>
          <t>A 331-2019</t>
        </is>
      </c>
      <c r="B1457" s="1" t="n">
        <v>43468</v>
      </c>
      <c r="C1457" s="1" t="n">
        <v>45212</v>
      </c>
      <c r="D1457" t="inlineStr">
        <is>
          <t>VÄSTRA GÖTALANDS LÄN</t>
        </is>
      </c>
      <c r="E1457" t="inlineStr">
        <is>
          <t>BENGTSFORS</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337-2019</t>
        </is>
      </c>
      <c r="B1458" s="1" t="n">
        <v>43468</v>
      </c>
      <c r="C1458" s="1" t="n">
        <v>45212</v>
      </c>
      <c r="D1458" t="inlineStr">
        <is>
          <t>VÄSTRA GÖTALANDS LÄN</t>
        </is>
      </c>
      <c r="E1458" t="inlineStr">
        <is>
          <t>ALINGSÅS</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383-2019</t>
        </is>
      </c>
      <c r="B1459" s="1" t="n">
        <v>43468</v>
      </c>
      <c r="C1459" s="1" t="n">
        <v>45212</v>
      </c>
      <c r="D1459" t="inlineStr">
        <is>
          <t>VÄSTRA GÖTALANDS LÄN</t>
        </is>
      </c>
      <c r="E1459" t="inlineStr">
        <is>
          <t>BOLLEBYGD</t>
        </is>
      </c>
      <c r="G1459" t="n">
        <v>2.2</v>
      </c>
      <c r="H1459" t="n">
        <v>0</v>
      </c>
      <c r="I1459" t="n">
        <v>0</v>
      </c>
      <c r="J1459" t="n">
        <v>0</v>
      </c>
      <c r="K1459" t="n">
        <v>0</v>
      </c>
      <c r="L1459" t="n">
        <v>0</v>
      </c>
      <c r="M1459" t="n">
        <v>0</v>
      </c>
      <c r="N1459" t="n">
        <v>0</v>
      </c>
      <c r="O1459" t="n">
        <v>0</v>
      </c>
      <c r="P1459" t="n">
        <v>0</v>
      </c>
      <c r="Q1459" t="n">
        <v>0</v>
      </c>
      <c r="R1459" s="2" t="inlineStr"/>
    </row>
    <row r="1460" ht="15" customHeight="1">
      <c r="A1460" t="inlineStr">
        <is>
          <t>A 2531-2019</t>
        </is>
      </c>
      <c r="B1460" s="1" t="n">
        <v>43468</v>
      </c>
      <c r="C1460" s="1" t="n">
        <v>45212</v>
      </c>
      <c r="D1460" t="inlineStr">
        <is>
          <t>VÄSTRA GÖTALANDS LÄN</t>
        </is>
      </c>
      <c r="E1460" t="inlineStr">
        <is>
          <t>GULLSPÅNG</t>
        </is>
      </c>
      <c r="G1460" t="n">
        <v>0.8</v>
      </c>
      <c r="H1460" t="n">
        <v>0</v>
      </c>
      <c r="I1460" t="n">
        <v>0</v>
      </c>
      <c r="J1460" t="n">
        <v>0</v>
      </c>
      <c r="K1460" t="n">
        <v>0</v>
      </c>
      <c r="L1460" t="n">
        <v>0</v>
      </c>
      <c r="M1460" t="n">
        <v>0</v>
      </c>
      <c r="N1460" t="n">
        <v>0</v>
      </c>
      <c r="O1460" t="n">
        <v>0</v>
      </c>
      <c r="P1460" t="n">
        <v>0</v>
      </c>
      <c r="Q1460" t="n">
        <v>0</v>
      </c>
      <c r="R1460" s="2" t="inlineStr"/>
    </row>
    <row r="1461" ht="15" customHeight="1">
      <c r="A1461" t="inlineStr">
        <is>
          <t>A 309-2019</t>
        </is>
      </c>
      <c r="B1461" s="1" t="n">
        <v>43468</v>
      </c>
      <c r="C1461" s="1" t="n">
        <v>45212</v>
      </c>
      <c r="D1461" t="inlineStr">
        <is>
          <t>VÄSTRA GÖTALANDS LÄN</t>
        </is>
      </c>
      <c r="E1461" t="inlineStr">
        <is>
          <t>MARK</t>
        </is>
      </c>
      <c r="G1461" t="n">
        <v>1.6</v>
      </c>
      <c r="H1461" t="n">
        <v>0</v>
      </c>
      <c r="I1461" t="n">
        <v>0</v>
      </c>
      <c r="J1461" t="n">
        <v>0</v>
      </c>
      <c r="K1461" t="n">
        <v>0</v>
      </c>
      <c r="L1461" t="n">
        <v>0</v>
      </c>
      <c r="M1461" t="n">
        <v>0</v>
      </c>
      <c r="N1461" t="n">
        <v>0</v>
      </c>
      <c r="O1461" t="n">
        <v>0</v>
      </c>
      <c r="P1461" t="n">
        <v>0</v>
      </c>
      <c r="Q1461" t="n">
        <v>0</v>
      </c>
      <c r="R1461" s="2" t="inlineStr"/>
    </row>
    <row r="1462" ht="15" customHeight="1">
      <c r="A1462" t="inlineStr">
        <is>
          <t>A 669-2019</t>
        </is>
      </c>
      <c r="B1462" s="1" t="n">
        <v>43469</v>
      </c>
      <c r="C1462" s="1" t="n">
        <v>45212</v>
      </c>
      <c r="D1462" t="inlineStr">
        <is>
          <t>VÄSTRA GÖTALANDS LÄN</t>
        </is>
      </c>
      <c r="E1462" t="inlineStr">
        <is>
          <t>TJÖRN</t>
        </is>
      </c>
      <c r="G1462" t="n">
        <v>1.2</v>
      </c>
      <c r="H1462" t="n">
        <v>0</v>
      </c>
      <c r="I1462" t="n">
        <v>0</v>
      </c>
      <c r="J1462" t="n">
        <v>0</v>
      </c>
      <c r="K1462" t="n">
        <v>0</v>
      </c>
      <c r="L1462" t="n">
        <v>0</v>
      </c>
      <c r="M1462" t="n">
        <v>0</v>
      </c>
      <c r="N1462" t="n">
        <v>0</v>
      </c>
      <c r="O1462" t="n">
        <v>0</v>
      </c>
      <c r="P1462" t="n">
        <v>0</v>
      </c>
      <c r="Q1462" t="n">
        <v>0</v>
      </c>
      <c r="R1462" s="2" t="inlineStr"/>
    </row>
    <row r="1463" ht="15" customHeight="1">
      <c r="A1463" t="inlineStr">
        <is>
          <t>A 2901-2019</t>
        </is>
      </c>
      <c r="B1463" s="1" t="n">
        <v>43469</v>
      </c>
      <c r="C1463" s="1" t="n">
        <v>45212</v>
      </c>
      <c r="D1463" t="inlineStr">
        <is>
          <t>VÄSTRA GÖTALANDS LÄN</t>
        </is>
      </c>
      <c r="E1463" t="inlineStr">
        <is>
          <t>BORÅS</t>
        </is>
      </c>
      <c r="F1463" t="inlineStr">
        <is>
          <t>Kommuner</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640-2019</t>
        </is>
      </c>
      <c r="B1464" s="1" t="n">
        <v>43469</v>
      </c>
      <c r="C1464" s="1" t="n">
        <v>45212</v>
      </c>
      <c r="D1464" t="inlineStr">
        <is>
          <t>VÄSTRA GÖTALANDS LÄN</t>
        </is>
      </c>
      <c r="E1464" t="inlineStr">
        <is>
          <t>TRANEMO</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661-2019</t>
        </is>
      </c>
      <c r="B1465" s="1" t="n">
        <v>43469</v>
      </c>
      <c r="C1465" s="1" t="n">
        <v>45212</v>
      </c>
      <c r="D1465" t="inlineStr">
        <is>
          <t>VÄSTRA GÖTALANDS LÄN</t>
        </is>
      </c>
      <c r="E1465" t="inlineStr">
        <is>
          <t>SKÖVDE</t>
        </is>
      </c>
      <c r="G1465" t="n">
        <v>1.9</v>
      </c>
      <c r="H1465" t="n">
        <v>0</v>
      </c>
      <c r="I1465" t="n">
        <v>0</v>
      </c>
      <c r="J1465" t="n">
        <v>0</v>
      </c>
      <c r="K1465" t="n">
        <v>0</v>
      </c>
      <c r="L1465" t="n">
        <v>0</v>
      </c>
      <c r="M1465" t="n">
        <v>0</v>
      </c>
      <c r="N1465" t="n">
        <v>0</v>
      </c>
      <c r="O1465" t="n">
        <v>0</v>
      </c>
      <c r="P1465" t="n">
        <v>0</v>
      </c>
      <c r="Q1465" t="n">
        <v>0</v>
      </c>
      <c r="R1465" s="2" t="inlineStr"/>
    </row>
    <row r="1466" ht="15" customHeight="1">
      <c r="A1466" t="inlineStr">
        <is>
          <t>A 688-2019</t>
        </is>
      </c>
      <c r="B1466" s="1" t="n">
        <v>43469</v>
      </c>
      <c r="C1466" s="1" t="n">
        <v>45212</v>
      </c>
      <c r="D1466" t="inlineStr">
        <is>
          <t>VÄSTRA GÖTALANDS LÄN</t>
        </is>
      </c>
      <c r="E1466" t="inlineStr">
        <is>
          <t>FALKÖPING</t>
        </is>
      </c>
      <c r="G1466" t="n">
        <v>3.4</v>
      </c>
      <c r="H1466" t="n">
        <v>0</v>
      </c>
      <c r="I1466" t="n">
        <v>0</v>
      </c>
      <c r="J1466" t="n">
        <v>0</v>
      </c>
      <c r="K1466" t="n">
        <v>0</v>
      </c>
      <c r="L1466" t="n">
        <v>0</v>
      </c>
      <c r="M1466" t="n">
        <v>0</v>
      </c>
      <c r="N1466" t="n">
        <v>0</v>
      </c>
      <c r="O1466" t="n">
        <v>0</v>
      </c>
      <c r="P1466" t="n">
        <v>0</v>
      </c>
      <c r="Q1466" t="n">
        <v>0</v>
      </c>
      <c r="R1466" s="2" t="inlineStr"/>
    </row>
    <row r="1467" ht="15" customHeight="1">
      <c r="A1467" t="inlineStr">
        <is>
          <t>A 2700-2019</t>
        </is>
      </c>
      <c r="B1467" s="1" t="n">
        <v>43469</v>
      </c>
      <c r="C1467" s="1" t="n">
        <v>45212</v>
      </c>
      <c r="D1467" t="inlineStr">
        <is>
          <t>VÄSTRA GÖTALANDS LÄN</t>
        </is>
      </c>
      <c r="E1467" t="inlineStr">
        <is>
          <t>VÅRGÅRDA</t>
        </is>
      </c>
      <c r="G1467" t="n">
        <v>4.8</v>
      </c>
      <c r="H1467" t="n">
        <v>0</v>
      </c>
      <c r="I1467" t="n">
        <v>0</v>
      </c>
      <c r="J1467" t="n">
        <v>0</v>
      </c>
      <c r="K1467" t="n">
        <v>0</v>
      </c>
      <c r="L1467" t="n">
        <v>0</v>
      </c>
      <c r="M1467" t="n">
        <v>0</v>
      </c>
      <c r="N1467" t="n">
        <v>0</v>
      </c>
      <c r="O1467" t="n">
        <v>0</v>
      </c>
      <c r="P1467" t="n">
        <v>0</v>
      </c>
      <c r="Q1467" t="n">
        <v>0</v>
      </c>
      <c r="R1467" s="2" t="inlineStr"/>
    </row>
    <row r="1468" ht="15" customHeight="1">
      <c r="A1468" t="inlineStr">
        <is>
          <t>A 706-2019</t>
        </is>
      </c>
      <c r="B1468" s="1" t="n">
        <v>43470</v>
      </c>
      <c r="C1468" s="1" t="n">
        <v>45212</v>
      </c>
      <c r="D1468" t="inlineStr">
        <is>
          <t>VÄSTRA GÖTALANDS LÄN</t>
        </is>
      </c>
      <c r="E1468" t="inlineStr">
        <is>
          <t>BENGTSFORS</t>
        </is>
      </c>
      <c r="G1468" t="n">
        <v>2.6</v>
      </c>
      <c r="H1468" t="n">
        <v>0</v>
      </c>
      <c r="I1468" t="n">
        <v>0</v>
      </c>
      <c r="J1468" t="n">
        <v>0</v>
      </c>
      <c r="K1468" t="n">
        <v>0</v>
      </c>
      <c r="L1468" t="n">
        <v>0</v>
      </c>
      <c r="M1468" t="n">
        <v>0</v>
      </c>
      <c r="N1468" t="n">
        <v>0</v>
      </c>
      <c r="O1468" t="n">
        <v>0</v>
      </c>
      <c r="P1468" t="n">
        <v>0</v>
      </c>
      <c r="Q1468" t="n">
        <v>0</v>
      </c>
      <c r="R1468" s="2" t="inlineStr"/>
    </row>
    <row r="1469" ht="15" customHeight="1">
      <c r="A1469" t="inlineStr">
        <is>
          <t>A 756-2019</t>
        </is>
      </c>
      <c r="B1469" s="1" t="n">
        <v>43471</v>
      </c>
      <c r="C1469" s="1" t="n">
        <v>45212</v>
      </c>
      <c r="D1469" t="inlineStr">
        <is>
          <t>VÄSTRA GÖTALANDS LÄN</t>
        </is>
      </c>
      <c r="E1469" t="inlineStr">
        <is>
          <t>ALE</t>
        </is>
      </c>
      <c r="F1469" t="inlineStr">
        <is>
          <t>Kommuner</t>
        </is>
      </c>
      <c r="G1469" t="n">
        <v>1.6</v>
      </c>
      <c r="H1469" t="n">
        <v>0</v>
      </c>
      <c r="I1469" t="n">
        <v>0</v>
      </c>
      <c r="J1469" t="n">
        <v>0</v>
      </c>
      <c r="K1469" t="n">
        <v>0</v>
      </c>
      <c r="L1469" t="n">
        <v>0</v>
      </c>
      <c r="M1469" t="n">
        <v>0</v>
      </c>
      <c r="N1469" t="n">
        <v>0</v>
      </c>
      <c r="O1469" t="n">
        <v>0</v>
      </c>
      <c r="P1469" t="n">
        <v>0</v>
      </c>
      <c r="Q1469" t="n">
        <v>0</v>
      </c>
      <c r="R1469" s="2" t="inlineStr"/>
    </row>
    <row r="1470" ht="15" customHeight="1">
      <c r="A1470" t="inlineStr">
        <is>
          <t>A 714-2019</t>
        </is>
      </c>
      <c r="B1470" s="1" t="n">
        <v>43471</v>
      </c>
      <c r="C1470" s="1" t="n">
        <v>45212</v>
      </c>
      <c r="D1470" t="inlineStr">
        <is>
          <t>VÄSTRA GÖTALANDS LÄN</t>
        </is>
      </c>
      <c r="E1470" t="inlineStr">
        <is>
          <t>FÄRGELANDA</t>
        </is>
      </c>
      <c r="G1470" t="n">
        <v>3.5</v>
      </c>
      <c r="H1470" t="n">
        <v>0</v>
      </c>
      <c r="I1470" t="n">
        <v>0</v>
      </c>
      <c r="J1470" t="n">
        <v>0</v>
      </c>
      <c r="K1470" t="n">
        <v>0</v>
      </c>
      <c r="L1470" t="n">
        <v>0</v>
      </c>
      <c r="M1470" t="n">
        <v>0</v>
      </c>
      <c r="N1470" t="n">
        <v>0</v>
      </c>
      <c r="O1470" t="n">
        <v>0</v>
      </c>
      <c r="P1470" t="n">
        <v>0</v>
      </c>
      <c r="Q1470" t="n">
        <v>0</v>
      </c>
      <c r="R1470" s="2" t="inlineStr"/>
    </row>
    <row r="1471" ht="15" customHeight="1">
      <c r="A1471" t="inlineStr">
        <is>
          <t>A 2696-2019</t>
        </is>
      </c>
      <c r="B1471" s="1" t="n">
        <v>43471</v>
      </c>
      <c r="C1471" s="1" t="n">
        <v>45212</v>
      </c>
      <c r="D1471" t="inlineStr">
        <is>
          <t>VÄSTRA GÖTALANDS LÄN</t>
        </is>
      </c>
      <c r="E1471" t="inlineStr">
        <is>
          <t>STRÖMSTAD</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2547-2019</t>
        </is>
      </c>
      <c r="B1472" s="1" t="n">
        <v>43471</v>
      </c>
      <c r="C1472" s="1" t="n">
        <v>45212</v>
      </c>
      <c r="D1472" t="inlineStr">
        <is>
          <t>VÄSTRA GÖTALANDS LÄN</t>
        </is>
      </c>
      <c r="E1472" t="inlineStr">
        <is>
          <t>STRÖMSTAD</t>
        </is>
      </c>
      <c r="G1472" t="n">
        <v>3.9</v>
      </c>
      <c r="H1472" t="n">
        <v>0</v>
      </c>
      <c r="I1472" t="n">
        <v>0</v>
      </c>
      <c r="J1472" t="n">
        <v>0</v>
      </c>
      <c r="K1472" t="n">
        <v>0</v>
      </c>
      <c r="L1472" t="n">
        <v>0</v>
      </c>
      <c r="M1472" t="n">
        <v>0</v>
      </c>
      <c r="N1472" t="n">
        <v>0</v>
      </c>
      <c r="O1472" t="n">
        <v>0</v>
      </c>
      <c r="P1472" t="n">
        <v>0</v>
      </c>
      <c r="Q1472" t="n">
        <v>0</v>
      </c>
      <c r="R1472" s="2" t="inlineStr"/>
    </row>
    <row r="1473" ht="15" customHeight="1">
      <c r="A1473" t="inlineStr">
        <is>
          <t>A 2841-2019</t>
        </is>
      </c>
      <c r="B1473" s="1" t="n">
        <v>43472</v>
      </c>
      <c r="C1473" s="1" t="n">
        <v>45212</v>
      </c>
      <c r="D1473" t="inlineStr">
        <is>
          <t>VÄSTRA GÖTALANDS LÄN</t>
        </is>
      </c>
      <c r="E1473" t="inlineStr">
        <is>
          <t>SKARA</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2935-2019</t>
        </is>
      </c>
      <c r="B1474" s="1" t="n">
        <v>43472</v>
      </c>
      <c r="C1474" s="1" t="n">
        <v>45212</v>
      </c>
      <c r="D1474" t="inlineStr">
        <is>
          <t>VÄSTRA GÖTALANDS LÄN</t>
        </is>
      </c>
      <c r="E1474" t="inlineStr">
        <is>
          <t>LIDKÖPING</t>
        </is>
      </c>
      <c r="F1474" t="inlineStr">
        <is>
          <t>Kommuner</t>
        </is>
      </c>
      <c r="G1474" t="n">
        <v>0.7</v>
      </c>
      <c r="H1474" t="n">
        <v>0</v>
      </c>
      <c r="I1474" t="n">
        <v>0</v>
      </c>
      <c r="J1474" t="n">
        <v>0</v>
      </c>
      <c r="K1474" t="n">
        <v>0</v>
      </c>
      <c r="L1474" t="n">
        <v>0</v>
      </c>
      <c r="M1474" t="n">
        <v>0</v>
      </c>
      <c r="N1474" t="n">
        <v>0</v>
      </c>
      <c r="O1474" t="n">
        <v>0</v>
      </c>
      <c r="P1474" t="n">
        <v>0</v>
      </c>
      <c r="Q1474" t="n">
        <v>0</v>
      </c>
      <c r="R1474" s="2" t="inlineStr"/>
    </row>
    <row r="1475" ht="15" customHeight="1">
      <c r="A1475" t="inlineStr">
        <is>
          <t>A 2944-2019</t>
        </is>
      </c>
      <c r="B1475" s="1" t="n">
        <v>43472</v>
      </c>
      <c r="C1475" s="1" t="n">
        <v>45212</v>
      </c>
      <c r="D1475" t="inlineStr">
        <is>
          <t>VÄSTRA GÖTALANDS LÄN</t>
        </is>
      </c>
      <c r="E1475" t="inlineStr">
        <is>
          <t>LIDKÖPING</t>
        </is>
      </c>
      <c r="F1475" t="inlineStr">
        <is>
          <t>Kommuner</t>
        </is>
      </c>
      <c r="G1475" t="n">
        <v>2.2</v>
      </c>
      <c r="H1475" t="n">
        <v>0</v>
      </c>
      <c r="I1475" t="n">
        <v>0</v>
      </c>
      <c r="J1475" t="n">
        <v>0</v>
      </c>
      <c r="K1475" t="n">
        <v>0</v>
      </c>
      <c r="L1475" t="n">
        <v>0</v>
      </c>
      <c r="M1475" t="n">
        <v>0</v>
      </c>
      <c r="N1475" t="n">
        <v>0</v>
      </c>
      <c r="O1475" t="n">
        <v>0</v>
      </c>
      <c r="P1475" t="n">
        <v>0</v>
      </c>
      <c r="Q1475" t="n">
        <v>0</v>
      </c>
      <c r="R1475" s="2" t="inlineStr"/>
    </row>
    <row r="1476" ht="15" customHeight="1">
      <c r="A1476" t="inlineStr">
        <is>
          <t>A 789-2019</t>
        </is>
      </c>
      <c r="B1476" s="1" t="n">
        <v>43472</v>
      </c>
      <c r="C1476" s="1" t="n">
        <v>45212</v>
      </c>
      <c r="D1476" t="inlineStr">
        <is>
          <t>VÄSTRA GÖTALANDS LÄN</t>
        </is>
      </c>
      <c r="E1476" t="inlineStr">
        <is>
          <t>BORÅS</t>
        </is>
      </c>
      <c r="G1476" t="n">
        <v>0.6</v>
      </c>
      <c r="H1476" t="n">
        <v>0</v>
      </c>
      <c r="I1476" t="n">
        <v>0</v>
      </c>
      <c r="J1476" t="n">
        <v>0</v>
      </c>
      <c r="K1476" t="n">
        <v>0</v>
      </c>
      <c r="L1476" t="n">
        <v>0</v>
      </c>
      <c r="M1476" t="n">
        <v>0</v>
      </c>
      <c r="N1476" t="n">
        <v>0</v>
      </c>
      <c r="O1476" t="n">
        <v>0</v>
      </c>
      <c r="P1476" t="n">
        <v>0</v>
      </c>
      <c r="Q1476" t="n">
        <v>0</v>
      </c>
      <c r="R1476" s="2" t="inlineStr"/>
    </row>
    <row r="1477" ht="15" customHeight="1">
      <c r="A1477" t="inlineStr">
        <is>
          <t>A 853-2019</t>
        </is>
      </c>
      <c r="B1477" s="1" t="n">
        <v>43472</v>
      </c>
      <c r="C1477" s="1" t="n">
        <v>45212</v>
      </c>
      <c r="D1477" t="inlineStr">
        <is>
          <t>VÄSTRA GÖTALANDS LÄN</t>
        </is>
      </c>
      <c r="E1477" t="inlineStr">
        <is>
          <t>MARK</t>
        </is>
      </c>
      <c r="G1477" t="n">
        <v>4.2</v>
      </c>
      <c r="H1477" t="n">
        <v>0</v>
      </c>
      <c r="I1477" t="n">
        <v>0</v>
      </c>
      <c r="J1477" t="n">
        <v>0</v>
      </c>
      <c r="K1477" t="n">
        <v>0</v>
      </c>
      <c r="L1477" t="n">
        <v>0</v>
      </c>
      <c r="M1477" t="n">
        <v>0</v>
      </c>
      <c r="N1477" t="n">
        <v>0</v>
      </c>
      <c r="O1477" t="n">
        <v>0</v>
      </c>
      <c r="P1477" t="n">
        <v>0</v>
      </c>
      <c r="Q1477" t="n">
        <v>0</v>
      </c>
      <c r="R1477" s="2" t="inlineStr"/>
    </row>
    <row r="1478" ht="15" customHeight="1">
      <c r="A1478" t="inlineStr">
        <is>
          <t>A 880-2019</t>
        </is>
      </c>
      <c r="B1478" s="1" t="n">
        <v>43472</v>
      </c>
      <c r="C1478" s="1" t="n">
        <v>45212</v>
      </c>
      <c r="D1478" t="inlineStr">
        <is>
          <t>VÄSTRA GÖTALANDS LÄN</t>
        </is>
      </c>
      <c r="E1478" t="inlineStr">
        <is>
          <t>BENGTSFORS</t>
        </is>
      </c>
      <c r="G1478" t="n">
        <v>18.2</v>
      </c>
      <c r="H1478" t="n">
        <v>0</v>
      </c>
      <c r="I1478" t="n">
        <v>0</v>
      </c>
      <c r="J1478" t="n">
        <v>0</v>
      </c>
      <c r="K1478" t="n">
        <v>0</v>
      </c>
      <c r="L1478" t="n">
        <v>0</v>
      </c>
      <c r="M1478" t="n">
        <v>0</v>
      </c>
      <c r="N1478" t="n">
        <v>0</v>
      </c>
      <c r="O1478" t="n">
        <v>0</v>
      </c>
      <c r="P1478" t="n">
        <v>0</v>
      </c>
      <c r="Q1478" t="n">
        <v>0</v>
      </c>
      <c r="R1478" s="2" t="inlineStr"/>
    </row>
    <row r="1479" ht="15" customHeight="1">
      <c r="A1479" t="inlineStr">
        <is>
          <t>A 2766-2019</t>
        </is>
      </c>
      <c r="B1479" s="1" t="n">
        <v>43472</v>
      </c>
      <c r="C1479" s="1" t="n">
        <v>45212</v>
      </c>
      <c r="D1479" t="inlineStr">
        <is>
          <t>VÄSTRA GÖTALANDS LÄN</t>
        </is>
      </c>
      <c r="E1479" t="inlineStr">
        <is>
          <t>MARK</t>
        </is>
      </c>
      <c r="G1479" t="n">
        <v>11.5</v>
      </c>
      <c r="H1479" t="n">
        <v>0</v>
      </c>
      <c r="I1479" t="n">
        <v>0</v>
      </c>
      <c r="J1479" t="n">
        <v>0</v>
      </c>
      <c r="K1479" t="n">
        <v>0</v>
      </c>
      <c r="L1479" t="n">
        <v>0</v>
      </c>
      <c r="M1479" t="n">
        <v>0</v>
      </c>
      <c r="N1479" t="n">
        <v>0</v>
      </c>
      <c r="O1479" t="n">
        <v>0</v>
      </c>
      <c r="P1479" t="n">
        <v>0</v>
      </c>
      <c r="Q1479" t="n">
        <v>0</v>
      </c>
      <c r="R1479" s="2" t="inlineStr"/>
    </row>
    <row r="1480" ht="15" customHeight="1">
      <c r="A1480" t="inlineStr">
        <is>
          <t>A 2782-2019</t>
        </is>
      </c>
      <c r="B1480" s="1" t="n">
        <v>43472</v>
      </c>
      <c r="C1480" s="1" t="n">
        <v>45212</v>
      </c>
      <c r="D1480" t="inlineStr">
        <is>
          <t>VÄSTRA GÖTALANDS LÄN</t>
        </is>
      </c>
      <c r="E1480" t="inlineStr">
        <is>
          <t>DALS-ED</t>
        </is>
      </c>
      <c r="G1480" t="n">
        <v>2.7</v>
      </c>
      <c r="H1480" t="n">
        <v>0</v>
      </c>
      <c r="I1480" t="n">
        <v>0</v>
      </c>
      <c r="J1480" t="n">
        <v>0</v>
      </c>
      <c r="K1480" t="n">
        <v>0</v>
      </c>
      <c r="L1480" t="n">
        <v>0</v>
      </c>
      <c r="M1480" t="n">
        <v>0</v>
      </c>
      <c r="N1480" t="n">
        <v>0</v>
      </c>
      <c r="O1480" t="n">
        <v>0</v>
      </c>
      <c r="P1480" t="n">
        <v>0</v>
      </c>
      <c r="Q1480" t="n">
        <v>0</v>
      </c>
      <c r="R1480" s="2" t="inlineStr"/>
    </row>
    <row r="1481" ht="15" customHeight="1">
      <c r="A1481" t="inlineStr">
        <is>
          <t>A 2940-2019</t>
        </is>
      </c>
      <c r="B1481" s="1" t="n">
        <v>43472</v>
      </c>
      <c r="C1481" s="1" t="n">
        <v>45212</v>
      </c>
      <c r="D1481" t="inlineStr">
        <is>
          <t>VÄSTRA GÖTALANDS LÄN</t>
        </is>
      </c>
      <c r="E1481" t="inlineStr">
        <is>
          <t>LIDKÖPING</t>
        </is>
      </c>
      <c r="F1481" t="inlineStr">
        <is>
          <t>Kommuner</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1079-2019</t>
        </is>
      </c>
      <c r="B1482" s="1" t="n">
        <v>43472</v>
      </c>
      <c r="C1482" s="1" t="n">
        <v>45212</v>
      </c>
      <c r="D1482" t="inlineStr">
        <is>
          <t>VÄSTRA GÖTALANDS LÄN</t>
        </is>
      </c>
      <c r="E1482" t="inlineStr">
        <is>
          <t>TRANEMO</t>
        </is>
      </c>
      <c r="G1482" t="n">
        <v>2.4</v>
      </c>
      <c r="H1482" t="n">
        <v>0</v>
      </c>
      <c r="I1482" t="n">
        <v>0</v>
      </c>
      <c r="J1482" t="n">
        <v>0</v>
      </c>
      <c r="K1482" t="n">
        <v>0</v>
      </c>
      <c r="L1482" t="n">
        <v>0</v>
      </c>
      <c r="M1482" t="n">
        <v>0</v>
      </c>
      <c r="N1482" t="n">
        <v>0</v>
      </c>
      <c r="O1482" t="n">
        <v>0</v>
      </c>
      <c r="P1482" t="n">
        <v>0</v>
      </c>
      <c r="Q1482" t="n">
        <v>0</v>
      </c>
      <c r="R1482" s="2" t="inlineStr"/>
    </row>
    <row r="1483" ht="15" customHeight="1">
      <c r="A1483" t="inlineStr">
        <is>
          <t>A 1095-2019</t>
        </is>
      </c>
      <c r="B1483" s="1" t="n">
        <v>43472</v>
      </c>
      <c r="C1483" s="1" t="n">
        <v>45212</v>
      </c>
      <c r="D1483" t="inlineStr">
        <is>
          <t>VÄSTRA GÖTALANDS LÄN</t>
        </is>
      </c>
      <c r="E1483" t="inlineStr">
        <is>
          <t>HJO</t>
        </is>
      </c>
      <c r="G1483" t="n">
        <v>2.3</v>
      </c>
      <c r="H1483" t="n">
        <v>0</v>
      </c>
      <c r="I1483" t="n">
        <v>0</v>
      </c>
      <c r="J1483" t="n">
        <v>0</v>
      </c>
      <c r="K1483" t="n">
        <v>0</v>
      </c>
      <c r="L1483" t="n">
        <v>0</v>
      </c>
      <c r="M1483" t="n">
        <v>0</v>
      </c>
      <c r="N1483" t="n">
        <v>0</v>
      </c>
      <c r="O1483" t="n">
        <v>0</v>
      </c>
      <c r="P1483" t="n">
        <v>0</v>
      </c>
      <c r="Q1483" t="n">
        <v>0</v>
      </c>
      <c r="R1483" s="2" t="inlineStr"/>
    </row>
    <row r="1484" ht="15" customHeight="1">
      <c r="A1484" t="inlineStr">
        <is>
          <t>A 2734-2019</t>
        </is>
      </c>
      <c r="B1484" s="1" t="n">
        <v>43472</v>
      </c>
      <c r="C1484" s="1" t="n">
        <v>45212</v>
      </c>
      <c r="D1484" t="inlineStr">
        <is>
          <t>VÄSTRA GÖTALANDS LÄN</t>
        </is>
      </c>
      <c r="E1484" t="inlineStr">
        <is>
          <t>BORÅS</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2803-2019</t>
        </is>
      </c>
      <c r="B1485" s="1" t="n">
        <v>43472</v>
      </c>
      <c r="C1485" s="1" t="n">
        <v>45212</v>
      </c>
      <c r="D1485" t="inlineStr">
        <is>
          <t>VÄSTRA GÖTALANDS LÄN</t>
        </is>
      </c>
      <c r="E1485" t="inlineStr">
        <is>
          <t>TANUM</t>
        </is>
      </c>
      <c r="G1485" t="n">
        <v>1.6</v>
      </c>
      <c r="H1485" t="n">
        <v>0</v>
      </c>
      <c r="I1485" t="n">
        <v>0</v>
      </c>
      <c r="J1485" t="n">
        <v>0</v>
      </c>
      <c r="K1485" t="n">
        <v>0</v>
      </c>
      <c r="L1485" t="n">
        <v>0</v>
      </c>
      <c r="M1485" t="n">
        <v>0</v>
      </c>
      <c r="N1485" t="n">
        <v>0</v>
      </c>
      <c r="O1485" t="n">
        <v>0</v>
      </c>
      <c r="P1485" t="n">
        <v>0</v>
      </c>
      <c r="Q1485" t="n">
        <v>0</v>
      </c>
      <c r="R1485" s="2" t="inlineStr"/>
    </row>
    <row r="1486" ht="15" customHeight="1">
      <c r="A1486" t="inlineStr">
        <is>
          <t>A 908-2019</t>
        </is>
      </c>
      <c r="B1486" s="1" t="n">
        <v>43472</v>
      </c>
      <c r="C1486" s="1" t="n">
        <v>45212</v>
      </c>
      <c r="D1486" t="inlineStr">
        <is>
          <t>VÄSTRA GÖTALANDS LÄN</t>
        </is>
      </c>
      <c r="E1486" t="inlineStr">
        <is>
          <t>VÅRGÅRDA</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2834-2019</t>
        </is>
      </c>
      <c r="B1487" s="1" t="n">
        <v>43472</v>
      </c>
      <c r="C1487" s="1" t="n">
        <v>45212</v>
      </c>
      <c r="D1487" t="inlineStr">
        <is>
          <t>VÄSTRA GÖTALANDS LÄN</t>
        </is>
      </c>
      <c r="E1487" t="inlineStr">
        <is>
          <t>SKARA</t>
        </is>
      </c>
      <c r="G1487" t="n">
        <v>1.7</v>
      </c>
      <c r="H1487" t="n">
        <v>0</v>
      </c>
      <c r="I1487" t="n">
        <v>0</v>
      </c>
      <c r="J1487" t="n">
        <v>0</v>
      </c>
      <c r="K1487" t="n">
        <v>0</v>
      </c>
      <c r="L1487" t="n">
        <v>0</v>
      </c>
      <c r="M1487" t="n">
        <v>0</v>
      </c>
      <c r="N1487" t="n">
        <v>0</v>
      </c>
      <c r="O1487" t="n">
        <v>0</v>
      </c>
      <c r="P1487" t="n">
        <v>0</v>
      </c>
      <c r="Q1487" t="n">
        <v>0</v>
      </c>
      <c r="R1487" s="2" t="inlineStr"/>
    </row>
    <row r="1488" ht="15" customHeight="1">
      <c r="A1488" t="inlineStr">
        <is>
          <t>A 2927-2019</t>
        </is>
      </c>
      <c r="B1488" s="1" t="n">
        <v>43472</v>
      </c>
      <c r="C1488" s="1" t="n">
        <v>45212</v>
      </c>
      <c r="D1488" t="inlineStr">
        <is>
          <t>VÄSTRA GÖTALANDS LÄN</t>
        </is>
      </c>
      <c r="E1488" t="inlineStr">
        <is>
          <t>LIDKÖPING</t>
        </is>
      </c>
      <c r="F1488" t="inlineStr">
        <is>
          <t>Kommuner</t>
        </is>
      </c>
      <c r="G1488" t="n">
        <v>1.2</v>
      </c>
      <c r="H1488" t="n">
        <v>0</v>
      </c>
      <c r="I1488" t="n">
        <v>0</v>
      </c>
      <c r="J1488" t="n">
        <v>0</v>
      </c>
      <c r="K1488" t="n">
        <v>0</v>
      </c>
      <c r="L1488" t="n">
        <v>0</v>
      </c>
      <c r="M1488" t="n">
        <v>0</v>
      </c>
      <c r="N1488" t="n">
        <v>0</v>
      </c>
      <c r="O1488" t="n">
        <v>0</v>
      </c>
      <c r="P1488" t="n">
        <v>0</v>
      </c>
      <c r="Q1488" t="n">
        <v>0</v>
      </c>
      <c r="R1488" s="2" t="inlineStr"/>
    </row>
    <row r="1489" ht="15" customHeight="1">
      <c r="A1489" t="inlineStr">
        <is>
          <t>A 788-2019</t>
        </is>
      </c>
      <c r="B1489" s="1" t="n">
        <v>43472</v>
      </c>
      <c r="C1489" s="1" t="n">
        <v>45212</v>
      </c>
      <c r="D1489" t="inlineStr">
        <is>
          <t>VÄSTRA GÖTALANDS LÄN</t>
        </is>
      </c>
      <c r="E1489" t="inlineStr">
        <is>
          <t>FÄRGELANDA</t>
        </is>
      </c>
      <c r="G1489" t="n">
        <v>1.4</v>
      </c>
      <c r="H1489" t="n">
        <v>0</v>
      </c>
      <c r="I1489" t="n">
        <v>0</v>
      </c>
      <c r="J1489" t="n">
        <v>0</v>
      </c>
      <c r="K1489" t="n">
        <v>0</v>
      </c>
      <c r="L1489" t="n">
        <v>0</v>
      </c>
      <c r="M1489" t="n">
        <v>0</v>
      </c>
      <c r="N1489" t="n">
        <v>0</v>
      </c>
      <c r="O1489" t="n">
        <v>0</v>
      </c>
      <c r="P1489" t="n">
        <v>0</v>
      </c>
      <c r="Q1489" t="n">
        <v>0</v>
      </c>
      <c r="R1489" s="2" t="inlineStr"/>
    </row>
    <row r="1490" ht="15" customHeight="1">
      <c r="A1490" t="inlineStr">
        <is>
          <t>A 1083-2019</t>
        </is>
      </c>
      <c r="B1490" s="1" t="n">
        <v>43472</v>
      </c>
      <c r="C1490" s="1" t="n">
        <v>45212</v>
      </c>
      <c r="D1490" t="inlineStr">
        <is>
          <t>VÄSTRA GÖTALANDS LÄN</t>
        </is>
      </c>
      <c r="E1490" t="inlineStr">
        <is>
          <t>TRANEMO</t>
        </is>
      </c>
      <c r="G1490" t="n">
        <v>1</v>
      </c>
      <c r="H1490" t="n">
        <v>0</v>
      </c>
      <c r="I1490" t="n">
        <v>0</v>
      </c>
      <c r="J1490" t="n">
        <v>0</v>
      </c>
      <c r="K1490" t="n">
        <v>0</v>
      </c>
      <c r="L1490" t="n">
        <v>0</v>
      </c>
      <c r="M1490" t="n">
        <v>0</v>
      </c>
      <c r="N1490" t="n">
        <v>0</v>
      </c>
      <c r="O1490" t="n">
        <v>0</v>
      </c>
      <c r="P1490" t="n">
        <v>0</v>
      </c>
      <c r="Q1490" t="n">
        <v>0</v>
      </c>
      <c r="R1490" s="2" t="inlineStr"/>
    </row>
    <row r="1491" ht="15" customHeight="1">
      <c r="A1491" t="inlineStr">
        <is>
          <t>A 1100-2019</t>
        </is>
      </c>
      <c r="B1491" s="1" t="n">
        <v>43472</v>
      </c>
      <c r="C1491" s="1" t="n">
        <v>45212</v>
      </c>
      <c r="D1491" t="inlineStr">
        <is>
          <t>VÄSTRA GÖTALANDS LÄN</t>
        </is>
      </c>
      <c r="E1491" t="inlineStr">
        <is>
          <t>TIDAHOLM</t>
        </is>
      </c>
      <c r="G1491" t="n">
        <v>0.8</v>
      </c>
      <c r="H1491" t="n">
        <v>0</v>
      </c>
      <c r="I1491" t="n">
        <v>0</v>
      </c>
      <c r="J1491" t="n">
        <v>0</v>
      </c>
      <c r="K1491" t="n">
        <v>0</v>
      </c>
      <c r="L1491" t="n">
        <v>0</v>
      </c>
      <c r="M1491" t="n">
        <v>0</v>
      </c>
      <c r="N1491" t="n">
        <v>0</v>
      </c>
      <c r="O1491" t="n">
        <v>0</v>
      </c>
      <c r="P1491" t="n">
        <v>0</v>
      </c>
      <c r="Q1491" t="n">
        <v>0</v>
      </c>
      <c r="R1491" s="2" t="inlineStr"/>
    </row>
    <row r="1492" ht="15" customHeight="1">
      <c r="A1492" t="inlineStr">
        <is>
          <t>A 1283-2019</t>
        </is>
      </c>
      <c r="B1492" s="1" t="n">
        <v>43473</v>
      </c>
      <c r="C1492" s="1" t="n">
        <v>45212</v>
      </c>
      <c r="D1492" t="inlineStr">
        <is>
          <t>VÄSTRA GÖTALANDS LÄN</t>
        </is>
      </c>
      <c r="E1492" t="inlineStr">
        <is>
          <t>FALKÖPING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1299-2019</t>
        </is>
      </c>
      <c r="B1493" s="1" t="n">
        <v>43473</v>
      </c>
      <c r="C1493" s="1" t="n">
        <v>45212</v>
      </c>
      <c r="D1493" t="inlineStr">
        <is>
          <t>VÄSTRA GÖTALANDS LÄN</t>
        </is>
      </c>
      <c r="E1493" t="inlineStr">
        <is>
          <t>SVENLJUNGA</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1359-2019</t>
        </is>
      </c>
      <c r="B1494" s="1" t="n">
        <v>43473</v>
      </c>
      <c r="C1494" s="1" t="n">
        <v>45212</v>
      </c>
      <c r="D1494" t="inlineStr">
        <is>
          <t>VÄSTRA GÖTALANDS LÄN</t>
        </is>
      </c>
      <c r="E1494" t="inlineStr">
        <is>
          <t>GÖTENE</t>
        </is>
      </c>
      <c r="G1494" t="n">
        <v>0.9</v>
      </c>
      <c r="H1494" t="n">
        <v>0</v>
      </c>
      <c r="I1494" t="n">
        <v>0</v>
      </c>
      <c r="J1494" t="n">
        <v>0</v>
      </c>
      <c r="K1494" t="n">
        <v>0</v>
      </c>
      <c r="L1494" t="n">
        <v>0</v>
      </c>
      <c r="M1494" t="n">
        <v>0</v>
      </c>
      <c r="N1494" t="n">
        <v>0</v>
      </c>
      <c r="O1494" t="n">
        <v>0</v>
      </c>
      <c r="P1494" t="n">
        <v>0</v>
      </c>
      <c r="Q1494" t="n">
        <v>0</v>
      </c>
      <c r="R1494" s="2" t="inlineStr"/>
    </row>
    <row r="1495" ht="15" customHeight="1">
      <c r="A1495" t="inlineStr">
        <is>
          <t>A 1428-2019</t>
        </is>
      </c>
      <c r="B1495" s="1" t="n">
        <v>43473</v>
      </c>
      <c r="C1495" s="1" t="n">
        <v>45212</v>
      </c>
      <c r="D1495" t="inlineStr">
        <is>
          <t>VÄSTRA GÖTALANDS LÄN</t>
        </is>
      </c>
      <c r="E1495" t="inlineStr">
        <is>
          <t>TRANEMO</t>
        </is>
      </c>
      <c r="F1495" t="inlineStr">
        <is>
          <t>Sveaskog</t>
        </is>
      </c>
      <c r="G1495" t="n">
        <v>2.2</v>
      </c>
      <c r="H1495" t="n">
        <v>0</v>
      </c>
      <c r="I1495" t="n">
        <v>0</v>
      </c>
      <c r="J1495" t="n">
        <v>0</v>
      </c>
      <c r="K1495" t="n">
        <v>0</v>
      </c>
      <c r="L1495" t="n">
        <v>0</v>
      </c>
      <c r="M1495" t="n">
        <v>0</v>
      </c>
      <c r="N1495" t="n">
        <v>0</v>
      </c>
      <c r="O1495" t="n">
        <v>0</v>
      </c>
      <c r="P1495" t="n">
        <v>0</v>
      </c>
      <c r="Q1495" t="n">
        <v>0</v>
      </c>
      <c r="R1495" s="2" t="inlineStr"/>
    </row>
    <row r="1496" ht="15" customHeight="1">
      <c r="A1496" t="inlineStr">
        <is>
          <t>A 1457-2019</t>
        </is>
      </c>
      <c r="B1496" s="1" t="n">
        <v>43473</v>
      </c>
      <c r="C1496" s="1" t="n">
        <v>45212</v>
      </c>
      <c r="D1496" t="inlineStr">
        <is>
          <t>VÄSTRA GÖTALANDS LÄN</t>
        </is>
      </c>
      <c r="E1496" t="inlineStr">
        <is>
          <t>SKARA</t>
        </is>
      </c>
      <c r="G1496" t="n">
        <v>4.7</v>
      </c>
      <c r="H1496" t="n">
        <v>0</v>
      </c>
      <c r="I1496" t="n">
        <v>0</v>
      </c>
      <c r="J1496" t="n">
        <v>0</v>
      </c>
      <c r="K1496" t="n">
        <v>0</v>
      </c>
      <c r="L1496" t="n">
        <v>0</v>
      </c>
      <c r="M1496" t="n">
        <v>0</v>
      </c>
      <c r="N1496" t="n">
        <v>0</v>
      </c>
      <c r="O1496" t="n">
        <v>0</v>
      </c>
      <c r="P1496" t="n">
        <v>0</v>
      </c>
      <c r="Q1496" t="n">
        <v>0</v>
      </c>
      <c r="R1496" s="2" t="inlineStr"/>
    </row>
    <row r="1497" ht="15" customHeight="1">
      <c r="A1497" t="inlineStr">
        <is>
          <t>A 3208-2019</t>
        </is>
      </c>
      <c r="B1497" s="1" t="n">
        <v>43473</v>
      </c>
      <c r="C1497" s="1" t="n">
        <v>45212</v>
      </c>
      <c r="D1497" t="inlineStr">
        <is>
          <t>VÄSTRA GÖTALANDS LÄN</t>
        </is>
      </c>
      <c r="E1497" t="inlineStr">
        <is>
          <t>GULLSPÅNG</t>
        </is>
      </c>
      <c r="G1497" t="n">
        <v>1.1</v>
      </c>
      <c r="H1497" t="n">
        <v>0</v>
      </c>
      <c r="I1497" t="n">
        <v>0</v>
      </c>
      <c r="J1497" t="n">
        <v>0</v>
      </c>
      <c r="K1497" t="n">
        <v>0</v>
      </c>
      <c r="L1497" t="n">
        <v>0</v>
      </c>
      <c r="M1497" t="n">
        <v>0</v>
      </c>
      <c r="N1497" t="n">
        <v>0</v>
      </c>
      <c r="O1497" t="n">
        <v>0</v>
      </c>
      <c r="P1497" t="n">
        <v>0</v>
      </c>
      <c r="Q1497" t="n">
        <v>0</v>
      </c>
      <c r="R1497" s="2" t="inlineStr"/>
    </row>
    <row r="1498" ht="15" customHeight="1">
      <c r="A1498" t="inlineStr">
        <is>
          <t>A 1290-2019</t>
        </is>
      </c>
      <c r="B1498" s="1" t="n">
        <v>43473</v>
      </c>
      <c r="C1498" s="1" t="n">
        <v>45212</v>
      </c>
      <c r="D1498" t="inlineStr">
        <is>
          <t>VÄSTRA GÖTALANDS LÄN</t>
        </is>
      </c>
      <c r="E1498" t="inlineStr">
        <is>
          <t>LIDKÖPING</t>
        </is>
      </c>
      <c r="G1498" t="n">
        <v>2.3</v>
      </c>
      <c r="H1498" t="n">
        <v>0</v>
      </c>
      <c r="I1498" t="n">
        <v>0</v>
      </c>
      <c r="J1498" t="n">
        <v>0</v>
      </c>
      <c r="K1498" t="n">
        <v>0</v>
      </c>
      <c r="L1498" t="n">
        <v>0</v>
      </c>
      <c r="M1498" t="n">
        <v>0</v>
      </c>
      <c r="N1498" t="n">
        <v>0</v>
      </c>
      <c r="O1498" t="n">
        <v>0</v>
      </c>
      <c r="P1498" t="n">
        <v>0</v>
      </c>
      <c r="Q1498" t="n">
        <v>0</v>
      </c>
      <c r="R1498" s="2" t="inlineStr"/>
    </row>
    <row r="1499" ht="15" customHeight="1">
      <c r="A1499" t="inlineStr">
        <is>
          <t>A 1386-2019</t>
        </is>
      </c>
      <c r="B1499" s="1" t="n">
        <v>43473</v>
      </c>
      <c r="C1499" s="1" t="n">
        <v>45212</v>
      </c>
      <c r="D1499" t="inlineStr">
        <is>
          <t>VÄSTRA GÖTALANDS LÄN</t>
        </is>
      </c>
      <c r="E1499" t="inlineStr">
        <is>
          <t>SKARA</t>
        </is>
      </c>
      <c r="G1499" t="n">
        <v>7.9</v>
      </c>
      <c r="H1499" t="n">
        <v>0</v>
      </c>
      <c r="I1499" t="n">
        <v>0</v>
      </c>
      <c r="J1499" t="n">
        <v>0</v>
      </c>
      <c r="K1499" t="n">
        <v>0</v>
      </c>
      <c r="L1499" t="n">
        <v>0</v>
      </c>
      <c r="M1499" t="n">
        <v>0</v>
      </c>
      <c r="N1499" t="n">
        <v>0</v>
      </c>
      <c r="O1499" t="n">
        <v>0</v>
      </c>
      <c r="P1499" t="n">
        <v>0</v>
      </c>
      <c r="Q1499" t="n">
        <v>0</v>
      </c>
      <c r="R1499" s="2" t="inlineStr"/>
    </row>
    <row r="1500" ht="15" customHeight="1">
      <c r="A1500" t="inlineStr">
        <is>
          <t>A 1436-2019</t>
        </is>
      </c>
      <c r="B1500" s="1" t="n">
        <v>43473</v>
      </c>
      <c r="C1500" s="1" t="n">
        <v>45212</v>
      </c>
      <c r="D1500" t="inlineStr">
        <is>
          <t>VÄSTRA GÖTALANDS LÄN</t>
        </is>
      </c>
      <c r="E1500" t="inlineStr">
        <is>
          <t>GÖTENE</t>
        </is>
      </c>
      <c r="G1500" t="n">
        <v>6.5</v>
      </c>
      <c r="H1500" t="n">
        <v>0</v>
      </c>
      <c r="I1500" t="n">
        <v>0</v>
      </c>
      <c r="J1500" t="n">
        <v>0</v>
      </c>
      <c r="K1500" t="n">
        <v>0</v>
      </c>
      <c r="L1500" t="n">
        <v>0</v>
      </c>
      <c r="M1500" t="n">
        <v>0</v>
      </c>
      <c r="N1500" t="n">
        <v>0</v>
      </c>
      <c r="O1500" t="n">
        <v>0</v>
      </c>
      <c r="P1500" t="n">
        <v>0</v>
      </c>
      <c r="Q1500" t="n">
        <v>0</v>
      </c>
      <c r="R1500" s="2" t="inlineStr"/>
    </row>
    <row r="1501" ht="15" customHeight="1">
      <c r="A1501" t="inlineStr">
        <is>
          <t>A 3129-2019</t>
        </is>
      </c>
      <c r="B1501" s="1" t="n">
        <v>43473</v>
      </c>
      <c r="C1501" s="1" t="n">
        <v>45212</v>
      </c>
      <c r="D1501" t="inlineStr">
        <is>
          <t>VÄSTRA GÖTALANDS LÄN</t>
        </is>
      </c>
      <c r="E1501" t="inlineStr">
        <is>
          <t>GULLSPÅNG</t>
        </is>
      </c>
      <c r="G1501" t="n">
        <v>0.9</v>
      </c>
      <c r="H1501" t="n">
        <v>0</v>
      </c>
      <c r="I1501" t="n">
        <v>0</v>
      </c>
      <c r="J1501" t="n">
        <v>0</v>
      </c>
      <c r="K1501" t="n">
        <v>0</v>
      </c>
      <c r="L1501" t="n">
        <v>0</v>
      </c>
      <c r="M1501" t="n">
        <v>0</v>
      </c>
      <c r="N1501" t="n">
        <v>0</v>
      </c>
      <c r="O1501" t="n">
        <v>0</v>
      </c>
      <c r="P1501" t="n">
        <v>0</v>
      </c>
      <c r="Q1501" t="n">
        <v>0</v>
      </c>
      <c r="R1501" s="2" t="inlineStr"/>
    </row>
    <row r="1502" ht="15" customHeight="1">
      <c r="A1502" t="inlineStr">
        <is>
          <t>A 1285-2019</t>
        </is>
      </c>
      <c r="B1502" s="1" t="n">
        <v>43473</v>
      </c>
      <c r="C1502" s="1" t="n">
        <v>45212</v>
      </c>
      <c r="D1502" t="inlineStr">
        <is>
          <t>VÄSTRA GÖTALANDS LÄN</t>
        </is>
      </c>
      <c r="E1502" t="inlineStr">
        <is>
          <t>FALKÖPING</t>
        </is>
      </c>
      <c r="G1502" t="n">
        <v>1.2</v>
      </c>
      <c r="H1502" t="n">
        <v>0</v>
      </c>
      <c r="I1502" t="n">
        <v>0</v>
      </c>
      <c r="J1502" t="n">
        <v>0</v>
      </c>
      <c r="K1502" t="n">
        <v>0</v>
      </c>
      <c r="L1502" t="n">
        <v>0</v>
      </c>
      <c r="M1502" t="n">
        <v>0</v>
      </c>
      <c r="N1502" t="n">
        <v>0</v>
      </c>
      <c r="O1502" t="n">
        <v>0</v>
      </c>
      <c r="P1502" t="n">
        <v>0</v>
      </c>
      <c r="Q1502" t="n">
        <v>0</v>
      </c>
      <c r="R1502" s="2" t="inlineStr"/>
    </row>
    <row r="1503" ht="15" customHeight="1">
      <c r="A1503" t="inlineStr">
        <is>
          <t>A 1360-2019</t>
        </is>
      </c>
      <c r="B1503" s="1" t="n">
        <v>43473</v>
      </c>
      <c r="C1503" s="1" t="n">
        <v>45212</v>
      </c>
      <c r="D1503" t="inlineStr">
        <is>
          <t>VÄSTRA GÖTALANDS LÄN</t>
        </is>
      </c>
      <c r="E1503" t="inlineStr">
        <is>
          <t>SKARA</t>
        </is>
      </c>
      <c r="G1503" t="n">
        <v>6</v>
      </c>
      <c r="H1503" t="n">
        <v>0</v>
      </c>
      <c r="I1503" t="n">
        <v>0</v>
      </c>
      <c r="J1503" t="n">
        <v>0</v>
      </c>
      <c r="K1503" t="n">
        <v>0</v>
      </c>
      <c r="L1503" t="n">
        <v>0</v>
      </c>
      <c r="M1503" t="n">
        <v>0</v>
      </c>
      <c r="N1503" t="n">
        <v>0</v>
      </c>
      <c r="O1503" t="n">
        <v>0</v>
      </c>
      <c r="P1503" t="n">
        <v>0</v>
      </c>
      <c r="Q1503" t="n">
        <v>0</v>
      </c>
      <c r="R1503" s="2" t="inlineStr"/>
    </row>
    <row r="1504" ht="15" customHeight="1">
      <c r="A1504" t="inlineStr">
        <is>
          <t>A 1459-2019</t>
        </is>
      </c>
      <c r="B1504" s="1" t="n">
        <v>43473</v>
      </c>
      <c r="C1504" s="1" t="n">
        <v>45212</v>
      </c>
      <c r="D1504" t="inlineStr">
        <is>
          <t>VÄSTRA GÖTALANDS LÄN</t>
        </is>
      </c>
      <c r="E1504" t="inlineStr">
        <is>
          <t>SKARA</t>
        </is>
      </c>
      <c r="G1504" t="n">
        <v>3.2</v>
      </c>
      <c r="H1504" t="n">
        <v>0</v>
      </c>
      <c r="I1504" t="n">
        <v>0</v>
      </c>
      <c r="J1504" t="n">
        <v>0</v>
      </c>
      <c r="K1504" t="n">
        <v>0</v>
      </c>
      <c r="L1504" t="n">
        <v>0</v>
      </c>
      <c r="M1504" t="n">
        <v>0</v>
      </c>
      <c r="N1504" t="n">
        <v>0</v>
      </c>
      <c r="O1504" t="n">
        <v>0</v>
      </c>
      <c r="P1504" t="n">
        <v>0</v>
      </c>
      <c r="Q1504" t="n">
        <v>0</v>
      </c>
      <c r="R1504" s="2" t="inlineStr"/>
    </row>
    <row r="1505" ht="15" customHeight="1">
      <c r="A1505" t="inlineStr">
        <is>
          <t>A 1480-2019</t>
        </is>
      </c>
      <c r="B1505" s="1" t="n">
        <v>43473</v>
      </c>
      <c r="C1505" s="1" t="n">
        <v>45212</v>
      </c>
      <c r="D1505" t="inlineStr">
        <is>
          <t>VÄSTRA GÖTALANDS LÄN</t>
        </is>
      </c>
      <c r="E1505" t="inlineStr">
        <is>
          <t>GRÄSTORP</t>
        </is>
      </c>
      <c r="G1505" t="n">
        <v>1.4</v>
      </c>
      <c r="H1505" t="n">
        <v>0</v>
      </c>
      <c r="I1505" t="n">
        <v>0</v>
      </c>
      <c r="J1505" t="n">
        <v>0</v>
      </c>
      <c r="K1505" t="n">
        <v>0</v>
      </c>
      <c r="L1505" t="n">
        <v>0</v>
      </c>
      <c r="M1505" t="n">
        <v>0</v>
      </c>
      <c r="N1505" t="n">
        <v>0</v>
      </c>
      <c r="O1505" t="n">
        <v>0</v>
      </c>
      <c r="P1505" t="n">
        <v>0</v>
      </c>
      <c r="Q1505" t="n">
        <v>0</v>
      </c>
      <c r="R1505" s="2" t="inlineStr"/>
    </row>
    <row r="1506" ht="15" customHeight="1">
      <c r="A1506" t="inlineStr">
        <is>
          <t>A 1170-2019</t>
        </is>
      </c>
      <c r="B1506" s="1" t="n">
        <v>43473</v>
      </c>
      <c r="C1506" s="1" t="n">
        <v>45212</v>
      </c>
      <c r="D1506" t="inlineStr">
        <is>
          <t>VÄSTRA GÖTALANDS LÄN</t>
        </is>
      </c>
      <c r="E1506" t="inlineStr">
        <is>
          <t>TIBRO</t>
        </is>
      </c>
      <c r="G1506" t="n">
        <v>4.9</v>
      </c>
      <c r="H1506" t="n">
        <v>0</v>
      </c>
      <c r="I1506" t="n">
        <v>0</v>
      </c>
      <c r="J1506" t="n">
        <v>0</v>
      </c>
      <c r="K1506" t="n">
        <v>0</v>
      </c>
      <c r="L1506" t="n">
        <v>0</v>
      </c>
      <c r="M1506" t="n">
        <v>0</v>
      </c>
      <c r="N1506" t="n">
        <v>0</v>
      </c>
      <c r="O1506" t="n">
        <v>0</v>
      </c>
      <c r="P1506" t="n">
        <v>0</v>
      </c>
      <c r="Q1506" t="n">
        <v>0</v>
      </c>
      <c r="R1506" s="2" t="inlineStr"/>
    </row>
    <row r="1507" ht="15" customHeight="1">
      <c r="A1507" t="inlineStr">
        <is>
          <t>A 1369-2019</t>
        </is>
      </c>
      <c r="B1507" s="1" t="n">
        <v>43473</v>
      </c>
      <c r="C1507" s="1" t="n">
        <v>45212</v>
      </c>
      <c r="D1507" t="inlineStr">
        <is>
          <t>VÄSTRA GÖTALANDS LÄN</t>
        </is>
      </c>
      <c r="E1507" t="inlineStr">
        <is>
          <t>SKARA</t>
        </is>
      </c>
      <c r="G1507" t="n">
        <v>0.7</v>
      </c>
      <c r="H1507" t="n">
        <v>0</v>
      </c>
      <c r="I1507" t="n">
        <v>0</v>
      </c>
      <c r="J1507" t="n">
        <v>0</v>
      </c>
      <c r="K1507" t="n">
        <v>0</v>
      </c>
      <c r="L1507" t="n">
        <v>0</v>
      </c>
      <c r="M1507" t="n">
        <v>0</v>
      </c>
      <c r="N1507" t="n">
        <v>0</v>
      </c>
      <c r="O1507" t="n">
        <v>0</v>
      </c>
      <c r="P1507" t="n">
        <v>0</v>
      </c>
      <c r="Q1507" t="n">
        <v>0</v>
      </c>
      <c r="R1507" s="2" t="inlineStr"/>
    </row>
    <row r="1508" ht="15" customHeight="1">
      <c r="A1508" t="inlineStr">
        <is>
          <t>A 1432-2019</t>
        </is>
      </c>
      <c r="B1508" s="1" t="n">
        <v>43473</v>
      </c>
      <c r="C1508" s="1" t="n">
        <v>45212</v>
      </c>
      <c r="D1508" t="inlineStr">
        <is>
          <t>VÄSTRA GÖTALANDS LÄN</t>
        </is>
      </c>
      <c r="E1508" t="inlineStr">
        <is>
          <t>GÖTENE</t>
        </is>
      </c>
      <c r="G1508" t="n">
        <v>3.4</v>
      </c>
      <c r="H1508" t="n">
        <v>0</v>
      </c>
      <c r="I1508" t="n">
        <v>0</v>
      </c>
      <c r="J1508" t="n">
        <v>0</v>
      </c>
      <c r="K1508" t="n">
        <v>0</v>
      </c>
      <c r="L1508" t="n">
        <v>0</v>
      </c>
      <c r="M1508" t="n">
        <v>0</v>
      </c>
      <c r="N1508" t="n">
        <v>0</v>
      </c>
      <c r="O1508" t="n">
        <v>0</v>
      </c>
      <c r="P1508" t="n">
        <v>0</v>
      </c>
      <c r="Q1508" t="n">
        <v>0</v>
      </c>
      <c r="R1508" s="2" t="inlineStr"/>
    </row>
    <row r="1509" ht="15" customHeight="1">
      <c r="A1509" t="inlineStr">
        <is>
          <t>A 3237-2019</t>
        </is>
      </c>
      <c r="B1509" s="1" t="n">
        <v>43473</v>
      </c>
      <c r="C1509" s="1" t="n">
        <v>45212</v>
      </c>
      <c r="D1509" t="inlineStr">
        <is>
          <t>VÄSTRA GÖTALANDS LÄN</t>
        </is>
      </c>
      <c r="E1509" t="inlineStr">
        <is>
          <t>ULRICEHAMN</t>
        </is>
      </c>
      <c r="G1509" t="n">
        <v>2.4</v>
      </c>
      <c r="H1509" t="n">
        <v>0</v>
      </c>
      <c r="I1509" t="n">
        <v>0</v>
      </c>
      <c r="J1509" t="n">
        <v>0</v>
      </c>
      <c r="K1509" t="n">
        <v>0</v>
      </c>
      <c r="L1509" t="n">
        <v>0</v>
      </c>
      <c r="M1509" t="n">
        <v>0</v>
      </c>
      <c r="N1509" t="n">
        <v>0</v>
      </c>
      <c r="O1509" t="n">
        <v>0</v>
      </c>
      <c r="P1509" t="n">
        <v>0</v>
      </c>
      <c r="Q1509" t="n">
        <v>0</v>
      </c>
      <c r="R1509" s="2" t="inlineStr"/>
    </row>
    <row r="1510" ht="15" customHeight="1">
      <c r="A1510" t="inlineStr">
        <is>
          <t>A 2434-2019</t>
        </is>
      </c>
      <c r="B1510" s="1" t="n">
        <v>43474</v>
      </c>
      <c r="C1510" s="1" t="n">
        <v>45212</v>
      </c>
      <c r="D1510" t="inlineStr">
        <is>
          <t>VÄSTRA GÖTALANDS LÄN</t>
        </is>
      </c>
      <c r="E1510" t="inlineStr">
        <is>
          <t>TANUM</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1766-2019</t>
        </is>
      </c>
      <c r="B1511" s="1" t="n">
        <v>43474</v>
      </c>
      <c r="C1511" s="1" t="n">
        <v>45212</v>
      </c>
      <c r="D1511" t="inlineStr">
        <is>
          <t>VÄSTRA GÖTALANDS LÄN</t>
        </is>
      </c>
      <c r="E1511" t="inlineStr">
        <is>
          <t>MARIESTAD</t>
        </is>
      </c>
      <c r="G1511" t="n">
        <v>2.7</v>
      </c>
      <c r="H1511" t="n">
        <v>0</v>
      </c>
      <c r="I1511" t="n">
        <v>0</v>
      </c>
      <c r="J1511" t="n">
        <v>0</v>
      </c>
      <c r="K1511" t="n">
        <v>0</v>
      </c>
      <c r="L1511" t="n">
        <v>0</v>
      </c>
      <c r="M1511" t="n">
        <v>0</v>
      </c>
      <c r="N1511" t="n">
        <v>0</v>
      </c>
      <c r="O1511" t="n">
        <v>0</v>
      </c>
      <c r="P1511" t="n">
        <v>0</v>
      </c>
      <c r="Q1511" t="n">
        <v>0</v>
      </c>
      <c r="R1511" s="2" t="inlineStr"/>
    </row>
    <row r="1512" ht="15" customHeight="1">
      <c r="A1512" t="inlineStr">
        <is>
          <t>A 1852-2019</t>
        </is>
      </c>
      <c r="B1512" s="1" t="n">
        <v>43474</v>
      </c>
      <c r="C1512" s="1" t="n">
        <v>45212</v>
      </c>
      <c r="D1512" t="inlineStr">
        <is>
          <t>VÄSTRA GÖTALANDS LÄN</t>
        </is>
      </c>
      <c r="E1512" t="inlineStr">
        <is>
          <t>UDDEVALLA</t>
        </is>
      </c>
      <c r="G1512" t="n">
        <v>3.5</v>
      </c>
      <c r="H1512" t="n">
        <v>0</v>
      </c>
      <c r="I1512" t="n">
        <v>0</v>
      </c>
      <c r="J1512" t="n">
        <v>0</v>
      </c>
      <c r="K1512" t="n">
        <v>0</v>
      </c>
      <c r="L1512" t="n">
        <v>0</v>
      </c>
      <c r="M1512" t="n">
        <v>0</v>
      </c>
      <c r="N1512" t="n">
        <v>0</v>
      </c>
      <c r="O1512" t="n">
        <v>0</v>
      </c>
      <c r="P1512" t="n">
        <v>0</v>
      </c>
      <c r="Q1512" t="n">
        <v>0</v>
      </c>
      <c r="R1512" s="2" t="inlineStr"/>
    </row>
    <row r="1513" ht="15" customHeight="1">
      <c r="A1513" t="inlineStr">
        <is>
          <t>A 1884-2019</t>
        </is>
      </c>
      <c r="B1513" s="1" t="n">
        <v>43474</v>
      </c>
      <c r="C1513" s="1" t="n">
        <v>45212</v>
      </c>
      <c r="D1513" t="inlineStr">
        <is>
          <t>VÄSTRA GÖTALANDS LÄN</t>
        </is>
      </c>
      <c r="E1513" t="inlineStr">
        <is>
          <t>ÅMÅL</t>
        </is>
      </c>
      <c r="G1513" t="n">
        <v>2</v>
      </c>
      <c r="H1513" t="n">
        <v>0</v>
      </c>
      <c r="I1513" t="n">
        <v>0</v>
      </c>
      <c r="J1513" t="n">
        <v>0</v>
      </c>
      <c r="K1513" t="n">
        <v>0</v>
      </c>
      <c r="L1513" t="n">
        <v>0</v>
      </c>
      <c r="M1513" t="n">
        <v>0</v>
      </c>
      <c r="N1513" t="n">
        <v>0</v>
      </c>
      <c r="O1513" t="n">
        <v>0</v>
      </c>
      <c r="P1513" t="n">
        <v>0</v>
      </c>
      <c r="Q1513" t="n">
        <v>0</v>
      </c>
      <c r="R1513" s="2" t="inlineStr"/>
    </row>
    <row r="1514" ht="15" customHeight="1">
      <c r="A1514" t="inlineStr">
        <is>
          <t>A 3487-2019</t>
        </is>
      </c>
      <c r="B1514" s="1" t="n">
        <v>43474</v>
      </c>
      <c r="C1514" s="1" t="n">
        <v>45212</v>
      </c>
      <c r="D1514" t="inlineStr">
        <is>
          <t>VÄSTRA GÖTALANDS LÄN</t>
        </is>
      </c>
      <c r="E1514" t="inlineStr">
        <is>
          <t>STRÖMSTAD</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1551-2019</t>
        </is>
      </c>
      <c r="B1515" s="1" t="n">
        <v>43474</v>
      </c>
      <c r="C1515" s="1" t="n">
        <v>45212</v>
      </c>
      <c r="D1515" t="inlineStr">
        <is>
          <t>VÄSTRA GÖTALANDS LÄN</t>
        </is>
      </c>
      <c r="E1515" t="inlineStr">
        <is>
          <t>MARK</t>
        </is>
      </c>
      <c r="G1515" t="n">
        <v>8</v>
      </c>
      <c r="H1515" t="n">
        <v>0</v>
      </c>
      <c r="I1515" t="n">
        <v>0</v>
      </c>
      <c r="J1515" t="n">
        <v>0</v>
      </c>
      <c r="K1515" t="n">
        <v>0</v>
      </c>
      <c r="L1515" t="n">
        <v>0</v>
      </c>
      <c r="M1515" t="n">
        <v>0</v>
      </c>
      <c r="N1515" t="n">
        <v>0</v>
      </c>
      <c r="O1515" t="n">
        <v>0</v>
      </c>
      <c r="P1515" t="n">
        <v>0</v>
      </c>
      <c r="Q1515" t="n">
        <v>0</v>
      </c>
      <c r="R1515" s="2" t="inlineStr"/>
    </row>
    <row r="1516" ht="15" customHeight="1">
      <c r="A1516" t="inlineStr">
        <is>
          <t>A 1640-2019</t>
        </is>
      </c>
      <c r="B1516" s="1" t="n">
        <v>43474</v>
      </c>
      <c r="C1516" s="1" t="n">
        <v>45212</v>
      </c>
      <c r="D1516" t="inlineStr">
        <is>
          <t>VÄSTRA GÖTALANDS LÄN</t>
        </is>
      </c>
      <c r="E1516" t="inlineStr">
        <is>
          <t>LERUM</t>
        </is>
      </c>
      <c r="G1516" t="n">
        <v>2</v>
      </c>
      <c r="H1516" t="n">
        <v>0</v>
      </c>
      <c r="I1516" t="n">
        <v>0</v>
      </c>
      <c r="J1516" t="n">
        <v>0</v>
      </c>
      <c r="K1516" t="n">
        <v>0</v>
      </c>
      <c r="L1516" t="n">
        <v>0</v>
      </c>
      <c r="M1516" t="n">
        <v>0</v>
      </c>
      <c r="N1516" t="n">
        <v>0</v>
      </c>
      <c r="O1516" t="n">
        <v>0</v>
      </c>
      <c r="P1516" t="n">
        <v>0</v>
      </c>
      <c r="Q1516" t="n">
        <v>0</v>
      </c>
      <c r="R1516" s="2" t="inlineStr"/>
    </row>
    <row r="1517" ht="15" customHeight="1">
      <c r="A1517" t="inlineStr">
        <is>
          <t>A 1677-2019</t>
        </is>
      </c>
      <c r="B1517" s="1" t="n">
        <v>43474</v>
      </c>
      <c r="C1517" s="1" t="n">
        <v>45212</v>
      </c>
      <c r="D1517" t="inlineStr">
        <is>
          <t>VÄSTRA GÖTALANDS LÄN</t>
        </is>
      </c>
      <c r="E1517" t="inlineStr">
        <is>
          <t>TÖREBODA</t>
        </is>
      </c>
      <c r="G1517" t="n">
        <v>8.6</v>
      </c>
      <c r="H1517" t="n">
        <v>0</v>
      </c>
      <c r="I1517" t="n">
        <v>0</v>
      </c>
      <c r="J1517" t="n">
        <v>0</v>
      </c>
      <c r="K1517" t="n">
        <v>0</v>
      </c>
      <c r="L1517" t="n">
        <v>0</v>
      </c>
      <c r="M1517" t="n">
        <v>0</v>
      </c>
      <c r="N1517" t="n">
        <v>0</v>
      </c>
      <c r="O1517" t="n">
        <v>0</v>
      </c>
      <c r="P1517" t="n">
        <v>0</v>
      </c>
      <c r="Q1517" t="n">
        <v>0</v>
      </c>
      <c r="R1517" s="2" t="inlineStr"/>
    </row>
    <row r="1518" ht="15" customHeight="1">
      <c r="A1518" t="inlineStr">
        <is>
          <t>A 1698-2019</t>
        </is>
      </c>
      <c r="B1518" s="1" t="n">
        <v>43474</v>
      </c>
      <c r="C1518" s="1" t="n">
        <v>45212</v>
      </c>
      <c r="D1518" t="inlineStr">
        <is>
          <t>VÄSTRA GÖTALANDS LÄN</t>
        </is>
      </c>
      <c r="E1518" t="inlineStr">
        <is>
          <t>TÖREBODA</t>
        </is>
      </c>
      <c r="G1518" t="n">
        <v>1.8</v>
      </c>
      <c r="H1518" t="n">
        <v>0</v>
      </c>
      <c r="I1518" t="n">
        <v>0</v>
      </c>
      <c r="J1518" t="n">
        <v>0</v>
      </c>
      <c r="K1518" t="n">
        <v>0</v>
      </c>
      <c r="L1518" t="n">
        <v>0</v>
      </c>
      <c r="M1518" t="n">
        <v>0</v>
      </c>
      <c r="N1518" t="n">
        <v>0</v>
      </c>
      <c r="O1518" t="n">
        <v>0</v>
      </c>
      <c r="P1518" t="n">
        <v>0</v>
      </c>
      <c r="Q1518" t="n">
        <v>0</v>
      </c>
      <c r="R1518" s="2" t="inlineStr"/>
    </row>
    <row r="1519" ht="15" customHeight="1">
      <c r="A1519" t="inlineStr">
        <is>
          <t>A 1733-2019</t>
        </is>
      </c>
      <c r="B1519" s="1" t="n">
        <v>43474</v>
      </c>
      <c r="C1519" s="1" t="n">
        <v>45212</v>
      </c>
      <c r="D1519" t="inlineStr">
        <is>
          <t>VÄSTRA GÖTALANDS LÄN</t>
        </is>
      </c>
      <c r="E1519" t="inlineStr">
        <is>
          <t>STRÖMSTAD</t>
        </is>
      </c>
      <c r="G1519" t="n">
        <v>1.6</v>
      </c>
      <c r="H1519" t="n">
        <v>0</v>
      </c>
      <c r="I1519" t="n">
        <v>0</v>
      </c>
      <c r="J1519" t="n">
        <v>0</v>
      </c>
      <c r="K1519" t="n">
        <v>0</v>
      </c>
      <c r="L1519" t="n">
        <v>0</v>
      </c>
      <c r="M1519" t="n">
        <v>0</v>
      </c>
      <c r="N1519" t="n">
        <v>0</v>
      </c>
      <c r="O1519" t="n">
        <v>0</v>
      </c>
      <c r="P1519" t="n">
        <v>0</v>
      </c>
      <c r="Q1519" t="n">
        <v>0</v>
      </c>
      <c r="R1519" s="2" t="inlineStr"/>
    </row>
    <row r="1520" ht="15" customHeight="1">
      <c r="A1520" t="inlineStr">
        <is>
          <t>A 1760-2019</t>
        </is>
      </c>
      <c r="B1520" s="1" t="n">
        <v>43474</v>
      </c>
      <c r="C1520" s="1" t="n">
        <v>45212</v>
      </c>
      <c r="D1520" t="inlineStr">
        <is>
          <t>VÄSTRA GÖTALANDS LÄN</t>
        </is>
      </c>
      <c r="E1520" t="inlineStr">
        <is>
          <t>MARIESTAD</t>
        </is>
      </c>
      <c r="G1520" t="n">
        <v>3.5</v>
      </c>
      <c r="H1520" t="n">
        <v>0</v>
      </c>
      <c r="I1520" t="n">
        <v>0</v>
      </c>
      <c r="J1520" t="n">
        <v>0</v>
      </c>
      <c r="K1520" t="n">
        <v>0</v>
      </c>
      <c r="L1520" t="n">
        <v>0</v>
      </c>
      <c r="M1520" t="n">
        <v>0</v>
      </c>
      <c r="N1520" t="n">
        <v>0</v>
      </c>
      <c r="O1520" t="n">
        <v>0</v>
      </c>
      <c r="P1520" t="n">
        <v>0</v>
      </c>
      <c r="Q1520" t="n">
        <v>0</v>
      </c>
      <c r="R1520" s="2" t="inlineStr"/>
    </row>
    <row r="1521" ht="15" customHeight="1">
      <c r="A1521" t="inlineStr">
        <is>
          <t>A 1774-2019</t>
        </is>
      </c>
      <c r="B1521" s="1" t="n">
        <v>43474</v>
      </c>
      <c r="C1521" s="1" t="n">
        <v>45212</v>
      </c>
      <c r="D1521" t="inlineStr">
        <is>
          <t>VÄSTRA GÖTALANDS LÄN</t>
        </is>
      </c>
      <c r="E1521" t="inlineStr">
        <is>
          <t>TANUM</t>
        </is>
      </c>
      <c r="G1521" t="n">
        <v>0.7</v>
      </c>
      <c r="H1521" t="n">
        <v>0</v>
      </c>
      <c r="I1521" t="n">
        <v>0</v>
      </c>
      <c r="J1521" t="n">
        <v>0</v>
      </c>
      <c r="K1521" t="n">
        <v>0</v>
      </c>
      <c r="L1521" t="n">
        <v>0</v>
      </c>
      <c r="M1521" t="n">
        <v>0</v>
      </c>
      <c r="N1521" t="n">
        <v>0</v>
      </c>
      <c r="O1521" t="n">
        <v>0</v>
      </c>
      <c r="P1521" t="n">
        <v>0</v>
      </c>
      <c r="Q1521" t="n">
        <v>0</v>
      </c>
      <c r="R1521" s="2" t="inlineStr"/>
    </row>
    <row r="1522" ht="15" customHeight="1">
      <c r="A1522" t="inlineStr">
        <is>
          <t>A 1787-2019</t>
        </is>
      </c>
      <c r="B1522" s="1" t="n">
        <v>43474</v>
      </c>
      <c r="C1522" s="1" t="n">
        <v>45212</v>
      </c>
      <c r="D1522" t="inlineStr">
        <is>
          <t>VÄSTRA GÖTALANDS LÄN</t>
        </is>
      </c>
      <c r="E1522" t="inlineStr">
        <is>
          <t>TRANEMO</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1795-2019</t>
        </is>
      </c>
      <c r="B1523" s="1" t="n">
        <v>43474</v>
      </c>
      <c r="C1523" s="1" t="n">
        <v>45212</v>
      </c>
      <c r="D1523" t="inlineStr">
        <is>
          <t>VÄSTRA GÖTALANDS LÄN</t>
        </is>
      </c>
      <c r="E1523" t="inlineStr">
        <is>
          <t>BENGTSFORS</t>
        </is>
      </c>
      <c r="G1523" t="n">
        <v>1.9</v>
      </c>
      <c r="H1523" t="n">
        <v>0</v>
      </c>
      <c r="I1523" t="n">
        <v>0</v>
      </c>
      <c r="J1523" t="n">
        <v>0</v>
      </c>
      <c r="K1523" t="n">
        <v>0</v>
      </c>
      <c r="L1523" t="n">
        <v>0</v>
      </c>
      <c r="M1523" t="n">
        <v>0</v>
      </c>
      <c r="N1523" t="n">
        <v>0</v>
      </c>
      <c r="O1523" t="n">
        <v>0</v>
      </c>
      <c r="P1523" t="n">
        <v>0</v>
      </c>
      <c r="Q1523" t="n">
        <v>0</v>
      </c>
      <c r="R1523" s="2" t="inlineStr"/>
    </row>
    <row r="1524" ht="15" customHeight="1">
      <c r="A1524" t="inlineStr">
        <is>
          <t>A 1850-2019</t>
        </is>
      </c>
      <c r="B1524" s="1" t="n">
        <v>43474</v>
      </c>
      <c r="C1524" s="1" t="n">
        <v>45212</v>
      </c>
      <c r="D1524" t="inlineStr">
        <is>
          <t>VÄSTRA GÖTALANDS LÄN</t>
        </is>
      </c>
      <c r="E1524" t="inlineStr">
        <is>
          <t>TROLLHÄTTAN</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3476-2019</t>
        </is>
      </c>
      <c r="B1525" s="1" t="n">
        <v>43474</v>
      </c>
      <c r="C1525" s="1" t="n">
        <v>45212</v>
      </c>
      <c r="D1525" t="inlineStr">
        <is>
          <t>VÄSTRA GÖTALANDS LÄN</t>
        </is>
      </c>
      <c r="E1525" t="inlineStr">
        <is>
          <t>FÄRGELANDA</t>
        </is>
      </c>
      <c r="G1525" t="n">
        <v>2.9</v>
      </c>
      <c r="H1525" t="n">
        <v>0</v>
      </c>
      <c r="I1525" t="n">
        <v>0</v>
      </c>
      <c r="J1525" t="n">
        <v>0</v>
      </c>
      <c r="K1525" t="n">
        <v>0</v>
      </c>
      <c r="L1525" t="n">
        <v>0</v>
      </c>
      <c r="M1525" t="n">
        <v>0</v>
      </c>
      <c r="N1525" t="n">
        <v>0</v>
      </c>
      <c r="O1525" t="n">
        <v>0</v>
      </c>
      <c r="P1525" t="n">
        <v>0</v>
      </c>
      <c r="Q1525" t="n">
        <v>0</v>
      </c>
      <c r="R1525" s="2" t="inlineStr"/>
    </row>
    <row r="1526" ht="15" customHeight="1">
      <c r="A1526" t="inlineStr">
        <is>
          <t>A 3525-2019</t>
        </is>
      </c>
      <c r="B1526" s="1" t="n">
        <v>43474</v>
      </c>
      <c r="C1526" s="1" t="n">
        <v>45212</v>
      </c>
      <c r="D1526" t="inlineStr">
        <is>
          <t>VÄSTRA GÖTALANDS LÄN</t>
        </is>
      </c>
      <c r="E1526" t="inlineStr">
        <is>
          <t>ALINGSÅS</t>
        </is>
      </c>
      <c r="G1526" t="n">
        <v>3.8</v>
      </c>
      <c r="H1526" t="n">
        <v>0</v>
      </c>
      <c r="I1526" t="n">
        <v>0</v>
      </c>
      <c r="J1526" t="n">
        <v>0</v>
      </c>
      <c r="K1526" t="n">
        <v>0</v>
      </c>
      <c r="L1526" t="n">
        <v>0</v>
      </c>
      <c r="M1526" t="n">
        <v>0</v>
      </c>
      <c r="N1526" t="n">
        <v>0</v>
      </c>
      <c r="O1526" t="n">
        <v>0</v>
      </c>
      <c r="P1526" t="n">
        <v>0</v>
      </c>
      <c r="Q1526" t="n">
        <v>0</v>
      </c>
      <c r="R1526" s="2" t="inlineStr"/>
    </row>
    <row r="1527" ht="15" customHeight="1">
      <c r="A1527" t="inlineStr">
        <is>
          <t>A 1566-2019</t>
        </is>
      </c>
      <c r="B1527" s="1" t="n">
        <v>43474</v>
      </c>
      <c r="C1527" s="1" t="n">
        <v>45212</v>
      </c>
      <c r="D1527" t="inlineStr">
        <is>
          <t>VÄSTRA GÖTALANDS LÄN</t>
        </is>
      </c>
      <c r="E1527" t="inlineStr">
        <is>
          <t>MARK</t>
        </is>
      </c>
      <c r="G1527" t="n">
        <v>2.2</v>
      </c>
      <c r="H1527" t="n">
        <v>0</v>
      </c>
      <c r="I1527" t="n">
        <v>0</v>
      </c>
      <c r="J1527" t="n">
        <v>0</v>
      </c>
      <c r="K1527" t="n">
        <v>0</v>
      </c>
      <c r="L1527" t="n">
        <v>0</v>
      </c>
      <c r="M1527" t="n">
        <v>0</v>
      </c>
      <c r="N1527" t="n">
        <v>0</v>
      </c>
      <c r="O1527" t="n">
        <v>0</v>
      </c>
      <c r="P1527" t="n">
        <v>0</v>
      </c>
      <c r="Q1527" t="n">
        <v>0</v>
      </c>
      <c r="R1527" s="2" t="inlineStr"/>
    </row>
    <row r="1528" ht="15" customHeight="1">
      <c r="A1528" t="inlineStr">
        <is>
          <t>A 1749-2019</t>
        </is>
      </c>
      <c r="B1528" s="1" t="n">
        <v>43474</v>
      </c>
      <c r="C1528" s="1" t="n">
        <v>45212</v>
      </c>
      <c r="D1528" t="inlineStr">
        <is>
          <t>VÄSTRA GÖTALANDS LÄN</t>
        </is>
      </c>
      <c r="E1528" t="inlineStr">
        <is>
          <t>BENGTSFORS</t>
        </is>
      </c>
      <c r="G1528" t="n">
        <v>0.7</v>
      </c>
      <c r="H1528" t="n">
        <v>0</v>
      </c>
      <c r="I1528" t="n">
        <v>0</v>
      </c>
      <c r="J1528" t="n">
        <v>0</v>
      </c>
      <c r="K1528" t="n">
        <v>0</v>
      </c>
      <c r="L1528" t="n">
        <v>0</v>
      </c>
      <c r="M1528" t="n">
        <v>0</v>
      </c>
      <c r="N1528" t="n">
        <v>0</v>
      </c>
      <c r="O1528" t="n">
        <v>0</v>
      </c>
      <c r="P1528" t="n">
        <v>0</v>
      </c>
      <c r="Q1528" t="n">
        <v>0</v>
      </c>
      <c r="R1528" s="2" t="inlineStr"/>
    </row>
    <row r="1529" ht="15" customHeight="1">
      <c r="A1529" t="inlineStr">
        <is>
          <t>A 1786-2019</t>
        </is>
      </c>
      <c r="B1529" s="1" t="n">
        <v>43474</v>
      </c>
      <c r="C1529" s="1" t="n">
        <v>45212</v>
      </c>
      <c r="D1529" t="inlineStr">
        <is>
          <t>VÄSTRA GÖTALANDS LÄN</t>
        </is>
      </c>
      <c r="E1529" t="inlineStr">
        <is>
          <t>MARK</t>
        </is>
      </c>
      <c r="G1529" t="n">
        <v>2.7</v>
      </c>
      <c r="H1529" t="n">
        <v>0</v>
      </c>
      <c r="I1529" t="n">
        <v>0</v>
      </c>
      <c r="J1529" t="n">
        <v>0</v>
      </c>
      <c r="K1529" t="n">
        <v>0</v>
      </c>
      <c r="L1529" t="n">
        <v>0</v>
      </c>
      <c r="M1529" t="n">
        <v>0</v>
      </c>
      <c r="N1529" t="n">
        <v>0</v>
      </c>
      <c r="O1529" t="n">
        <v>0</v>
      </c>
      <c r="P1529" t="n">
        <v>0</v>
      </c>
      <c r="Q1529" t="n">
        <v>0</v>
      </c>
      <c r="R1529" s="2" t="inlineStr"/>
    </row>
    <row r="1530" ht="15" customHeight="1">
      <c r="A1530" t="inlineStr">
        <is>
          <t>A 1824-2019</t>
        </is>
      </c>
      <c r="B1530" s="1" t="n">
        <v>43474</v>
      </c>
      <c r="C1530" s="1" t="n">
        <v>45212</v>
      </c>
      <c r="D1530" t="inlineStr">
        <is>
          <t>VÄSTRA GÖTALANDS LÄN</t>
        </is>
      </c>
      <c r="E1530" t="inlineStr">
        <is>
          <t>TRANEMO</t>
        </is>
      </c>
      <c r="G1530" t="n">
        <v>3.5</v>
      </c>
      <c r="H1530" t="n">
        <v>0</v>
      </c>
      <c r="I1530" t="n">
        <v>0</v>
      </c>
      <c r="J1530" t="n">
        <v>0</v>
      </c>
      <c r="K1530" t="n">
        <v>0</v>
      </c>
      <c r="L1530" t="n">
        <v>0</v>
      </c>
      <c r="M1530" t="n">
        <v>0</v>
      </c>
      <c r="N1530" t="n">
        <v>0</v>
      </c>
      <c r="O1530" t="n">
        <v>0</v>
      </c>
      <c r="P1530" t="n">
        <v>0</v>
      </c>
      <c r="Q1530" t="n">
        <v>0</v>
      </c>
      <c r="R1530" s="2" t="inlineStr"/>
    </row>
    <row r="1531" ht="15" customHeight="1">
      <c r="A1531" t="inlineStr">
        <is>
          <t>A 1857-2019</t>
        </is>
      </c>
      <c r="B1531" s="1" t="n">
        <v>43474</v>
      </c>
      <c r="C1531" s="1" t="n">
        <v>45212</v>
      </c>
      <c r="D1531" t="inlineStr">
        <is>
          <t>VÄSTRA GÖTALANDS LÄN</t>
        </is>
      </c>
      <c r="E1531" t="inlineStr">
        <is>
          <t>BORÅS</t>
        </is>
      </c>
      <c r="G1531" t="n">
        <v>2.2</v>
      </c>
      <c r="H1531" t="n">
        <v>0</v>
      </c>
      <c r="I1531" t="n">
        <v>0</v>
      </c>
      <c r="J1531" t="n">
        <v>0</v>
      </c>
      <c r="K1531" t="n">
        <v>0</v>
      </c>
      <c r="L1531" t="n">
        <v>0</v>
      </c>
      <c r="M1531" t="n">
        <v>0</v>
      </c>
      <c r="N1531" t="n">
        <v>0</v>
      </c>
      <c r="O1531" t="n">
        <v>0</v>
      </c>
      <c r="P1531" t="n">
        <v>0</v>
      </c>
      <c r="Q1531" t="n">
        <v>0</v>
      </c>
      <c r="R1531" s="2" t="inlineStr"/>
    </row>
    <row r="1532" ht="15" customHeight="1">
      <c r="A1532" t="inlineStr">
        <is>
          <t>A 3471-2019</t>
        </is>
      </c>
      <c r="B1532" s="1" t="n">
        <v>43474</v>
      </c>
      <c r="C1532" s="1" t="n">
        <v>45212</v>
      </c>
      <c r="D1532" t="inlineStr">
        <is>
          <t>VÄSTRA GÖTALANDS LÄN</t>
        </is>
      </c>
      <c r="E1532" t="inlineStr">
        <is>
          <t>STRÖMSTAD</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1720-2019</t>
        </is>
      </c>
      <c r="B1533" s="1" t="n">
        <v>43474</v>
      </c>
      <c r="C1533" s="1" t="n">
        <v>45212</v>
      </c>
      <c r="D1533" t="inlineStr">
        <is>
          <t>VÄSTRA GÖTALANDS LÄN</t>
        </is>
      </c>
      <c r="E1533" t="inlineStr">
        <is>
          <t>TRANEMO</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1735-2019</t>
        </is>
      </c>
      <c r="B1534" s="1" t="n">
        <v>43474</v>
      </c>
      <c r="C1534" s="1" t="n">
        <v>45212</v>
      </c>
      <c r="D1534" t="inlineStr">
        <is>
          <t>VÄSTRA GÖTALANDS LÄN</t>
        </is>
      </c>
      <c r="E1534" t="inlineStr">
        <is>
          <t>TIDAHOLM</t>
        </is>
      </c>
      <c r="G1534" t="n">
        <v>4.5</v>
      </c>
      <c r="H1534" t="n">
        <v>0</v>
      </c>
      <c r="I1534" t="n">
        <v>0</v>
      </c>
      <c r="J1534" t="n">
        <v>0</v>
      </c>
      <c r="K1534" t="n">
        <v>0</v>
      </c>
      <c r="L1534" t="n">
        <v>0</v>
      </c>
      <c r="M1534" t="n">
        <v>0</v>
      </c>
      <c r="N1534" t="n">
        <v>0</v>
      </c>
      <c r="O1534" t="n">
        <v>0</v>
      </c>
      <c r="P1534" t="n">
        <v>0</v>
      </c>
      <c r="Q1534" t="n">
        <v>0</v>
      </c>
      <c r="R1534" s="2" t="inlineStr"/>
    </row>
    <row r="1535" ht="15" customHeight="1">
      <c r="A1535" t="inlineStr">
        <is>
          <t>A 1753-2019</t>
        </is>
      </c>
      <c r="B1535" s="1" t="n">
        <v>43474</v>
      </c>
      <c r="C1535" s="1" t="n">
        <v>45212</v>
      </c>
      <c r="D1535" t="inlineStr">
        <is>
          <t>VÄSTRA GÖTALANDS LÄN</t>
        </is>
      </c>
      <c r="E1535" t="inlineStr">
        <is>
          <t>BENGTSFORS</t>
        </is>
      </c>
      <c r="G1535" t="n">
        <v>3.1</v>
      </c>
      <c r="H1535" t="n">
        <v>0</v>
      </c>
      <c r="I1535" t="n">
        <v>0</v>
      </c>
      <c r="J1535" t="n">
        <v>0</v>
      </c>
      <c r="K1535" t="n">
        <v>0</v>
      </c>
      <c r="L1535" t="n">
        <v>0</v>
      </c>
      <c r="M1535" t="n">
        <v>0</v>
      </c>
      <c r="N1535" t="n">
        <v>0</v>
      </c>
      <c r="O1535" t="n">
        <v>0</v>
      </c>
      <c r="P1535" t="n">
        <v>0</v>
      </c>
      <c r="Q1535" t="n">
        <v>0</v>
      </c>
      <c r="R1535" s="2" t="inlineStr"/>
    </row>
    <row r="1536" ht="15" customHeight="1">
      <c r="A1536" t="inlineStr">
        <is>
          <t>A 1791-2019</t>
        </is>
      </c>
      <c r="B1536" s="1" t="n">
        <v>43474</v>
      </c>
      <c r="C1536" s="1" t="n">
        <v>45212</v>
      </c>
      <c r="D1536" t="inlineStr">
        <is>
          <t>VÄSTRA GÖTALANDS LÄN</t>
        </is>
      </c>
      <c r="E1536" t="inlineStr">
        <is>
          <t>LIDKÖPING</t>
        </is>
      </c>
      <c r="G1536" t="n">
        <v>2.3</v>
      </c>
      <c r="H1536" t="n">
        <v>0</v>
      </c>
      <c r="I1536" t="n">
        <v>0</v>
      </c>
      <c r="J1536" t="n">
        <v>0</v>
      </c>
      <c r="K1536" t="n">
        <v>0</v>
      </c>
      <c r="L1536" t="n">
        <v>0</v>
      </c>
      <c r="M1536" t="n">
        <v>0</v>
      </c>
      <c r="N1536" t="n">
        <v>0</v>
      </c>
      <c r="O1536" t="n">
        <v>0</v>
      </c>
      <c r="P1536" t="n">
        <v>0</v>
      </c>
      <c r="Q1536" t="n">
        <v>0</v>
      </c>
      <c r="R1536" s="2" t="inlineStr"/>
    </row>
    <row r="1537" ht="15" customHeight="1">
      <c r="A1537" t="inlineStr">
        <is>
          <t>A 1832-2019</t>
        </is>
      </c>
      <c r="B1537" s="1" t="n">
        <v>43474</v>
      </c>
      <c r="C1537" s="1" t="n">
        <v>45212</v>
      </c>
      <c r="D1537" t="inlineStr">
        <is>
          <t>VÄSTRA GÖTALANDS LÄN</t>
        </is>
      </c>
      <c r="E1537" t="inlineStr">
        <is>
          <t>TROLLHÄTTAN</t>
        </is>
      </c>
      <c r="G1537" t="n">
        <v>5.4</v>
      </c>
      <c r="H1537" t="n">
        <v>0</v>
      </c>
      <c r="I1537" t="n">
        <v>0</v>
      </c>
      <c r="J1537" t="n">
        <v>0</v>
      </c>
      <c r="K1537" t="n">
        <v>0</v>
      </c>
      <c r="L1537" t="n">
        <v>0</v>
      </c>
      <c r="M1537" t="n">
        <v>0</v>
      </c>
      <c r="N1537" t="n">
        <v>0</v>
      </c>
      <c r="O1537" t="n">
        <v>0</v>
      </c>
      <c r="P1537" t="n">
        <v>0</v>
      </c>
      <c r="Q1537" t="n">
        <v>0</v>
      </c>
      <c r="R1537" s="2" t="inlineStr"/>
    </row>
    <row r="1538" ht="15" customHeight="1">
      <c r="A1538" t="inlineStr">
        <is>
          <t>A 1844-2019</t>
        </is>
      </c>
      <c r="B1538" s="1" t="n">
        <v>43474</v>
      </c>
      <c r="C1538" s="1" t="n">
        <v>45212</v>
      </c>
      <c r="D1538" t="inlineStr">
        <is>
          <t>VÄSTRA GÖTALANDS LÄN</t>
        </is>
      </c>
      <c r="E1538" t="inlineStr">
        <is>
          <t>TJÖRN</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1855-2019</t>
        </is>
      </c>
      <c r="B1539" s="1" t="n">
        <v>43474</v>
      </c>
      <c r="C1539" s="1" t="n">
        <v>45212</v>
      </c>
      <c r="D1539" t="inlineStr">
        <is>
          <t>VÄSTRA GÖTALANDS LÄN</t>
        </is>
      </c>
      <c r="E1539" t="inlineStr">
        <is>
          <t>LILLA EDET</t>
        </is>
      </c>
      <c r="G1539" t="n">
        <v>1.7</v>
      </c>
      <c r="H1539" t="n">
        <v>0</v>
      </c>
      <c r="I1539" t="n">
        <v>0</v>
      </c>
      <c r="J1539" t="n">
        <v>0</v>
      </c>
      <c r="K1539" t="n">
        <v>0</v>
      </c>
      <c r="L1539" t="n">
        <v>0</v>
      </c>
      <c r="M1539" t="n">
        <v>0</v>
      </c>
      <c r="N1539" t="n">
        <v>0</v>
      </c>
      <c r="O1539" t="n">
        <v>0</v>
      </c>
      <c r="P1539" t="n">
        <v>0</v>
      </c>
      <c r="Q1539" t="n">
        <v>0</v>
      </c>
      <c r="R1539" s="2" t="inlineStr"/>
    </row>
    <row r="1540" ht="15" customHeight="1">
      <c r="A1540" t="inlineStr">
        <is>
          <t>A 1962-2019</t>
        </is>
      </c>
      <c r="B1540" s="1" t="n">
        <v>43475</v>
      </c>
      <c r="C1540" s="1" t="n">
        <v>45212</v>
      </c>
      <c r="D1540" t="inlineStr">
        <is>
          <t>VÄSTRA GÖTALANDS LÄN</t>
        </is>
      </c>
      <c r="E1540" t="inlineStr">
        <is>
          <t>DALS-ED</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2013-2019</t>
        </is>
      </c>
      <c r="B1541" s="1" t="n">
        <v>43475</v>
      </c>
      <c r="C1541" s="1" t="n">
        <v>45212</v>
      </c>
      <c r="D1541" t="inlineStr">
        <is>
          <t>VÄSTRA GÖTALANDS LÄN</t>
        </is>
      </c>
      <c r="E1541" t="inlineStr">
        <is>
          <t>ESSUNGA</t>
        </is>
      </c>
      <c r="G1541" t="n">
        <v>8.9</v>
      </c>
      <c r="H1541" t="n">
        <v>0</v>
      </c>
      <c r="I1541" t="n">
        <v>0</v>
      </c>
      <c r="J1541" t="n">
        <v>0</v>
      </c>
      <c r="K1541" t="n">
        <v>0</v>
      </c>
      <c r="L1541" t="n">
        <v>0</v>
      </c>
      <c r="M1541" t="n">
        <v>0</v>
      </c>
      <c r="N1541" t="n">
        <v>0</v>
      </c>
      <c r="O1541" t="n">
        <v>0</v>
      </c>
      <c r="P1541" t="n">
        <v>0</v>
      </c>
      <c r="Q1541" t="n">
        <v>0</v>
      </c>
      <c r="R1541" s="2" t="inlineStr"/>
    </row>
    <row r="1542" ht="15" customHeight="1">
      <c r="A1542" t="inlineStr">
        <is>
          <t>A 2244-2019</t>
        </is>
      </c>
      <c r="B1542" s="1" t="n">
        <v>43475</v>
      </c>
      <c r="C1542" s="1" t="n">
        <v>45212</v>
      </c>
      <c r="D1542" t="inlineStr">
        <is>
          <t>VÄSTRA GÖTALANDS LÄN</t>
        </is>
      </c>
      <c r="E1542" t="inlineStr">
        <is>
          <t>VARA</t>
        </is>
      </c>
      <c r="G1542" t="n">
        <v>0.9</v>
      </c>
      <c r="H1542" t="n">
        <v>0</v>
      </c>
      <c r="I1542" t="n">
        <v>0</v>
      </c>
      <c r="J1542" t="n">
        <v>0</v>
      </c>
      <c r="K1542" t="n">
        <v>0</v>
      </c>
      <c r="L1542" t="n">
        <v>0</v>
      </c>
      <c r="M1542" t="n">
        <v>0</v>
      </c>
      <c r="N1542" t="n">
        <v>0</v>
      </c>
      <c r="O1542" t="n">
        <v>0</v>
      </c>
      <c r="P1542" t="n">
        <v>0</v>
      </c>
      <c r="Q1542" t="n">
        <v>0</v>
      </c>
      <c r="R1542" s="2" t="inlineStr"/>
    </row>
    <row r="1543" ht="15" customHeight="1">
      <c r="A1543" t="inlineStr">
        <is>
          <t>A 2267-2019</t>
        </is>
      </c>
      <c r="B1543" s="1" t="n">
        <v>43475</v>
      </c>
      <c r="C1543" s="1" t="n">
        <v>45212</v>
      </c>
      <c r="D1543" t="inlineStr">
        <is>
          <t>VÄSTRA GÖTALANDS LÄN</t>
        </is>
      </c>
      <c r="E1543" t="inlineStr">
        <is>
          <t>ULRICEHAMN</t>
        </is>
      </c>
      <c r="G1543" t="n">
        <v>1.1</v>
      </c>
      <c r="H1543" t="n">
        <v>0</v>
      </c>
      <c r="I1543" t="n">
        <v>0</v>
      </c>
      <c r="J1543" t="n">
        <v>0</v>
      </c>
      <c r="K1543" t="n">
        <v>0</v>
      </c>
      <c r="L1543" t="n">
        <v>0</v>
      </c>
      <c r="M1543" t="n">
        <v>0</v>
      </c>
      <c r="N1543" t="n">
        <v>0</v>
      </c>
      <c r="O1543" t="n">
        <v>0</v>
      </c>
      <c r="P1543" t="n">
        <v>0</v>
      </c>
      <c r="Q1543" t="n">
        <v>0</v>
      </c>
      <c r="R1543" s="2" t="inlineStr"/>
    </row>
    <row r="1544" ht="15" customHeight="1">
      <c r="A1544" t="inlineStr">
        <is>
          <t>A 3708-2019</t>
        </is>
      </c>
      <c r="B1544" s="1" t="n">
        <v>43475</v>
      </c>
      <c r="C1544" s="1" t="n">
        <v>45212</v>
      </c>
      <c r="D1544" t="inlineStr">
        <is>
          <t>VÄSTRA GÖTALANDS LÄN</t>
        </is>
      </c>
      <c r="E1544" t="inlineStr">
        <is>
          <t>STENUNGSUND</t>
        </is>
      </c>
      <c r="G1544" t="n">
        <v>9.4</v>
      </c>
      <c r="H1544" t="n">
        <v>0</v>
      </c>
      <c r="I1544" t="n">
        <v>0</v>
      </c>
      <c r="J1544" t="n">
        <v>0</v>
      </c>
      <c r="K1544" t="n">
        <v>0</v>
      </c>
      <c r="L1544" t="n">
        <v>0</v>
      </c>
      <c r="M1544" t="n">
        <v>0</v>
      </c>
      <c r="N1544" t="n">
        <v>0</v>
      </c>
      <c r="O1544" t="n">
        <v>0</v>
      </c>
      <c r="P1544" t="n">
        <v>0</v>
      </c>
      <c r="Q1544" t="n">
        <v>0</v>
      </c>
      <c r="R1544" s="2" t="inlineStr"/>
    </row>
    <row r="1545" ht="15" customHeight="1">
      <c r="A1545" t="inlineStr">
        <is>
          <t>A 3972-2019</t>
        </is>
      </c>
      <c r="B1545" s="1" t="n">
        <v>43475</v>
      </c>
      <c r="C1545" s="1" t="n">
        <v>45212</v>
      </c>
      <c r="D1545" t="inlineStr">
        <is>
          <t>VÄSTRA GÖTALANDS LÄN</t>
        </is>
      </c>
      <c r="E1545" t="inlineStr">
        <is>
          <t>TANUM</t>
        </is>
      </c>
      <c r="F1545" t="inlineStr">
        <is>
          <t>Kyrkan</t>
        </is>
      </c>
      <c r="G1545" t="n">
        <v>7.5</v>
      </c>
      <c r="H1545" t="n">
        <v>0</v>
      </c>
      <c r="I1545" t="n">
        <v>0</v>
      </c>
      <c r="J1545" t="n">
        <v>0</v>
      </c>
      <c r="K1545" t="n">
        <v>0</v>
      </c>
      <c r="L1545" t="n">
        <v>0</v>
      </c>
      <c r="M1545" t="n">
        <v>0</v>
      </c>
      <c r="N1545" t="n">
        <v>0</v>
      </c>
      <c r="O1545" t="n">
        <v>0</v>
      </c>
      <c r="P1545" t="n">
        <v>0</v>
      </c>
      <c r="Q1545" t="n">
        <v>0</v>
      </c>
      <c r="R1545" s="2" t="inlineStr"/>
    </row>
    <row r="1546" ht="15" customHeight="1">
      <c r="A1546" t="inlineStr">
        <is>
          <t>A 1961-2019</t>
        </is>
      </c>
      <c r="B1546" s="1" t="n">
        <v>43475</v>
      </c>
      <c r="C1546" s="1" t="n">
        <v>45212</v>
      </c>
      <c r="D1546" t="inlineStr">
        <is>
          <t>VÄSTRA GÖTALANDS LÄN</t>
        </is>
      </c>
      <c r="E1546" t="inlineStr">
        <is>
          <t>GRÄSTORP</t>
        </is>
      </c>
      <c r="F1546" t="inlineStr">
        <is>
          <t>Kyrkan</t>
        </is>
      </c>
      <c r="G1546" t="n">
        <v>2</v>
      </c>
      <c r="H1546" t="n">
        <v>0</v>
      </c>
      <c r="I1546" t="n">
        <v>0</v>
      </c>
      <c r="J1546" t="n">
        <v>0</v>
      </c>
      <c r="K1546" t="n">
        <v>0</v>
      </c>
      <c r="L1546" t="n">
        <v>0</v>
      </c>
      <c r="M1546" t="n">
        <v>0</v>
      </c>
      <c r="N1546" t="n">
        <v>0</v>
      </c>
      <c r="O1546" t="n">
        <v>0</v>
      </c>
      <c r="P1546" t="n">
        <v>0</v>
      </c>
      <c r="Q1546" t="n">
        <v>0</v>
      </c>
      <c r="R1546" s="2" t="inlineStr"/>
    </row>
    <row r="1547" ht="15" customHeight="1">
      <c r="A1547" t="inlineStr">
        <is>
          <t>A 1999-2019</t>
        </is>
      </c>
      <c r="B1547" s="1" t="n">
        <v>43475</v>
      </c>
      <c r="C1547" s="1" t="n">
        <v>45212</v>
      </c>
      <c r="D1547" t="inlineStr">
        <is>
          <t>VÄSTRA GÖTALANDS LÄN</t>
        </is>
      </c>
      <c r="E1547" t="inlineStr">
        <is>
          <t>SVENLJUNGA</t>
        </is>
      </c>
      <c r="G1547" t="n">
        <v>12.8</v>
      </c>
      <c r="H1547" t="n">
        <v>0</v>
      </c>
      <c r="I1547" t="n">
        <v>0</v>
      </c>
      <c r="J1547" t="n">
        <v>0</v>
      </c>
      <c r="K1547" t="n">
        <v>0</v>
      </c>
      <c r="L1547" t="n">
        <v>0</v>
      </c>
      <c r="M1547" t="n">
        <v>0</v>
      </c>
      <c r="N1547" t="n">
        <v>0</v>
      </c>
      <c r="O1547" t="n">
        <v>0</v>
      </c>
      <c r="P1547" t="n">
        <v>0</v>
      </c>
      <c r="Q1547" t="n">
        <v>0</v>
      </c>
      <c r="R1547" s="2" t="inlineStr"/>
    </row>
    <row r="1548" ht="15" customHeight="1">
      <c r="A1548" t="inlineStr">
        <is>
          <t>A 2030-2019</t>
        </is>
      </c>
      <c r="B1548" s="1" t="n">
        <v>43475</v>
      </c>
      <c r="C1548" s="1" t="n">
        <v>45212</v>
      </c>
      <c r="D1548" t="inlineStr">
        <is>
          <t>VÄSTRA GÖTALANDS LÄN</t>
        </is>
      </c>
      <c r="E1548" t="inlineStr">
        <is>
          <t>MUNKEDAL</t>
        </is>
      </c>
      <c r="G1548" t="n">
        <v>7.5</v>
      </c>
      <c r="H1548" t="n">
        <v>0</v>
      </c>
      <c r="I1548" t="n">
        <v>0</v>
      </c>
      <c r="J1548" t="n">
        <v>0</v>
      </c>
      <c r="K1548" t="n">
        <v>0</v>
      </c>
      <c r="L1548" t="n">
        <v>0</v>
      </c>
      <c r="M1548" t="n">
        <v>0</v>
      </c>
      <c r="N1548" t="n">
        <v>0</v>
      </c>
      <c r="O1548" t="n">
        <v>0</v>
      </c>
      <c r="P1548" t="n">
        <v>0</v>
      </c>
      <c r="Q1548" t="n">
        <v>0</v>
      </c>
      <c r="R1548" s="2" t="inlineStr"/>
    </row>
    <row r="1549" ht="15" customHeight="1">
      <c r="A1549" t="inlineStr">
        <is>
          <t>A 2116-2019</t>
        </is>
      </c>
      <c r="B1549" s="1" t="n">
        <v>43475</v>
      </c>
      <c r="C1549" s="1" t="n">
        <v>45212</v>
      </c>
      <c r="D1549" t="inlineStr">
        <is>
          <t>VÄSTRA GÖTALANDS LÄN</t>
        </is>
      </c>
      <c r="E1549" t="inlineStr">
        <is>
          <t>BENGTSFORS</t>
        </is>
      </c>
      <c r="G1549" t="n">
        <v>9</v>
      </c>
      <c r="H1549" t="n">
        <v>0</v>
      </c>
      <c r="I1549" t="n">
        <v>0</v>
      </c>
      <c r="J1549" t="n">
        <v>0</v>
      </c>
      <c r="K1549" t="n">
        <v>0</v>
      </c>
      <c r="L1549" t="n">
        <v>0</v>
      </c>
      <c r="M1549" t="n">
        <v>0</v>
      </c>
      <c r="N1549" t="n">
        <v>0</v>
      </c>
      <c r="O1549" t="n">
        <v>0</v>
      </c>
      <c r="P1549" t="n">
        <v>0</v>
      </c>
      <c r="Q1549" t="n">
        <v>0</v>
      </c>
      <c r="R1549" s="2" t="inlineStr"/>
    </row>
    <row r="1550" ht="15" customHeight="1">
      <c r="A1550" t="inlineStr">
        <is>
          <t>A 2149-2019</t>
        </is>
      </c>
      <c r="B1550" s="1" t="n">
        <v>43475</v>
      </c>
      <c r="C1550" s="1" t="n">
        <v>45212</v>
      </c>
      <c r="D1550" t="inlineStr">
        <is>
          <t>VÄSTRA GÖTALANDS LÄN</t>
        </is>
      </c>
      <c r="E1550" t="inlineStr">
        <is>
          <t>ALE</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2253-2019</t>
        </is>
      </c>
      <c r="B1551" s="1" t="n">
        <v>43475</v>
      </c>
      <c r="C1551" s="1" t="n">
        <v>45212</v>
      </c>
      <c r="D1551" t="inlineStr">
        <is>
          <t>VÄSTRA GÖTALANDS LÄN</t>
        </is>
      </c>
      <c r="E1551" t="inlineStr">
        <is>
          <t>VARA</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2272-2019</t>
        </is>
      </c>
      <c r="B1552" s="1" t="n">
        <v>43475</v>
      </c>
      <c r="C1552" s="1" t="n">
        <v>45212</v>
      </c>
      <c r="D1552" t="inlineStr">
        <is>
          <t>VÄSTRA GÖTALANDS LÄN</t>
        </is>
      </c>
      <c r="E1552" t="inlineStr">
        <is>
          <t>DALS-ED</t>
        </is>
      </c>
      <c r="G1552" t="n">
        <v>2.8</v>
      </c>
      <c r="H1552" t="n">
        <v>0</v>
      </c>
      <c r="I1552" t="n">
        <v>0</v>
      </c>
      <c r="J1552" t="n">
        <v>0</v>
      </c>
      <c r="K1552" t="n">
        <v>0</v>
      </c>
      <c r="L1552" t="n">
        <v>0</v>
      </c>
      <c r="M1552" t="n">
        <v>0</v>
      </c>
      <c r="N1552" t="n">
        <v>0</v>
      </c>
      <c r="O1552" t="n">
        <v>0</v>
      </c>
      <c r="P1552" t="n">
        <v>0</v>
      </c>
      <c r="Q1552" t="n">
        <v>0</v>
      </c>
      <c r="R1552" s="2" t="inlineStr"/>
    </row>
    <row r="1553" ht="15" customHeight="1">
      <c r="A1553" t="inlineStr">
        <is>
          <t>A 3597-2019</t>
        </is>
      </c>
      <c r="B1553" s="1" t="n">
        <v>43475</v>
      </c>
      <c r="C1553" s="1" t="n">
        <v>45212</v>
      </c>
      <c r="D1553" t="inlineStr">
        <is>
          <t>VÄSTRA GÖTALANDS LÄN</t>
        </is>
      </c>
      <c r="E1553" t="inlineStr">
        <is>
          <t>VÄNERSBORG</t>
        </is>
      </c>
      <c r="G1553" t="n">
        <v>2.3</v>
      </c>
      <c r="H1553" t="n">
        <v>0</v>
      </c>
      <c r="I1553" t="n">
        <v>0</v>
      </c>
      <c r="J1553" t="n">
        <v>0</v>
      </c>
      <c r="K1553" t="n">
        <v>0</v>
      </c>
      <c r="L1553" t="n">
        <v>0</v>
      </c>
      <c r="M1553" t="n">
        <v>0</v>
      </c>
      <c r="N1553" t="n">
        <v>0</v>
      </c>
      <c r="O1553" t="n">
        <v>0</v>
      </c>
      <c r="P1553" t="n">
        <v>0</v>
      </c>
      <c r="Q1553" t="n">
        <v>0</v>
      </c>
      <c r="R1553" s="2" t="inlineStr"/>
    </row>
    <row r="1554" ht="15" customHeight="1">
      <c r="A1554" t="inlineStr">
        <is>
          <t>A 3679-2019</t>
        </is>
      </c>
      <c r="B1554" s="1" t="n">
        <v>43475</v>
      </c>
      <c r="C1554" s="1" t="n">
        <v>45212</v>
      </c>
      <c r="D1554" t="inlineStr">
        <is>
          <t>VÄSTRA GÖTALANDS LÄN</t>
        </is>
      </c>
      <c r="E1554" t="inlineStr">
        <is>
          <t>FALKÖPING</t>
        </is>
      </c>
      <c r="G1554" t="n">
        <v>1.5</v>
      </c>
      <c r="H1554" t="n">
        <v>0</v>
      </c>
      <c r="I1554" t="n">
        <v>0</v>
      </c>
      <c r="J1554" t="n">
        <v>0</v>
      </c>
      <c r="K1554" t="n">
        <v>0</v>
      </c>
      <c r="L1554" t="n">
        <v>0</v>
      </c>
      <c r="M1554" t="n">
        <v>0</v>
      </c>
      <c r="N1554" t="n">
        <v>0</v>
      </c>
      <c r="O1554" t="n">
        <v>0</v>
      </c>
      <c r="P1554" t="n">
        <v>0</v>
      </c>
      <c r="Q1554" t="n">
        <v>0</v>
      </c>
      <c r="R1554" s="2" t="inlineStr"/>
    </row>
    <row r="1555" ht="15" customHeight="1">
      <c r="A1555" t="inlineStr">
        <is>
          <t>A 1940-2019</t>
        </is>
      </c>
      <c r="B1555" s="1" t="n">
        <v>43475</v>
      </c>
      <c r="C1555" s="1" t="n">
        <v>45212</v>
      </c>
      <c r="D1555" t="inlineStr">
        <is>
          <t>VÄSTRA GÖTALANDS LÄN</t>
        </is>
      </c>
      <c r="E1555" t="inlineStr">
        <is>
          <t>DALS-ED</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1953-2019</t>
        </is>
      </c>
      <c r="B1556" s="1" t="n">
        <v>43475</v>
      </c>
      <c r="C1556" s="1" t="n">
        <v>45212</v>
      </c>
      <c r="D1556" t="inlineStr">
        <is>
          <t>VÄSTRA GÖTALANDS LÄN</t>
        </is>
      </c>
      <c r="E1556" t="inlineStr">
        <is>
          <t>SKÖVDE</t>
        </is>
      </c>
      <c r="G1556" t="n">
        <v>0.2</v>
      </c>
      <c r="H1556" t="n">
        <v>0</v>
      </c>
      <c r="I1556" t="n">
        <v>0</v>
      </c>
      <c r="J1556" t="n">
        <v>0</v>
      </c>
      <c r="K1556" t="n">
        <v>0</v>
      </c>
      <c r="L1556" t="n">
        <v>0</v>
      </c>
      <c r="M1556" t="n">
        <v>0</v>
      </c>
      <c r="N1556" t="n">
        <v>0</v>
      </c>
      <c r="O1556" t="n">
        <v>0</v>
      </c>
      <c r="P1556" t="n">
        <v>0</v>
      </c>
      <c r="Q1556" t="n">
        <v>0</v>
      </c>
      <c r="R1556" s="2" t="inlineStr"/>
    </row>
    <row r="1557" ht="15" customHeight="1">
      <c r="A1557" t="inlineStr">
        <is>
          <t>A 1966-2019</t>
        </is>
      </c>
      <c r="B1557" s="1" t="n">
        <v>43475</v>
      </c>
      <c r="C1557" s="1" t="n">
        <v>45212</v>
      </c>
      <c r="D1557" t="inlineStr">
        <is>
          <t>VÄSTRA GÖTALANDS LÄN</t>
        </is>
      </c>
      <c r="E1557" t="inlineStr">
        <is>
          <t>ULRICEHAMN</t>
        </is>
      </c>
      <c r="G1557" t="n">
        <v>0.3</v>
      </c>
      <c r="H1557" t="n">
        <v>0</v>
      </c>
      <c r="I1557" t="n">
        <v>0</v>
      </c>
      <c r="J1557" t="n">
        <v>0</v>
      </c>
      <c r="K1557" t="n">
        <v>0</v>
      </c>
      <c r="L1557" t="n">
        <v>0</v>
      </c>
      <c r="M1557" t="n">
        <v>0</v>
      </c>
      <c r="N1557" t="n">
        <v>0</v>
      </c>
      <c r="O1557" t="n">
        <v>0</v>
      </c>
      <c r="P1557" t="n">
        <v>0</v>
      </c>
      <c r="Q1557" t="n">
        <v>0</v>
      </c>
      <c r="R1557" s="2" t="inlineStr"/>
    </row>
    <row r="1558" ht="15" customHeight="1">
      <c r="A1558" t="inlineStr">
        <is>
          <t>A 2091-2019</t>
        </is>
      </c>
      <c r="B1558" s="1" t="n">
        <v>43475</v>
      </c>
      <c r="C1558" s="1" t="n">
        <v>45212</v>
      </c>
      <c r="D1558" t="inlineStr">
        <is>
          <t>VÄSTRA GÖTALANDS LÄN</t>
        </is>
      </c>
      <c r="E1558" t="inlineStr">
        <is>
          <t>BENGTSFORS</t>
        </is>
      </c>
      <c r="G1558" t="n">
        <v>0.8</v>
      </c>
      <c r="H1558" t="n">
        <v>0</v>
      </c>
      <c r="I1558" t="n">
        <v>0</v>
      </c>
      <c r="J1558" t="n">
        <v>0</v>
      </c>
      <c r="K1558" t="n">
        <v>0</v>
      </c>
      <c r="L1558" t="n">
        <v>0</v>
      </c>
      <c r="M1558" t="n">
        <v>0</v>
      </c>
      <c r="N1558" t="n">
        <v>0</v>
      </c>
      <c r="O1558" t="n">
        <v>0</v>
      </c>
      <c r="P1558" t="n">
        <v>0</v>
      </c>
      <c r="Q1558" t="n">
        <v>0</v>
      </c>
      <c r="R1558" s="2" t="inlineStr"/>
    </row>
    <row r="1559" ht="15" customHeight="1">
      <c r="A1559" t="inlineStr">
        <is>
          <t>A 2245-2019</t>
        </is>
      </c>
      <c r="B1559" s="1" t="n">
        <v>43475</v>
      </c>
      <c r="C1559" s="1" t="n">
        <v>45212</v>
      </c>
      <c r="D1559" t="inlineStr">
        <is>
          <t>VÄSTRA GÖTALANDS LÄN</t>
        </is>
      </c>
      <c r="E1559" t="inlineStr">
        <is>
          <t>VARA</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2366-2019</t>
        </is>
      </c>
      <c r="B1560" s="1" t="n">
        <v>43476</v>
      </c>
      <c r="C1560" s="1" t="n">
        <v>45212</v>
      </c>
      <c r="D1560" t="inlineStr">
        <is>
          <t>VÄSTRA GÖTALANDS LÄN</t>
        </is>
      </c>
      <c r="E1560" t="inlineStr">
        <is>
          <t>TÖREBODA</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2376-2019</t>
        </is>
      </c>
      <c r="B1561" s="1" t="n">
        <v>43476</v>
      </c>
      <c r="C1561" s="1" t="n">
        <v>45212</v>
      </c>
      <c r="D1561" t="inlineStr">
        <is>
          <t>VÄSTRA GÖTALANDS LÄN</t>
        </is>
      </c>
      <c r="E1561" t="inlineStr">
        <is>
          <t>TÖREBODA</t>
        </is>
      </c>
      <c r="G1561" t="n">
        <v>3</v>
      </c>
      <c r="H1561" t="n">
        <v>0</v>
      </c>
      <c r="I1561" t="n">
        <v>0</v>
      </c>
      <c r="J1561" t="n">
        <v>0</v>
      </c>
      <c r="K1561" t="n">
        <v>0</v>
      </c>
      <c r="L1561" t="n">
        <v>0</v>
      </c>
      <c r="M1561" t="n">
        <v>0</v>
      </c>
      <c r="N1561" t="n">
        <v>0</v>
      </c>
      <c r="O1561" t="n">
        <v>0</v>
      </c>
      <c r="P1561" t="n">
        <v>0</v>
      </c>
      <c r="Q1561" t="n">
        <v>0</v>
      </c>
      <c r="R1561" s="2" t="inlineStr"/>
    </row>
    <row r="1562" ht="15" customHeight="1">
      <c r="A1562" t="inlineStr">
        <is>
          <t>A 4241-2019</t>
        </is>
      </c>
      <c r="B1562" s="1" t="n">
        <v>43476</v>
      </c>
      <c r="C1562" s="1" t="n">
        <v>45212</v>
      </c>
      <c r="D1562" t="inlineStr">
        <is>
          <t>VÄSTRA GÖTALANDS LÄN</t>
        </is>
      </c>
      <c r="E1562" t="inlineStr">
        <is>
          <t>TANUM</t>
        </is>
      </c>
      <c r="G1562" t="n">
        <v>1.2</v>
      </c>
      <c r="H1562" t="n">
        <v>0</v>
      </c>
      <c r="I1562" t="n">
        <v>0</v>
      </c>
      <c r="J1562" t="n">
        <v>0</v>
      </c>
      <c r="K1562" t="n">
        <v>0</v>
      </c>
      <c r="L1562" t="n">
        <v>0</v>
      </c>
      <c r="M1562" t="n">
        <v>0</v>
      </c>
      <c r="N1562" t="n">
        <v>0</v>
      </c>
      <c r="O1562" t="n">
        <v>0</v>
      </c>
      <c r="P1562" t="n">
        <v>0</v>
      </c>
      <c r="Q1562" t="n">
        <v>0</v>
      </c>
      <c r="R1562" s="2" t="inlineStr"/>
    </row>
    <row r="1563" ht="15" customHeight="1">
      <c r="A1563" t="inlineStr">
        <is>
          <t>A 4321-2019</t>
        </is>
      </c>
      <c r="B1563" s="1" t="n">
        <v>43476</v>
      </c>
      <c r="C1563" s="1" t="n">
        <v>45212</v>
      </c>
      <c r="D1563" t="inlineStr">
        <is>
          <t>VÄSTRA GÖTALANDS LÄN</t>
        </is>
      </c>
      <c r="E1563" t="inlineStr">
        <is>
          <t>DALS-ED</t>
        </is>
      </c>
      <c r="F1563" t="inlineStr">
        <is>
          <t>Bergvik skog väst AB</t>
        </is>
      </c>
      <c r="G1563" t="n">
        <v>3.7</v>
      </c>
      <c r="H1563" t="n">
        <v>0</v>
      </c>
      <c r="I1563" t="n">
        <v>0</v>
      </c>
      <c r="J1563" t="n">
        <v>0</v>
      </c>
      <c r="K1563" t="n">
        <v>0</v>
      </c>
      <c r="L1563" t="n">
        <v>0</v>
      </c>
      <c r="M1563" t="n">
        <v>0</v>
      </c>
      <c r="N1563" t="n">
        <v>0</v>
      </c>
      <c r="O1563" t="n">
        <v>0</v>
      </c>
      <c r="P1563" t="n">
        <v>0</v>
      </c>
      <c r="Q1563" t="n">
        <v>0</v>
      </c>
      <c r="R1563" s="2" t="inlineStr"/>
    </row>
    <row r="1564" ht="15" customHeight="1">
      <c r="A1564" t="inlineStr">
        <is>
          <t>A 2490-2019</t>
        </is>
      </c>
      <c r="B1564" s="1" t="n">
        <v>43476</v>
      </c>
      <c r="C1564" s="1" t="n">
        <v>45212</v>
      </c>
      <c r="D1564" t="inlineStr">
        <is>
          <t>VÄSTRA GÖTALANDS LÄN</t>
        </is>
      </c>
      <c r="E1564" t="inlineStr">
        <is>
          <t>STENUNGSUND</t>
        </is>
      </c>
      <c r="G1564" t="n">
        <v>5</v>
      </c>
      <c r="H1564" t="n">
        <v>0</v>
      </c>
      <c r="I1564" t="n">
        <v>0</v>
      </c>
      <c r="J1564" t="n">
        <v>0</v>
      </c>
      <c r="K1564" t="n">
        <v>0</v>
      </c>
      <c r="L1564" t="n">
        <v>0</v>
      </c>
      <c r="M1564" t="n">
        <v>0</v>
      </c>
      <c r="N1564" t="n">
        <v>0</v>
      </c>
      <c r="O1564" t="n">
        <v>0</v>
      </c>
      <c r="P1564" t="n">
        <v>0</v>
      </c>
      <c r="Q1564" t="n">
        <v>0</v>
      </c>
      <c r="R1564" s="2" t="inlineStr"/>
    </row>
    <row r="1565" ht="15" customHeight="1">
      <c r="A1565" t="inlineStr">
        <is>
          <t>A 2564-2019</t>
        </is>
      </c>
      <c r="B1565" s="1" t="n">
        <v>43476</v>
      </c>
      <c r="C1565" s="1" t="n">
        <v>45212</v>
      </c>
      <c r="D1565" t="inlineStr">
        <is>
          <t>VÄSTRA GÖTALANDS LÄN</t>
        </is>
      </c>
      <c r="E1565" t="inlineStr">
        <is>
          <t>TÖREBODA</t>
        </is>
      </c>
      <c r="G1565" t="n">
        <v>2.5</v>
      </c>
      <c r="H1565" t="n">
        <v>0</v>
      </c>
      <c r="I1565" t="n">
        <v>0</v>
      </c>
      <c r="J1565" t="n">
        <v>0</v>
      </c>
      <c r="K1565" t="n">
        <v>0</v>
      </c>
      <c r="L1565" t="n">
        <v>0</v>
      </c>
      <c r="M1565" t="n">
        <v>0</v>
      </c>
      <c r="N1565" t="n">
        <v>0</v>
      </c>
      <c r="O1565" t="n">
        <v>0</v>
      </c>
      <c r="P1565" t="n">
        <v>0</v>
      </c>
      <c r="Q1565" t="n">
        <v>0</v>
      </c>
      <c r="R1565" s="2" t="inlineStr"/>
    </row>
    <row r="1566" ht="15" customHeight="1">
      <c r="A1566" t="inlineStr">
        <is>
          <t>A 2320-2019</t>
        </is>
      </c>
      <c r="B1566" s="1" t="n">
        <v>43476</v>
      </c>
      <c r="C1566" s="1" t="n">
        <v>45212</v>
      </c>
      <c r="D1566" t="inlineStr">
        <is>
          <t>VÄSTRA GÖTALANDS LÄN</t>
        </is>
      </c>
      <c r="E1566" t="inlineStr">
        <is>
          <t>SKÖVDE</t>
        </is>
      </c>
      <c r="G1566" t="n">
        <v>2.7</v>
      </c>
      <c r="H1566" t="n">
        <v>0</v>
      </c>
      <c r="I1566" t="n">
        <v>0</v>
      </c>
      <c r="J1566" t="n">
        <v>0</v>
      </c>
      <c r="K1566" t="n">
        <v>0</v>
      </c>
      <c r="L1566" t="n">
        <v>0</v>
      </c>
      <c r="M1566" t="n">
        <v>0</v>
      </c>
      <c r="N1566" t="n">
        <v>0</v>
      </c>
      <c r="O1566" t="n">
        <v>0</v>
      </c>
      <c r="P1566" t="n">
        <v>0</v>
      </c>
      <c r="Q1566" t="n">
        <v>0</v>
      </c>
      <c r="R1566" s="2" t="inlineStr"/>
    </row>
    <row r="1567" ht="15" customHeight="1">
      <c r="A1567" t="inlineStr">
        <is>
          <t>A 2565-2019</t>
        </is>
      </c>
      <c r="B1567" s="1" t="n">
        <v>43476</v>
      </c>
      <c r="C1567" s="1" t="n">
        <v>45212</v>
      </c>
      <c r="D1567" t="inlineStr">
        <is>
          <t>VÄSTRA GÖTALANDS LÄN</t>
        </is>
      </c>
      <c r="E1567" t="inlineStr">
        <is>
          <t>TÖREBODA</t>
        </is>
      </c>
      <c r="G1567" t="n">
        <v>3.5</v>
      </c>
      <c r="H1567" t="n">
        <v>0</v>
      </c>
      <c r="I1567" t="n">
        <v>0</v>
      </c>
      <c r="J1567" t="n">
        <v>0</v>
      </c>
      <c r="K1567" t="n">
        <v>0</v>
      </c>
      <c r="L1567" t="n">
        <v>0</v>
      </c>
      <c r="M1567" t="n">
        <v>0</v>
      </c>
      <c r="N1567" t="n">
        <v>0</v>
      </c>
      <c r="O1567" t="n">
        <v>0</v>
      </c>
      <c r="P1567" t="n">
        <v>0</v>
      </c>
      <c r="Q1567" t="n">
        <v>0</v>
      </c>
      <c r="R1567" s="2" t="inlineStr"/>
    </row>
    <row r="1568" ht="15" customHeight="1">
      <c r="A1568" t="inlineStr">
        <is>
          <t>A 2470-2019</t>
        </is>
      </c>
      <c r="B1568" s="1" t="n">
        <v>43476</v>
      </c>
      <c r="C1568" s="1" t="n">
        <v>45212</v>
      </c>
      <c r="D1568" t="inlineStr">
        <is>
          <t>VÄSTRA GÖTALANDS LÄN</t>
        </is>
      </c>
      <c r="E1568" t="inlineStr">
        <is>
          <t>ÅMÅL</t>
        </is>
      </c>
      <c r="G1568" t="n">
        <v>2.1</v>
      </c>
      <c r="H1568" t="n">
        <v>0</v>
      </c>
      <c r="I1568" t="n">
        <v>0</v>
      </c>
      <c r="J1568" t="n">
        <v>0</v>
      </c>
      <c r="K1568" t="n">
        <v>0</v>
      </c>
      <c r="L1568" t="n">
        <v>0</v>
      </c>
      <c r="M1568" t="n">
        <v>0</v>
      </c>
      <c r="N1568" t="n">
        <v>0</v>
      </c>
      <c r="O1568" t="n">
        <v>0</v>
      </c>
      <c r="P1568" t="n">
        <v>0</v>
      </c>
      <c r="Q1568" t="n">
        <v>0</v>
      </c>
      <c r="R1568" s="2" t="inlineStr"/>
    </row>
    <row r="1569" ht="15" customHeight="1">
      <c r="A1569" t="inlineStr">
        <is>
          <t>A 2485-2019</t>
        </is>
      </c>
      <c r="B1569" s="1" t="n">
        <v>43476</v>
      </c>
      <c r="C1569" s="1" t="n">
        <v>45212</v>
      </c>
      <c r="D1569" t="inlineStr">
        <is>
          <t>VÄSTRA GÖTALANDS LÄN</t>
        </is>
      </c>
      <c r="E1569" t="inlineStr">
        <is>
          <t>ALE</t>
        </is>
      </c>
      <c r="G1569" t="n">
        <v>0.5</v>
      </c>
      <c r="H1569" t="n">
        <v>0</v>
      </c>
      <c r="I1569" t="n">
        <v>0</v>
      </c>
      <c r="J1569" t="n">
        <v>0</v>
      </c>
      <c r="K1569" t="n">
        <v>0</v>
      </c>
      <c r="L1569" t="n">
        <v>0</v>
      </c>
      <c r="M1569" t="n">
        <v>0</v>
      </c>
      <c r="N1569" t="n">
        <v>0</v>
      </c>
      <c r="O1569" t="n">
        <v>0</v>
      </c>
      <c r="P1569" t="n">
        <v>0</v>
      </c>
      <c r="Q1569" t="n">
        <v>0</v>
      </c>
      <c r="R1569" s="2" t="inlineStr"/>
    </row>
    <row r="1570" ht="15" customHeight="1">
      <c r="A1570" t="inlineStr">
        <is>
          <t>A 3933-2019</t>
        </is>
      </c>
      <c r="B1570" s="1" t="n">
        <v>43476</v>
      </c>
      <c r="C1570" s="1" t="n">
        <v>45212</v>
      </c>
      <c r="D1570" t="inlineStr">
        <is>
          <t>VÄSTRA GÖTALANDS LÄN</t>
        </is>
      </c>
      <c r="E1570" t="inlineStr">
        <is>
          <t>FALKÖPING</t>
        </is>
      </c>
      <c r="G1570" t="n">
        <v>1.1</v>
      </c>
      <c r="H1570" t="n">
        <v>0</v>
      </c>
      <c r="I1570" t="n">
        <v>0</v>
      </c>
      <c r="J1570" t="n">
        <v>0</v>
      </c>
      <c r="K1570" t="n">
        <v>0</v>
      </c>
      <c r="L1570" t="n">
        <v>0</v>
      </c>
      <c r="M1570" t="n">
        <v>0</v>
      </c>
      <c r="N1570" t="n">
        <v>0</v>
      </c>
      <c r="O1570" t="n">
        <v>0</v>
      </c>
      <c r="P1570" t="n">
        <v>0</v>
      </c>
      <c r="Q1570" t="n">
        <v>0</v>
      </c>
      <c r="R1570" s="2" t="inlineStr"/>
    </row>
    <row r="1571" ht="15" customHeight="1">
      <c r="A1571" t="inlineStr">
        <is>
          <t>A 2609-2019</t>
        </is>
      </c>
      <c r="B1571" s="1" t="n">
        <v>43477</v>
      </c>
      <c r="C1571" s="1" t="n">
        <v>45212</v>
      </c>
      <c r="D1571" t="inlineStr">
        <is>
          <t>VÄSTRA GÖTALANDS LÄN</t>
        </is>
      </c>
      <c r="E1571" t="inlineStr">
        <is>
          <t>HERRLJUNGA</t>
        </is>
      </c>
      <c r="G1571" t="n">
        <v>1.7</v>
      </c>
      <c r="H1571" t="n">
        <v>0</v>
      </c>
      <c r="I1571" t="n">
        <v>0</v>
      </c>
      <c r="J1571" t="n">
        <v>0</v>
      </c>
      <c r="K1571" t="n">
        <v>0</v>
      </c>
      <c r="L1571" t="n">
        <v>0</v>
      </c>
      <c r="M1571" t="n">
        <v>0</v>
      </c>
      <c r="N1571" t="n">
        <v>0</v>
      </c>
      <c r="O1571" t="n">
        <v>0</v>
      </c>
      <c r="P1571" t="n">
        <v>0</v>
      </c>
      <c r="Q1571" t="n">
        <v>0</v>
      </c>
      <c r="R1571" s="2" t="inlineStr"/>
    </row>
    <row r="1572" ht="15" customHeight="1">
      <c r="A1572" t="inlineStr">
        <is>
          <t>A 2615-2019</t>
        </is>
      </c>
      <c r="B1572" s="1" t="n">
        <v>43477</v>
      </c>
      <c r="C1572" s="1" t="n">
        <v>45212</v>
      </c>
      <c r="D1572" t="inlineStr">
        <is>
          <t>VÄSTRA GÖTALANDS LÄN</t>
        </is>
      </c>
      <c r="E1572" t="inlineStr">
        <is>
          <t>HERRLJUNGA</t>
        </is>
      </c>
      <c r="G1572" t="n">
        <v>5</v>
      </c>
      <c r="H1572" t="n">
        <v>0</v>
      </c>
      <c r="I1572" t="n">
        <v>0</v>
      </c>
      <c r="J1572" t="n">
        <v>0</v>
      </c>
      <c r="K1572" t="n">
        <v>0</v>
      </c>
      <c r="L1572" t="n">
        <v>0</v>
      </c>
      <c r="M1572" t="n">
        <v>0</v>
      </c>
      <c r="N1572" t="n">
        <v>0</v>
      </c>
      <c r="O1572" t="n">
        <v>0</v>
      </c>
      <c r="P1572" t="n">
        <v>0</v>
      </c>
      <c r="Q1572" t="n">
        <v>0</v>
      </c>
      <c r="R1572" s="2" t="inlineStr"/>
    </row>
    <row r="1573" ht="15" customHeight="1">
      <c r="A1573" t="inlineStr">
        <is>
          <t>A 2611-2019</t>
        </is>
      </c>
      <c r="B1573" s="1" t="n">
        <v>43477</v>
      </c>
      <c r="C1573" s="1" t="n">
        <v>45212</v>
      </c>
      <c r="D1573" t="inlineStr">
        <is>
          <t>VÄSTRA GÖTALANDS LÄN</t>
        </is>
      </c>
      <c r="E1573" t="inlineStr">
        <is>
          <t>VÅRGÅRDA</t>
        </is>
      </c>
      <c r="G1573" t="n">
        <v>0.6</v>
      </c>
      <c r="H1573" t="n">
        <v>0</v>
      </c>
      <c r="I1573" t="n">
        <v>0</v>
      </c>
      <c r="J1573" t="n">
        <v>0</v>
      </c>
      <c r="K1573" t="n">
        <v>0</v>
      </c>
      <c r="L1573" t="n">
        <v>0</v>
      </c>
      <c r="M1573" t="n">
        <v>0</v>
      </c>
      <c r="N1573" t="n">
        <v>0</v>
      </c>
      <c r="O1573" t="n">
        <v>0</v>
      </c>
      <c r="P1573" t="n">
        <v>0</v>
      </c>
      <c r="Q1573" t="n">
        <v>0</v>
      </c>
      <c r="R1573" s="2" t="inlineStr"/>
    </row>
    <row r="1574" ht="15" customHeight="1">
      <c r="A1574" t="inlineStr">
        <is>
          <t>A 2622-2019</t>
        </is>
      </c>
      <c r="B1574" s="1" t="n">
        <v>43477</v>
      </c>
      <c r="C1574" s="1" t="n">
        <v>45212</v>
      </c>
      <c r="D1574" t="inlineStr">
        <is>
          <t>VÄSTRA GÖTALANDS LÄN</t>
        </is>
      </c>
      <c r="E1574" t="inlineStr">
        <is>
          <t>KARLSBORG</t>
        </is>
      </c>
      <c r="G1574" t="n">
        <v>2.2</v>
      </c>
      <c r="H1574" t="n">
        <v>0</v>
      </c>
      <c r="I1574" t="n">
        <v>0</v>
      </c>
      <c r="J1574" t="n">
        <v>0</v>
      </c>
      <c r="K1574" t="n">
        <v>0</v>
      </c>
      <c r="L1574" t="n">
        <v>0</v>
      </c>
      <c r="M1574" t="n">
        <v>0</v>
      </c>
      <c r="N1574" t="n">
        <v>0</v>
      </c>
      <c r="O1574" t="n">
        <v>0</v>
      </c>
      <c r="P1574" t="n">
        <v>0</v>
      </c>
      <c r="Q1574" t="n">
        <v>0</v>
      </c>
      <c r="R1574" s="2" t="inlineStr"/>
    </row>
    <row r="1575" ht="15" customHeight="1">
      <c r="A1575" t="inlineStr">
        <is>
          <t>A 4323-2019</t>
        </is>
      </c>
      <c r="B1575" s="1" t="n">
        <v>43478</v>
      </c>
      <c r="C1575" s="1" t="n">
        <v>45212</v>
      </c>
      <c r="D1575" t="inlineStr">
        <is>
          <t>VÄSTRA GÖTALANDS LÄN</t>
        </is>
      </c>
      <c r="E1575" t="inlineStr">
        <is>
          <t>TANUM</t>
        </is>
      </c>
      <c r="G1575" t="n">
        <v>7</v>
      </c>
      <c r="H1575" t="n">
        <v>0</v>
      </c>
      <c r="I1575" t="n">
        <v>0</v>
      </c>
      <c r="J1575" t="n">
        <v>0</v>
      </c>
      <c r="K1575" t="n">
        <v>0</v>
      </c>
      <c r="L1575" t="n">
        <v>0</v>
      </c>
      <c r="M1575" t="n">
        <v>0</v>
      </c>
      <c r="N1575" t="n">
        <v>0</v>
      </c>
      <c r="O1575" t="n">
        <v>0</v>
      </c>
      <c r="P1575" t="n">
        <v>0</v>
      </c>
      <c r="Q1575" t="n">
        <v>0</v>
      </c>
      <c r="R1575" s="2" t="inlineStr"/>
    </row>
    <row r="1576" ht="15" customHeight="1">
      <c r="A1576" t="inlineStr">
        <is>
          <t>A 2654-2019</t>
        </is>
      </c>
      <c r="B1576" s="1" t="n">
        <v>43478</v>
      </c>
      <c r="C1576" s="1" t="n">
        <v>45212</v>
      </c>
      <c r="D1576" t="inlineStr">
        <is>
          <t>VÄSTRA GÖTALANDS LÄN</t>
        </is>
      </c>
      <c r="E1576" t="inlineStr">
        <is>
          <t>TRANEMO</t>
        </is>
      </c>
      <c r="G1576" t="n">
        <v>5.1</v>
      </c>
      <c r="H1576" t="n">
        <v>0</v>
      </c>
      <c r="I1576" t="n">
        <v>0</v>
      </c>
      <c r="J1576" t="n">
        <v>0</v>
      </c>
      <c r="K1576" t="n">
        <v>0</v>
      </c>
      <c r="L1576" t="n">
        <v>0</v>
      </c>
      <c r="M1576" t="n">
        <v>0</v>
      </c>
      <c r="N1576" t="n">
        <v>0</v>
      </c>
      <c r="O1576" t="n">
        <v>0</v>
      </c>
      <c r="P1576" t="n">
        <v>0</v>
      </c>
      <c r="Q1576" t="n">
        <v>0</v>
      </c>
      <c r="R1576" s="2" t="inlineStr"/>
    </row>
    <row r="1577" ht="15" customHeight="1">
      <c r="A1577" t="inlineStr">
        <is>
          <t>A 2733-2019</t>
        </is>
      </c>
      <c r="B1577" s="1" t="n">
        <v>43479</v>
      </c>
      <c r="C1577" s="1" t="n">
        <v>45212</v>
      </c>
      <c r="D1577" t="inlineStr">
        <is>
          <t>VÄSTRA GÖTALANDS LÄN</t>
        </is>
      </c>
      <c r="E1577" t="inlineStr">
        <is>
          <t>SKÖVDE</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2820-2019</t>
        </is>
      </c>
      <c r="B1578" s="1" t="n">
        <v>43479</v>
      </c>
      <c r="C1578" s="1" t="n">
        <v>45212</v>
      </c>
      <c r="D1578" t="inlineStr">
        <is>
          <t>VÄSTRA GÖTALANDS LÄN</t>
        </is>
      </c>
      <c r="E1578" t="inlineStr">
        <is>
          <t>ÅMÅL</t>
        </is>
      </c>
      <c r="G1578" t="n">
        <v>2.4</v>
      </c>
      <c r="H1578" t="n">
        <v>0</v>
      </c>
      <c r="I1578" t="n">
        <v>0</v>
      </c>
      <c r="J1578" t="n">
        <v>0</v>
      </c>
      <c r="K1578" t="n">
        <v>0</v>
      </c>
      <c r="L1578" t="n">
        <v>0</v>
      </c>
      <c r="M1578" t="n">
        <v>0</v>
      </c>
      <c r="N1578" t="n">
        <v>0</v>
      </c>
      <c r="O1578" t="n">
        <v>0</v>
      </c>
      <c r="P1578" t="n">
        <v>0</v>
      </c>
      <c r="Q1578" t="n">
        <v>0</v>
      </c>
      <c r="R1578" s="2" t="inlineStr"/>
    </row>
    <row r="1579" ht="15" customHeight="1">
      <c r="A1579" t="inlineStr">
        <is>
          <t>A 2979-2019</t>
        </is>
      </c>
      <c r="B1579" s="1" t="n">
        <v>43479</v>
      </c>
      <c r="C1579" s="1" t="n">
        <v>45212</v>
      </c>
      <c r="D1579" t="inlineStr">
        <is>
          <t>VÄSTRA GÖTALANDS LÄN</t>
        </is>
      </c>
      <c r="E1579" t="inlineStr">
        <is>
          <t>FALKÖPING</t>
        </is>
      </c>
      <c r="G1579" t="n">
        <v>5</v>
      </c>
      <c r="H1579" t="n">
        <v>0</v>
      </c>
      <c r="I1579" t="n">
        <v>0</v>
      </c>
      <c r="J1579" t="n">
        <v>0</v>
      </c>
      <c r="K1579" t="n">
        <v>0</v>
      </c>
      <c r="L1579" t="n">
        <v>0</v>
      </c>
      <c r="M1579" t="n">
        <v>0</v>
      </c>
      <c r="N1579" t="n">
        <v>0</v>
      </c>
      <c r="O1579" t="n">
        <v>0</v>
      </c>
      <c r="P1579" t="n">
        <v>0</v>
      </c>
      <c r="Q1579" t="n">
        <v>0</v>
      </c>
      <c r="R1579" s="2" t="inlineStr"/>
    </row>
    <row r="1580" ht="15" customHeight="1">
      <c r="A1580" t="inlineStr">
        <is>
          <t>A 3058-2019</t>
        </is>
      </c>
      <c r="B1580" s="1" t="n">
        <v>43479</v>
      </c>
      <c r="C1580" s="1" t="n">
        <v>45212</v>
      </c>
      <c r="D1580" t="inlineStr">
        <is>
          <t>VÄSTRA GÖTALANDS LÄN</t>
        </is>
      </c>
      <c r="E1580" t="inlineStr">
        <is>
          <t>BORÅS</t>
        </is>
      </c>
      <c r="G1580" t="n">
        <v>2.9</v>
      </c>
      <c r="H1580" t="n">
        <v>0</v>
      </c>
      <c r="I1580" t="n">
        <v>0</v>
      </c>
      <c r="J1580" t="n">
        <v>0</v>
      </c>
      <c r="K1580" t="n">
        <v>0</v>
      </c>
      <c r="L1580" t="n">
        <v>0</v>
      </c>
      <c r="M1580" t="n">
        <v>0</v>
      </c>
      <c r="N1580" t="n">
        <v>0</v>
      </c>
      <c r="O1580" t="n">
        <v>0</v>
      </c>
      <c r="P1580" t="n">
        <v>0</v>
      </c>
      <c r="Q1580" t="n">
        <v>0</v>
      </c>
      <c r="R1580" s="2" t="inlineStr"/>
    </row>
    <row r="1581" ht="15" customHeight="1">
      <c r="A1581" t="inlineStr">
        <is>
          <t>A 3121-2019</t>
        </is>
      </c>
      <c r="B1581" s="1" t="n">
        <v>43479</v>
      </c>
      <c r="C1581" s="1" t="n">
        <v>45212</v>
      </c>
      <c r="D1581" t="inlineStr">
        <is>
          <t>VÄSTRA GÖTALANDS LÄN</t>
        </is>
      </c>
      <c r="E1581" t="inlineStr">
        <is>
          <t>HJO</t>
        </is>
      </c>
      <c r="F1581" t="inlineStr">
        <is>
          <t>Kommuner</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4686-2019</t>
        </is>
      </c>
      <c r="B1582" s="1" t="n">
        <v>43479</v>
      </c>
      <c r="C1582" s="1" t="n">
        <v>45212</v>
      </c>
      <c r="D1582" t="inlineStr">
        <is>
          <t>VÄSTRA GÖTALANDS LÄN</t>
        </is>
      </c>
      <c r="E1582" t="inlineStr">
        <is>
          <t>MUNKEDAL</t>
        </is>
      </c>
      <c r="G1582" t="n">
        <v>0.8</v>
      </c>
      <c r="H1582" t="n">
        <v>0</v>
      </c>
      <c r="I1582" t="n">
        <v>0</v>
      </c>
      <c r="J1582" t="n">
        <v>0</v>
      </c>
      <c r="K1582" t="n">
        <v>0</v>
      </c>
      <c r="L1582" t="n">
        <v>0</v>
      </c>
      <c r="M1582" t="n">
        <v>0</v>
      </c>
      <c r="N1582" t="n">
        <v>0</v>
      </c>
      <c r="O1582" t="n">
        <v>0</v>
      </c>
      <c r="P1582" t="n">
        <v>0</v>
      </c>
      <c r="Q1582" t="n">
        <v>0</v>
      </c>
      <c r="R1582" s="2" t="inlineStr"/>
    </row>
    <row r="1583" ht="15" customHeight="1">
      <c r="A1583" t="inlineStr">
        <is>
          <t>A 4739-2019</t>
        </is>
      </c>
      <c r="B1583" s="1" t="n">
        <v>43479</v>
      </c>
      <c r="C1583" s="1" t="n">
        <v>45212</v>
      </c>
      <c r="D1583" t="inlineStr">
        <is>
          <t>VÄSTRA GÖTALANDS LÄN</t>
        </is>
      </c>
      <c r="E1583" t="inlineStr">
        <is>
          <t>ULRICEHAMN</t>
        </is>
      </c>
      <c r="G1583" t="n">
        <v>1.5</v>
      </c>
      <c r="H1583" t="n">
        <v>0</v>
      </c>
      <c r="I1583" t="n">
        <v>0</v>
      </c>
      <c r="J1583" t="n">
        <v>0</v>
      </c>
      <c r="K1583" t="n">
        <v>0</v>
      </c>
      <c r="L1583" t="n">
        <v>0</v>
      </c>
      <c r="M1583" t="n">
        <v>0</v>
      </c>
      <c r="N1583" t="n">
        <v>0</v>
      </c>
      <c r="O1583" t="n">
        <v>0</v>
      </c>
      <c r="P1583" t="n">
        <v>0</v>
      </c>
      <c r="Q1583" t="n">
        <v>0</v>
      </c>
      <c r="R1583" s="2" t="inlineStr"/>
    </row>
    <row r="1584" ht="15" customHeight="1">
      <c r="A1584" t="inlineStr">
        <is>
          <t>A 4854-2019</t>
        </is>
      </c>
      <c r="B1584" s="1" t="n">
        <v>43479</v>
      </c>
      <c r="C1584" s="1" t="n">
        <v>45212</v>
      </c>
      <c r="D1584" t="inlineStr">
        <is>
          <t>VÄSTRA GÖTALANDS LÄN</t>
        </is>
      </c>
      <c r="E1584" t="inlineStr">
        <is>
          <t>ÅMÅL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2729-2019</t>
        </is>
      </c>
      <c r="B1585" s="1" t="n">
        <v>43479</v>
      </c>
      <c r="C1585" s="1" t="n">
        <v>45212</v>
      </c>
      <c r="D1585" t="inlineStr">
        <is>
          <t>VÄSTRA GÖTALANDS LÄN</t>
        </is>
      </c>
      <c r="E1585" t="inlineStr">
        <is>
          <t>MUNKEDAL</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2813-2019</t>
        </is>
      </c>
      <c r="B1586" s="1" t="n">
        <v>43479</v>
      </c>
      <c r="C1586" s="1" t="n">
        <v>45212</v>
      </c>
      <c r="D1586" t="inlineStr">
        <is>
          <t>VÄSTRA GÖTALANDS LÄN</t>
        </is>
      </c>
      <c r="E1586" t="inlineStr">
        <is>
          <t>TRANEMO</t>
        </is>
      </c>
      <c r="G1586" t="n">
        <v>1.3</v>
      </c>
      <c r="H1586" t="n">
        <v>0</v>
      </c>
      <c r="I1586" t="n">
        <v>0</v>
      </c>
      <c r="J1586" t="n">
        <v>0</v>
      </c>
      <c r="K1586" t="n">
        <v>0</v>
      </c>
      <c r="L1586" t="n">
        <v>0</v>
      </c>
      <c r="M1586" t="n">
        <v>0</v>
      </c>
      <c r="N1586" t="n">
        <v>0</v>
      </c>
      <c r="O1586" t="n">
        <v>0</v>
      </c>
      <c r="P1586" t="n">
        <v>0</v>
      </c>
      <c r="Q1586" t="n">
        <v>0</v>
      </c>
      <c r="R1586" s="2" t="inlineStr"/>
    </row>
    <row r="1587" ht="15" customHeight="1">
      <c r="A1587" t="inlineStr">
        <is>
          <t>A 3009-2019</t>
        </is>
      </c>
      <c r="B1587" s="1" t="n">
        <v>43479</v>
      </c>
      <c r="C1587" s="1" t="n">
        <v>45212</v>
      </c>
      <c r="D1587" t="inlineStr">
        <is>
          <t>VÄSTRA GÖTALANDS LÄN</t>
        </is>
      </c>
      <c r="E1587" t="inlineStr">
        <is>
          <t>FÄRGELANDA</t>
        </is>
      </c>
      <c r="G1587" t="n">
        <v>3.8</v>
      </c>
      <c r="H1587" t="n">
        <v>0</v>
      </c>
      <c r="I1587" t="n">
        <v>0</v>
      </c>
      <c r="J1587" t="n">
        <v>0</v>
      </c>
      <c r="K1587" t="n">
        <v>0</v>
      </c>
      <c r="L1587" t="n">
        <v>0</v>
      </c>
      <c r="M1587" t="n">
        <v>0</v>
      </c>
      <c r="N1587" t="n">
        <v>0</v>
      </c>
      <c r="O1587" t="n">
        <v>0</v>
      </c>
      <c r="P1587" t="n">
        <v>0</v>
      </c>
      <c r="Q1587" t="n">
        <v>0</v>
      </c>
      <c r="R1587" s="2" t="inlineStr"/>
    </row>
    <row r="1588" ht="15" customHeight="1">
      <c r="A1588" t="inlineStr">
        <is>
          <t>A 3026-2019</t>
        </is>
      </c>
      <c r="B1588" s="1" t="n">
        <v>43479</v>
      </c>
      <c r="C1588" s="1" t="n">
        <v>45212</v>
      </c>
      <c r="D1588" t="inlineStr">
        <is>
          <t>VÄSTRA GÖTALANDS LÄN</t>
        </is>
      </c>
      <c r="E1588" t="inlineStr">
        <is>
          <t>BENGTSFORS</t>
        </is>
      </c>
      <c r="G1588" t="n">
        <v>1.9</v>
      </c>
      <c r="H1588" t="n">
        <v>0</v>
      </c>
      <c r="I1588" t="n">
        <v>0</v>
      </c>
      <c r="J1588" t="n">
        <v>0</v>
      </c>
      <c r="K1588" t="n">
        <v>0</v>
      </c>
      <c r="L1588" t="n">
        <v>0</v>
      </c>
      <c r="M1588" t="n">
        <v>0</v>
      </c>
      <c r="N1588" t="n">
        <v>0</v>
      </c>
      <c r="O1588" t="n">
        <v>0</v>
      </c>
      <c r="P1588" t="n">
        <v>0</v>
      </c>
      <c r="Q1588" t="n">
        <v>0</v>
      </c>
      <c r="R1588" s="2" t="inlineStr"/>
    </row>
    <row r="1589" ht="15" customHeight="1">
      <c r="A1589" t="inlineStr">
        <is>
          <t>A 4711-2019</t>
        </is>
      </c>
      <c r="B1589" s="1" t="n">
        <v>43479</v>
      </c>
      <c r="C1589" s="1" t="n">
        <v>45212</v>
      </c>
      <c r="D1589" t="inlineStr">
        <is>
          <t>VÄSTRA GÖTALANDS LÄN</t>
        </is>
      </c>
      <c r="E1589" t="inlineStr">
        <is>
          <t>FÄRGELANDA</t>
        </is>
      </c>
      <c r="G1589" t="n">
        <v>5.7</v>
      </c>
      <c r="H1589" t="n">
        <v>0</v>
      </c>
      <c r="I1589" t="n">
        <v>0</v>
      </c>
      <c r="J1589" t="n">
        <v>0</v>
      </c>
      <c r="K1589" t="n">
        <v>0</v>
      </c>
      <c r="L1589" t="n">
        <v>0</v>
      </c>
      <c r="M1589" t="n">
        <v>0</v>
      </c>
      <c r="N1589" t="n">
        <v>0</v>
      </c>
      <c r="O1589" t="n">
        <v>0</v>
      </c>
      <c r="P1589" t="n">
        <v>0</v>
      </c>
      <c r="Q1589" t="n">
        <v>0</v>
      </c>
      <c r="R1589" s="2" t="inlineStr"/>
    </row>
    <row r="1590" ht="15" customHeight="1">
      <c r="A1590" t="inlineStr">
        <is>
          <t>A 2936-2019</t>
        </is>
      </c>
      <c r="B1590" s="1" t="n">
        <v>43479</v>
      </c>
      <c r="C1590" s="1" t="n">
        <v>45212</v>
      </c>
      <c r="D1590" t="inlineStr">
        <is>
          <t>VÄSTRA GÖTALANDS LÄN</t>
        </is>
      </c>
      <c r="E1590" t="inlineStr">
        <is>
          <t>BENGTSFORS</t>
        </is>
      </c>
      <c r="G1590" t="n">
        <v>1.2</v>
      </c>
      <c r="H1590" t="n">
        <v>0</v>
      </c>
      <c r="I1590" t="n">
        <v>0</v>
      </c>
      <c r="J1590" t="n">
        <v>0</v>
      </c>
      <c r="K1590" t="n">
        <v>0</v>
      </c>
      <c r="L1590" t="n">
        <v>0</v>
      </c>
      <c r="M1590" t="n">
        <v>0</v>
      </c>
      <c r="N1590" t="n">
        <v>0</v>
      </c>
      <c r="O1590" t="n">
        <v>0</v>
      </c>
      <c r="P1590" t="n">
        <v>0</v>
      </c>
      <c r="Q1590" t="n">
        <v>0</v>
      </c>
      <c r="R1590" s="2" t="inlineStr"/>
    </row>
    <row r="1591" ht="15" customHeight="1">
      <c r="A1591" t="inlineStr">
        <is>
          <t>A 2981-2019</t>
        </is>
      </c>
      <c r="B1591" s="1" t="n">
        <v>43479</v>
      </c>
      <c r="C1591" s="1" t="n">
        <v>45212</v>
      </c>
      <c r="D1591" t="inlineStr">
        <is>
          <t>VÄSTRA GÖTALANDS LÄN</t>
        </is>
      </c>
      <c r="E1591" t="inlineStr">
        <is>
          <t>FALKÖPING</t>
        </is>
      </c>
      <c r="G1591" t="n">
        <v>3.6</v>
      </c>
      <c r="H1591" t="n">
        <v>0</v>
      </c>
      <c r="I1591" t="n">
        <v>0</v>
      </c>
      <c r="J1591" t="n">
        <v>0</v>
      </c>
      <c r="K1591" t="n">
        <v>0</v>
      </c>
      <c r="L1591" t="n">
        <v>0</v>
      </c>
      <c r="M1591" t="n">
        <v>0</v>
      </c>
      <c r="N1591" t="n">
        <v>0</v>
      </c>
      <c r="O1591" t="n">
        <v>0</v>
      </c>
      <c r="P1591" t="n">
        <v>0</v>
      </c>
      <c r="Q1591" t="n">
        <v>0</v>
      </c>
      <c r="R1591" s="2" t="inlineStr"/>
    </row>
    <row r="1592" ht="15" customHeight="1">
      <c r="A1592" t="inlineStr">
        <is>
          <t>A 3020-2019</t>
        </is>
      </c>
      <c r="B1592" s="1" t="n">
        <v>43479</v>
      </c>
      <c r="C1592" s="1" t="n">
        <v>45212</v>
      </c>
      <c r="D1592" t="inlineStr">
        <is>
          <t>VÄSTRA GÖTALANDS LÄN</t>
        </is>
      </c>
      <c r="E1592" t="inlineStr">
        <is>
          <t>BENGTSFORS</t>
        </is>
      </c>
      <c r="G1592" t="n">
        <v>1.4</v>
      </c>
      <c r="H1592" t="n">
        <v>0</v>
      </c>
      <c r="I1592" t="n">
        <v>0</v>
      </c>
      <c r="J1592" t="n">
        <v>0</v>
      </c>
      <c r="K1592" t="n">
        <v>0</v>
      </c>
      <c r="L1592" t="n">
        <v>0</v>
      </c>
      <c r="M1592" t="n">
        <v>0</v>
      </c>
      <c r="N1592" t="n">
        <v>0</v>
      </c>
      <c r="O1592" t="n">
        <v>0</v>
      </c>
      <c r="P1592" t="n">
        <v>0</v>
      </c>
      <c r="Q1592" t="n">
        <v>0</v>
      </c>
      <c r="R1592" s="2" t="inlineStr"/>
    </row>
    <row r="1593" ht="15" customHeight="1">
      <c r="A1593" t="inlineStr">
        <is>
          <t>A 3044-2019</t>
        </is>
      </c>
      <c r="B1593" s="1" t="n">
        <v>43479</v>
      </c>
      <c r="C1593" s="1" t="n">
        <v>45212</v>
      </c>
      <c r="D1593" t="inlineStr">
        <is>
          <t>VÄSTRA GÖTALANDS LÄN</t>
        </is>
      </c>
      <c r="E1593" t="inlineStr">
        <is>
          <t>UDDEVALLA</t>
        </is>
      </c>
      <c r="G1593" t="n">
        <v>3.1</v>
      </c>
      <c r="H1593" t="n">
        <v>0</v>
      </c>
      <c r="I1593" t="n">
        <v>0</v>
      </c>
      <c r="J1593" t="n">
        <v>0</v>
      </c>
      <c r="K1593" t="n">
        <v>0</v>
      </c>
      <c r="L1593" t="n">
        <v>0</v>
      </c>
      <c r="M1593" t="n">
        <v>0</v>
      </c>
      <c r="N1593" t="n">
        <v>0</v>
      </c>
      <c r="O1593" t="n">
        <v>0</v>
      </c>
      <c r="P1593" t="n">
        <v>0</v>
      </c>
      <c r="Q1593" t="n">
        <v>0</v>
      </c>
      <c r="R1593" s="2" t="inlineStr"/>
    </row>
    <row r="1594" ht="15" customHeight="1">
      <c r="A1594" t="inlineStr">
        <is>
          <t>A 4698-2019</t>
        </is>
      </c>
      <c r="B1594" s="1" t="n">
        <v>43479</v>
      </c>
      <c r="C1594" s="1" t="n">
        <v>45212</v>
      </c>
      <c r="D1594" t="inlineStr">
        <is>
          <t>VÄSTRA GÖTALANDS LÄN</t>
        </is>
      </c>
      <c r="E1594" t="inlineStr">
        <is>
          <t>FÄRGELANDA</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4747-2019</t>
        </is>
      </c>
      <c r="B1595" s="1" t="n">
        <v>43479</v>
      </c>
      <c r="C1595" s="1" t="n">
        <v>45212</v>
      </c>
      <c r="D1595" t="inlineStr">
        <is>
          <t>VÄSTRA GÖTALANDS LÄN</t>
        </is>
      </c>
      <c r="E1595" t="inlineStr">
        <is>
          <t>ULRICEHAMN</t>
        </is>
      </c>
      <c r="G1595" t="n">
        <v>2.1</v>
      </c>
      <c r="H1595" t="n">
        <v>0</v>
      </c>
      <c r="I1595" t="n">
        <v>0</v>
      </c>
      <c r="J1595" t="n">
        <v>0</v>
      </c>
      <c r="K1595" t="n">
        <v>0</v>
      </c>
      <c r="L1595" t="n">
        <v>0</v>
      </c>
      <c r="M1595" t="n">
        <v>0</v>
      </c>
      <c r="N1595" t="n">
        <v>0</v>
      </c>
      <c r="O1595" t="n">
        <v>0</v>
      </c>
      <c r="P1595" t="n">
        <v>0</v>
      </c>
      <c r="Q1595" t="n">
        <v>0</v>
      </c>
      <c r="R1595" s="2" t="inlineStr"/>
    </row>
    <row r="1596" ht="15" customHeight="1">
      <c r="A1596" t="inlineStr">
        <is>
          <t>A 2748-2019</t>
        </is>
      </c>
      <c r="B1596" s="1" t="n">
        <v>43479</v>
      </c>
      <c r="C1596" s="1" t="n">
        <v>45212</v>
      </c>
      <c r="D1596" t="inlineStr">
        <is>
          <t>VÄSTRA GÖTALANDS LÄN</t>
        </is>
      </c>
      <c r="E1596" t="inlineStr">
        <is>
          <t>TRANEMO</t>
        </is>
      </c>
      <c r="G1596" t="n">
        <v>2.5</v>
      </c>
      <c r="H1596" t="n">
        <v>0</v>
      </c>
      <c r="I1596" t="n">
        <v>0</v>
      </c>
      <c r="J1596" t="n">
        <v>0</v>
      </c>
      <c r="K1596" t="n">
        <v>0</v>
      </c>
      <c r="L1596" t="n">
        <v>0</v>
      </c>
      <c r="M1596" t="n">
        <v>0</v>
      </c>
      <c r="N1596" t="n">
        <v>0</v>
      </c>
      <c r="O1596" t="n">
        <v>0</v>
      </c>
      <c r="P1596" t="n">
        <v>0</v>
      </c>
      <c r="Q1596" t="n">
        <v>0</v>
      </c>
      <c r="R1596" s="2" t="inlineStr"/>
    </row>
    <row r="1597" ht="15" customHeight="1">
      <c r="A1597" t="inlineStr">
        <is>
          <t>A 2780-2019</t>
        </is>
      </c>
      <c r="B1597" s="1" t="n">
        <v>43479</v>
      </c>
      <c r="C1597" s="1" t="n">
        <v>45212</v>
      </c>
      <c r="D1597" t="inlineStr">
        <is>
          <t>VÄSTRA GÖTALANDS LÄN</t>
        </is>
      </c>
      <c r="E1597" t="inlineStr">
        <is>
          <t>SKÖVDE</t>
        </is>
      </c>
      <c r="G1597" t="n">
        <v>0.6</v>
      </c>
      <c r="H1597" t="n">
        <v>0</v>
      </c>
      <c r="I1597" t="n">
        <v>0</v>
      </c>
      <c r="J1597" t="n">
        <v>0</v>
      </c>
      <c r="K1597" t="n">
        <v>0</v>
      </c>
      <c r="L1597" t="n">
        <v>0</v>
      </c>
      <c r="M1597" t="n">
        <v>0</v>
      </c>
      <c r="N1597" t="n">
        <v>0</v>
      </c>
      <c r="O1597" t="n">
        <v>0</v>
      </c>
      <c r="P1597" t="n">
        <v>0</v>
      </c>
      <c r="Q1597" t="n">
        <v>0</v>
      </c>
      <c r="R1597" s="2" t="inlineStr"/>
    </row>
    <row r="1598" ht="15" customHeight="1">
      <c r="A1598" t="inlineStr">
        <is>
          <t>A 4350-2019</t>
        </is>
      </c>
      <c r="B1598" s="1" t="n">
        <v>43479</v>
      </c>
      <c r="C1598" s="1" t="n">
        <v>45212</v>
      </c>
      <c r="D1598" t="inlineStr">
        <is>
          <t>VÄSTRA GÖTALANDS LÄN</t>
        </is>
      </c>
      <c r="E1598" t="inlineStr">
        <is>
          <t>ALE</t>
        </is>
      </c>
      <c r="G1598" t="n">
        <v>7</v>
      </c>
      <c r="H1598" t="n">
        <v>0</v>
      </c>
      <c r="I1598" t="n">
        <v>0</v>
      </c>
      <c r="J1598" t="n">
        <v>0</v>
      </c>
      <c r="K1598" t="n">
        <v>0</v>
      </c>
      <c r="L1598" t="n">
        <v>0</v>
      </c>
      <c r="M1598" t="n">
        <v>0</v>
      </c>
      <c r="N1598" t="n">
        <v>0</v>
      </c>
      <c r="O1598" t="n">
        <v>0</v>
      </c>
      <c r="P1598" t="n">
        <v>0</v>
      </c>
      <c r="Q1598" t="n">
        <v>0</v>
      </c>
      <c r="R1598" s="2" t="inlineStr"/>
    </row>
    <row r="1599" ht="15" customHeight="1">
      <c r="A1599" t="inlineStr">
        <is>
          <t>A 4685-2019</t>
        </is>
      </c>
      <c r="B1599" s="1" t="n">
        <v>43479</v>
      </c>
      <c r="C1599" s="1" t="n">
        <v>45212</v>
      </c>
      <c r="D1599" t="inlineStr">
        <is>
          <t>VÄSTRA GÖTALANDS LÄN</t>
        </is>
      </c>
      <c r="E1599" t="inlineStr">
        <is>
          <t>MUNKEDAL</t>
        </is>
      </c>
      <c r="G1599" t="n">
        <v>0.1</v>
      </c>
      <c r="H1599" t="n">
        <v>0</v>
      </c>
      <c r="I1599" t="n">
        <v>0</v>
      </c>
      <c r="J1599" t="n">
        <v>0</v>
      </c>
      <c r="K1599" t="n">
        <v>0</v>
      </c>
      <c r="L1599" t="n">
        <v>0</v>
      </c>
      <c r="M1599" t="n">
        <v>0</v>
      </c>
      <c r="N1599" t="n">
        <v>0</v>
      </c>
      <c r="O1599" t="n">
        <v>0</v>
      </c>
      <c r="P1599" t="n">
        <v>0</v>
      </c>
      <c r="Q1599" t="n">
        <v>0</v>
      </c>
      <c r="R1599" s="2" t="inlineStr"/>
    </row>
    <row r="1600" ht="15" customHeight="1">
      <c r="A1600" t="inlineStr">
        <is>
          <t>A 4713-2019</t>
        </is>
      </c>
      <c r="B1600" s="1" t="n">
        <v>43479</v>
      </c>
      <c r="C1600" s="1" t="n">
        <v>45212</v>
      </c>
      <c r="D1600" t="inlineStr">
        <is>
          <t>VÄSTRA GÖTALANDS LÄN</t>
        </is>
      </c>
      <c r="E1600" t="inlineStr">
        <is>
          <t>FÄRGELANDA</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3369-2019</t>
        </is>
      </c>
      <c r="B1601" s="1" t="n">
        <v>43480</v>
      </c>
      <c r="C1601" s="1" t="n">
        <v>45212</v>
      </c>
      <c r="D1601" t="inlineStr">
        <is>
          <t>VÄSTRA GÖTALANDS LÄN</t>
        </is>
      </c>
      <c r="E1601" t="inlineStr">
        <is>
          <t>LIDKÖPING</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5042-2019</t>
        </is>
      </c>
      <c r="B1602" s="1" t="n">
        <v>43480</v>
      </c>
      <c r="C1602" s="1" t="n">
        <v>45212</v>
      </c>
      <c r="D1602" t="inlineStr">
        <is>
          <t>VÄSTRA GÖTALANDS LÄN</t>
        </is>
      </c>
      <c r="E1602" t="inlineStr">
        <is>
          <t>TROLLHÄTTAN</t>
        </is>
      </c>
      <c r="G1602" t="n">
        <v>5.1</v>
      </c>
      <c r="H1602" t="n">
        <v>0</v>
      </c>
      <c r="I1602" t="n">
        <v>0</v>
      </c>
      <c r="J1602" t="n">
        <v>0</v>
      </c>
      <c r="K1602" t="n">
        <v>0</v>
      </c>
      <c r="L1602" t="n">
        <v>0</v>
      </c>
      <c r="M1602" t="n">
        <v>0</v>
      </c>
      <c r="N1602" t="n">
        <v>0</v>
      </c>
      <c r="O1602" t="n">
        <v>0</v>
      </c>
      <c r="P1602" t="n">
        <v>0</v>
      </c>
      <c r="Q1602" t="n">
        <v>0</v>
      </c>
      <c r="R1602" s="2" t="inlineStr"/>
    </row>
    <row r="1603" ht="15" customHeight="1">
      <c r="A1603" t="inlineStr">
        <is>
          <t>A 3137-2019</t>
        </is>
      </c>
      <c r="B1603" s="1" t="n">
        <v>43480</v>
      </c>
      <c r="C1603" s="1" t="n">
        <v>45212</v>
      </c>
      <c r="D1603" t="inlineStr">
        <is>
          <t>VÄSTRA GÖTALANDS LÄN</t>
        </is>
      </c>
      <c r="E1603" t="inlineStr">
        <is>
          <t>ORUST</t>
        </is>
      </c>
      <c r="G1603" t="n">
        <v>2.1</v>
      </c>
      <c r="H1603" t="n">
        <v>0</v>
      </c>
      <c r="I1603" t="n">
        <v>0</v>
      </c>
      <c r="J1603" t="n">
        <v>0</v>
      </c>
      <c r="K1603" t="n">
        <v>0</v>
      </c>
      <c r="L1603" t="n">
        <v>0</v>
      </c>
      <c r="M1603" t="n">
        <v>0</v>
      </c>
      <c r="N1603" t="n">
        <v>0</v>
      </c>
      <c r="O1603" t="n">
        <v>0</v>
      </c>
      <c r="P1603" t="n">
        <v>0</v>
      </c>
      <c r="Q1603" t="n">
        <v>0</v>
      </c>
      <c r="R1603" s="2" t="inlineStr"/>
    </row>
    <row r="1604" ht="15" customHeight="1">
      <c r="A1604" t="inlineStr">
        <is>
          <t>A 3310-2019</t>
        </is>
      </c>
      <c r="B1604" s="1" t="n">
        <v>43480</v>
      </c>
      <c r="C1604" s="1" t="n">
        <v>45212</v>
      </c>
      <c r="D1604" t="inlineStr">
        <is>
          <t>VÄSTRA GÖTALANDS LÄN</t>
        </is>
      </c>
      <c r="E1604" t="inlineStr">
        <is>
          <t>LIDKÖPING</t>
        </is>
      </c>
      <c r="G1604" t="n">
        <v>2.5</v>
      </c>
      <c r="H1604" t="n">
        <v>0</v>
      </c>
      <c r="I1604" t="n">
        <v>0</v>
      </c>
      <c r="J1604" t="n">
        <v>0</v>
      </c>
      <c r="K1604" t="n">
        <v>0</v>
      </c>
      <c r="L1604" t="n">
        <v>0</v>
      </c>
      <c r="M1604" t="n">
        <v>0</v>
      </c>
      <c r="N1604" t="n">
        <v>0</v>
      </c>
      <c r="O1604" t="n">
        <v>0</v>
      </c>
      <c r="P1604" t="n">
        <v>0</v>
      </c>
      <c r="Q1604" t="n">
        <v>0</v>
      </c>
      <c r="R1604" s="2" t="inlineStr"/>
    </row>
    <row r="1605" ht="15" customHeight="1">
      <c r="A1605" t="inlineStr">
        <is>
          <t>A 3338-2019</t>
        </is>
      </c>
      <c r="B1605" s="1" t="n">
        <v>43480</v>
      </c>
      <c r="C1605" s="1" t="n">
        <v>45212</v>
      </c>
      <c r="D1605" t="inlineStr">
        <is>
          <t>VÄSTRA GÖTALANDS LÄN</t>
        </is>
      </c>
      <c r="E1605" t="inlineStr">
        <is>
          <t>LIDKÖPING</t>
        </is>
      </c>
      <c r="G1605" t="n">
        <v>2.8</v>
      </c>
      <c r="H1605" t="n">
        <v>0</v>
      </c>
      <c r="I1605" t="n">
        <v>0</v>
      </c>
      <c r="J1605" t="n">
        <v>0</v>
      </c>
      <c r="K1605" t="n">
        <v>0</v>
      </c>
      <c r="L1605" t="n">
        <v>0</v>
      </c>
      <c r="M1605" t="n">
        <v>0</v>
      </c>
      <c r="N1605" t="n">
        <v>0</v>
      </c>
      <c r="O1605" t="n">
        <v>0</v>
      </c>
      <c r="P1605" t="n">
        <v>0</v>
      </c>
      <c r="Q1605" t="n">
        <v>0</v>
      </c>
      <c r="R1605" s="2" t="inlineStr"/>
    </row>
    <row r="1606" ht="15" customHeight="1">
      <c r="A1606" t="inlineStr">
        <is>
          <t>A 5287-2019</t>
        </is>
      </c>
      <c r="B1606" s="1" t="n">
        <v>43480</v>
      </c>
      <c r="C1606" s="1" t="n">
        <v>45212</v>
      </c>
      <c r="D1606" t="inlineStr">
        <is>
          <t>VÄSTRA GÖTALANDS LÄN</t>
        </is>
      </c>
      <c r="E1606" t="inlineStr">
        <is>
          <t>STRÖMSTAD</t>
        </is>
      </c>
      <c r="G1606" t="n">
        <v>4.1</v>
      </c>
      <c r="H1606" t="n">
        <v>0</v>
      </c>
      <c r="I1606" t="n">
        <v>0</v>
      </c>
      <c r="J1606" t="n">
        <v>0</v>
      </c>
      <c r="K1606" t="n">
        <v>0</v>
      </c>
      <c r="L1606" t="n">
        <v>0</v>
      </c>
      <c r="M1606" t="n">
        <v>0</v>
      </c>
      <c r="N1606" t="n">
        <v>0</v>
      </c>
      <c r="O1606" t="n">
        <v>0</v>
      </c>
      <c r="P1606" t="n">
        <v>0</v>
      </c>
      <c r="Q1606" t="n">
        <v>0</v>
      </c>
      <c r="R1606" s="2" t="inlineStr"/>
    </row>
    <row r="1607" ht="15" customHeight="1">
      <c r="A1607" t="inlineStr">
        <is>
          <t>A 3233-2019</t>
        </is>
      </c>
      <c r="B1607" s="1" t="n">
        <v>43480</v>
      </c>
      <c r="C1607" s="1" t="n">
        <v>45212</v>
      </c>
      <c r="D1607" t="inlineStr">
        <is>
          <t>VÄSTRA GÖTALANDS LÄN</t>
        </is>
      </c>
      <c r="E1607" t="inlineStr">
        <is>
          <t>TANUM</t>
        </is>
      </c>
      <c r="G1607" t="n">
        <v>5.7</v>
      </c>
      <c r="H1607" t="n">
        <v>0</v>
      </c>
      <c r="I1607" t="n">
        <v>0</v>
      </c>
      <c r="J1607" t="n">
        <v>0</v>
      </c>
      <c r="K1607" t="n">
        <v>0</v>
      </c>
      <c r="L1607" t="n">
        <v>0</v>
      </c>
      <c r="M1607" t="n">
        <v>0</v>
      </c>
      <c r="N1607" t="n">
        <v>0</v>
      </c>
      <c r="O1607" t="n">
        <v>0</v>
      </c>
      <c r="P1607" t="n">
        <v>0</v>
      </c>
      <c r="Q1607" t="n">
        <v>0</v>
      </c>
      <c r="R1607" s="2" t="inlineStr"/>
    </row>
    <row r="1608" ht="15" customHeight="1">
      <c r="A1608" t="inlineStr">
        <is>
          <t>A 3278-2019</t>
        </is>
      </c>
      <c r="B1608" s="1" t="n">
        <v>43480</v>
      </c>
      <c r="C1608" s="1" t="n">
        <v>45212</v>
      </c>
      <c r="D1608" t="inlineStr">
        <is>
          <t>VÄSTRA GÖTALANDS LÄN</t>
        </is>
      </c>
      <c r="E1608" t="inlineStr">
        <is>
          <t>FÄRGELANDA</t>
        </is>
      </c>
      <c r="G1608" t="n">
        <v>7.7</v>
      </c>
      <c r="H1608" t="n">
        <v>0</v>
      </c>
      <c r="I1608" t="n">
        <v>0</v>
      </c>
      <c r="J1608" t="n">
        <v>0</v>
      </c>
      <c r="K1608" t="n">
        <v>0</v>
      </c>
      <c r="L1608" t="n">
        <v>0</v>
      </c>
      <c r="M1608" t="n">
        <v>0</v>
      </c>
      <c r="N1608" t="n">
        <v>0</v>
      </c>
      <c r="O1608" t="n">
        <v>0</v>
      </c>
      <c r="P1608" t="n">
        <v>0</v>
      </c>
      <c r="Q1608" t="n">
        <v>0</v>
      </c>
      <c r="R1608" s="2" t="inlineStr"/>
    </row>
    <row r="1609" ht="15" customHeight="1">
      <c r="A1609" t="inlineStr">
        <is>
          <t>A 3306-2019</t>
        </is>
      </c>
      <c r="B1609" s="1" t="n">
        <v>43480</v>
      </c>
      <c r="C1609" s="1" t="n">
        <v>45212</v>
      </c>
      <c r="D1609" t="inlineStr">
        <is>
          <t>VÄSTRA GÖTALANDS LÄN</t>
        </is>
      </c>
      <c r="E1609" t="inlineStr">
        <is>
          <t>BORÅS</t>
        </is>
      </c>
      <c r="G1609" t="n">
        <v>4.7</v>
      </c>
      <c r="H1609" t="n">
        <v>0</v>
      </c>
      <c r="I1609" t="n">
        <v>0</v>
      </c>
      <c r="J1609" t="n">
        <v>0</v>
      </c>
      <c r="K1609" t="n">
        <v>0</v>
      </c>
      <c r="L1609" t="n">
        <v>0</v>
      </c>
      <c r="M1609" t="n">
        <v>0</v>
      </c>
      <c r="N1609" t="n">
        <v>0</v>
      </c>
      <c r="O1609" t="n">
        <v>0</v>
      </c>
      <c r="P1609" t="n">
        <v>0</v>
      </c>
      <c r="Q1609" t="n">
        <v>0</v>
      </c>
      <c r="R1609" s="2" t="inlineStr"/>
    </row>
    <row r="1610" ht="15" customHeight="1">
      <c r="A1610" t="inlineStr">
        <is>
          <t>A 3355-2019</t>
        </is>
      </c>
      <c r="B1610" s="1" t="n">
        <v>43480</v>
      </c>
      <c r="C1610" s="1" t="n">
        <v>45212</v>
      </c>
      <c r="D1610" t="inlineStr">
        <is>
          <t>VÄSTRA GÖTALANDS LÄN</t>
        </is>
      </c>
      <c r="E1610" t="inlineStr">
        <is>
          <t>ULRICEHAMN</t>
        </is>
      </c>
      <c r="G1610" t="n">
        <v>10.9</v>
      </c>
      <c r="H1610" t="n">
        <v>0</v>
      </c>
      <c r="I1610" t="n">
        <v>0</v>
      </c>
      <c r="J1610" t="n">
        <v>0</v>
      </c>
      <c r="K1610" t="n">
        <v>0</v>
      </c>
      <c r="L1610" t="n">
        <v>0</v>
      </c>
      <c r="M1610" t="n">
        <v>0</v>
      </c>
      <c r="N1610" t="n">
        <v>0</v>
      </c>
      <c r="O1610" t="n">
        <v>0</v>
      </c>
      <c r="P1610" t="n">
        <v>0</v>
      </c>
      <c r="Q1610" t="n">
        <v>0</v>
      </c>
      <c r="R1610" s="2" t="inlineStr"/>
    </row>
    <row r="1611" ht="15" customHeight="1">
      <c r="A1611" t="inlineStr">
        <is>
          <t>A 5343-2019</t>
        </is>
      </c>
      <c r="B1611" s="1" t="n">
        <v>43480</v>
      </c>
      <c r="C1611" s="1" t="n">
        <v>45212</v>
      </c>
      <c r="D1611" t="inlineStr">
        <is>
          <t>VÄSTRA GÖTALANDS LÄN</t>
        </is>
      </c>
      <c r="E1611" t="inlineStr">
        <is>
          <t>HJO</t>
        </is>
      </c>
      <c r="F1611" t="inlineStr">
        <is>
          <t>Övriga Aktiebolag</t>
        </is>
      </c>
      <c r="G1611" t="n">
        <v>20</v>
      </c>
      <c r="H1611" t="n">
        <v>0</v>
      </c>
      <c r="I1611" t="n">
        <v>0</v>
      </c>
      <c r="J1611" t="n">
        <v>0</v>
      </c>
      <c r="K1611" t="n">
        <v>0</v>
      </c>
      <c r="L1611" t="n">
        <v>0</v>
      </c>
      <c r="M1611" t="n">
        <v>0</v>
      </c>
      <c r="N1611" t="n">
        <v>0</v>
      </c>
      <c r="O1611" t="n">
        <v>0</v>
      </c>
      <c r="P1611" t="n">
        <v>0</v>
      </c>
      <c r="Q1611" t="n">
        <v>0</v>
      </c>
      <c r="R1611" s="2" t="inlineStr"/>
    </row>
    <row r="1612" ht="15" customHeight="1">
      <c r="A1612" t="inlineStr">
        <is>
          <t>A 3514-2019</t>
        </is>
      </c>
      <c r="B1612" s="1" t="n">
        <v>43481</v>
      </c>
      <c r="C1612" s="1" t="n">
        <v>45212</v>
      </c>
      <c r="D1612" t="inlineStr">
        <is>
          <t>VÄSTRA GÖTALANDS LÄN</t>
        </is>
      </c>
      <c r="E1612" t="inlineStr">
        <is>
          <t>ÅMÅL</t>
        </is>
      </c>
      <c r="G1612" t="n">
        <v>3.4</v>
      </c>
      <c r="H1612" t="n">
        <v>0</v>
      </c>
      <c r="I1612" t="n">
        <v>0</v>
      </c>
      <c r="J1612" t="n">
        <v>0</v>
      </c>
      <c r="K1612" t="n">
        <v>0</v>
      </c>
      <c r="L1612" t="n">
        <v>0</v>
      </c>
      <c r="M1612" t="n">
        <v>0</v>
      </c>
      <c r="N1612" t="n">
        <v>0</v>
      </c>
      <c r="O1612" t="n">
        <v>0</v>
      </c>
      <c r="P1612" t="n">
        <v>0</v>
      </c>
      <c r="Q1612" t="n">
        <v>0</v>
      </c>
      <c r="R1612" s="2" t="inlineStr"/>
    </row>
    <row r="1613" ht="15" customHeight="1">
      <c r="A1613" t="inlineStr">
        <is>
          <t>A 3759-2019</t>
        </is>
      </c>
      <c r="B1613" s="1" t="n">
        <v>43481</v>
      </c>
      <c r="C1613" s="1" t="n">
        <v>45212</v>
      </c>
      <c r="D1613" t="inlineStr">
        <is>
          <t>VÄSTRA GÖTALANDS LÄN</t>
        </is>
      </c>
      <c r="E1613" t="inlineStr">
        <is>
          <t>MARIESTAD</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5222-2019</t>
        </is>
      </c>
      <c r="B1614" s="1" t="n">
        <v>43481</v>
      </c>
      <c r="C1614" s="1" t="n">
        <v>45212</v>
      </c>
      <c r="D1614" t="inlineStr">
        <is>
          <t>VÄSTRA GÖTALANDS LÄN</t>
        </is>
      </c>
      <c r="E1614" t="inlineStr">
        <is>
          <t>BENGTSFORS</t>
        </is>
      </c>
      <c r="G1614" t="n">
        <v>2.5</v>
      </c>
      <c r="H1614" t="n">
        <v>0</v>
      </c>
      <c r="I1614" t="n">
        <v>0</v>
      </c>
      <c r="J1614" t="n">
        <v>0</v>
      </c>
      <c r="K1614" t="n">
        <v>0</v>
      </c>
      <c r="L1614" t="n">
        <v>0</v>
      </c>
      <c r="M1614" t="n">
        <v>0</v>
      </c>
      <c r="N1614" t="n">
        <v>0</v>
      </c>
      <c r="O1614" t="n">
        <v>0</v>
      </c>
      <c r="P1614" t="n">
        <v>0</v>
      </c>
      <c r="Q1614" t="n">
        <v>0</v>
      </c>
      <c r="R1614" s="2" t="inlineStr"/>
    </row>
    <row r="1615" ht="15" customHeight="1">
      <c r="A1615" t="inlineStr">
        <is>
          <t>A 5306-2019</t>
        </is>
      </c>
      <c r="B1615" s="1" t="n">
        <v>43481</v>
      </c>
      <c r="C1615" s="1" t="n">
        <v>45212</v>
      </c>
      <c r="D1615" t="inlineStr">
        <is>
          <t>VÄSTRA GÖTALANDS LÄN</t>
        </is>
      </c>
      <c r="E1615" t="inlineStr">
        <is>
          <t>VÅRGÅRDA</t>
        </is>
      </c>
      <c r="G1615" t="n">
        <v>2.4</v>
      </c>
      <c r="H1615" t="n">
        <v>0</v>
      </c>
      <c r="I1615" t="n">
        <v>0</v>
      </c>
      <c r="J1615" t="n">
        <v>0</v>
      </c>
      <c r="K1615" t="n">
        <v>0</v>
      </c>
      <c r="L1615" t="n">
        <v>0</v>
      </c>
      <c r="M1615" t="n">
        <v>0</v>
      </c>
      <c r="N1615" t="n">
        <v>0</v>
      </c>
      <c r="O1615" t="n">
        <v>0</v>
      </c>
      <c r="P1615" t="n">
        <v>0</v>
      </c>
      <c r="Q1615" t="n">
        <v>0</v>
      </c>
      <c r="R1615" s="2" t="inlineStr"/>
    </row>
    <row r="1616" ht="15" customHeight="1">
      <c r="A1616" t="inlineStr">
        <is>
          <t>A 3560-2019</t>
        </is>
      </c>
      <c r="B1616" s="1" t="n">
        <v>43481</v>
      </c>
      <c r="C1616" s="1" t="n">
        <v>45212</v>
      </c>
      <c r="D1616" t="inlineStr">
        <is>
          <t>VÄSTRA GÖTALANDS LÄN</t>
        </is>
      </c>
      <c r="E1616" t="inlineStr">
        <is>
          <t>ALE</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3675-2019</t>
        </is>
      </c>
      <c r="B1617" s="1" t="n">
        <v>43481</v>
      </c>
      <c r="C1617" s="1" t="n">
        <v>45212</v>
      </c>
      <c r="D1617" t="inlineStr">
        <is>
          <t>VÄSTRA GÖTALANDS LÄN</t>
        </is>
      </c>
      <c r="E1617" t="inlineStr">
        <is>
          <t>FÄRGELANDA</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5200-2019</t>
        </is>
      </c>
      <c r="B1618" s="1" t="n">
        <v>43481</v>
      </c>
      <c r="C1618" s="1" t="n">
        <v>45212</v>
      </c>
      <c r="D1618" t="inlineStr">
        <is>
          <t>VÄSTRA GÖTALANDS LÄN</t>
        </is>
      </c>
      <c r="E1618" t="inlineStr">
        <is>
          <t>VÄNERSBORG</t>
        </is>
      </c>
      <c r="G1618" t="n">
        <v>0.5</v>
      </c>
      <c r="H1618" t="n">
        <v>0</v>
      </c>
      <c r="I1618" t="n">
        <v>0</v>
      </c>
      <c r="J1618" t="n">
        <v>0</v>
      </c>
      <c r="K1618" t="n">
        <v>0</v>
      </c>
      <c r="L1618" t="n">
        <v>0</v>
      </c>
      <c r="M1618" t="n">
        <v>0</v>
      </c>
      <c r="N1618" t="n">
        <v>0</v>
      </c>
      <c r="O1618" t="n">
        <v>0</v>
      </c>
      <c r="P1618" t="n">
        <v>0</v>
      </c>
      <c r="Q1618" t="n">
        <v>0</v>
      </c>
      <c r="R1618" s="2" t="inlineStr"/>
    </row>
    <row r="1619" ht="15" customHeight="1">
      <c r="A1619" t="inlineStr">
        <is>
          <t>A 3422-2019</t>
        </is>
      </c>
      <c r="B1619" s="1" t="n">
        <v>43481</v>
      </c>
      <c r="C1619" s="1" t="n">
        <v>45212</v>
      </c>
      <c r="D1619" t="inlineStr">
        <is>
          <t>VÄSTRA GÖTALANDS LÄN</t>
        </is>
      </c>
      <c r="E1619" t="inlineStr">
        <is>
          <t>TANUM</t>
        </is>
      </c>
      <c r="G1619" t="n">
        <v>3</v>
      </c>
      <c r="H1619" t="n">
        <v>0</v>
      </c>
      <c r="I1619" t="n">
        <v>0</v>
      </c>
      <c r="J1619" t="n">
        <v>0</v>
      </c>
      <c r="K1619" t="n">
        <v>0</v>
      </c>
      <c r="L1619" t="n">
        <v>0</v>
      </c>
      <c r="M1619" t="n">
        <v>0</v>
      </c>
      <c r="N1619" t="n">
        <v>0</v>
      </c>
      <c r="O1619" t="n">
        <v>0</v>
      </c>
      <c r="P1619" t="n">
        <v>0</v>
      </c>
      <c r="Q1619" t="n">
        <v>0</v>
      </c>
      <c r="R1619" s="2" t="inlineStr"/>
    </row>
    <row r="1620" ht="15" customHeight="1">
      <c r="A1620" t="inlineStr">
        <is>
          <t>A 5195-2019</t>
        </is>
      </c>
      <c r="B1620" s="1" t="n">
        <v>43481</v>
      </c>
      <c r="C1620" s="1" t="n">
        <v>45212</v>
      </c>
      <c r="D1620" t="inlineStr">
        <is>
          <t>VÄSTRA GÖTALANDS LÄN</t>
        </is>
      </c>
      <c r="E1620" t="inlineStr">
        <is>
          <t>TANUM</t>
        </is>
      </c>
      <c r="G1620" t="n">
        <v>0.8</v>
      </c>
      <c r="H1620" t="n">
        <v>0</v>
      </c>
      <c r="I1620" t="n">
        <v>0</v>
      </c>
      <c r="J1620" t="n">
        <v>0</v>
      </c>
      <c r="K1620" t="n">
        <v>0</v>
      </c>
      <c r="L1620" t="n">
        <v>0</v>
      </c>
      <c r="M1620" t="n">
        <v>0</v>
      </c>
      <c r="N1620" t="n">
        <v>0</v>
      </c>
      <c r="O1620" t="n">
        <v>0</v>
      </c>
      <c r="P1620" t="n">
        <v>0</v>
      </c>
      <c r="Q1620" t="n">
        <v>0</v>
      </c>
      <c r="R1620" s="2" t="inlineStr"/>
    </row>
    <row r="1621" ht="15" customHeight="1">
      <c r="A1621" t="inlineStr">
        <is>
          <t>A 5216-2019</t>
        </is>
      </c>
      <c r="B1621" s="1" t="n">
        <v>43481</v>
      </c>
      <c r="C1621" s="1" t="n">
        <v>45212</v>
      </c>
      <c r="D1621" t="inlineStr">
        <is>
          <t>VÄSTRA GÖTALANDS LÄN</t>
        </is>
      </c>
      <c r="E1621" t="inlineStr">
        <is>
          <t>TRANEMO</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3496-2019</t>
        </is>
      </c>
      <c r="B1622" s="1" t="n">
        <v>43481</v>
      </c>
      <c r="C1622" s="1" t="n">
        <v>45212</v>
      </c>
      <c r="D1622" t="inlineStr">
        <is>
          <t>VÄSTRA GÖTALANDS LÄN</t>
        </is>
      </c>
      <c r="E1622" t="inlineStr">
        <is>
          <t>MARK</t>
        </is>
      </c>
      <c r="G1622" t="n">
        <v>3.5</v>
      </c>
      <c r="H1622" t="n">
        <v>0</v>
      </c>
      <c r="I1622" t="n">
        <v>0</v>
      </c>
      <c r="J1622" t="n">
        <v>0</v>
      </c>
      <c r="K1622" t="n">
        <v>0</v>
      </c>
      <c r="L1622" t="n">
        <v>0</v>
      </c>
      <c r="M1622" t="n">
        <v>0</v>
      </c>
      <c r="N1622" t="n">
        <v>0</v>
      </c>
      <c r="O1622" t="n">
        <v>0</v>
      </c>
      <c r="P1622" t="n">
        <v>0</v>
      </c>
      <c r="Q1622" t="n">
        <v>0</v>
      </c>
      <c r="R1622" s="2" t="inlineStr"/>
    </row>
    <row r="1623" ht="15" customHeight="1">
      <c r="A1623" t="inlineStr">
        <is>
          <t>A 5299-2019</t>
        </is>
      </c>
      <c r="B1623" s="1" t="n">
        <v>43481</v>
      </c>
      <c r="C1623" s="1" t="n">
        <v>45212</v>
      </c>
      <c r="D1623" t="inlineStr">
        <is>
          <t>VÄSTRA GÖTALANDS LÄN</t>
        </is>
      </c>
      <c r="E1623" t="inlineStr">
        <is>
          <t>VÅRGÅRDA</t>
        </is>
      </c>
      <c r="G1623" t="n">
        <v>1.9</v>
      </c>
      <c r="H1623" t="n">
        <v>0</v>
      </c>
      <c r="I1623" t="n">
        <v>0</v>
      </c>
      <c r="J1623" t="n">
        <v>0</v>
      </c>
      <c r="K1623" t="n">
        <v>0</v>
      </c>
      <c r="L1623" t="n">
        <v>0</v>
      </c>
      <c r="M1623" t="n">
        <v>0</v>
      </c>
      <c r="N1623" t="n">
        <v>0</v>
      </c>
      <c r="O1623" t="n">
        <v>0</v>
      </c>
      <c r="P1623" t="n">
        <v>0</v>
      </c>
      <c r="Q1623" t="n">
        <v>0</v>
      </c>
      <c r="R1623" s="2" t="inlineStr"/>
    </row>
    <row r="1624" ht="15" customHeight="1">
      <c r="A1624" t="inlineStr">
        <is>
          <t>A 3874-2019</t>
        </is>
      </c>
      <c r="B1624" s="1" t="n">
        <v>43482</v>
      </c>
      <c r="C1624" s="1" t="n">
        <v>45212</v>
      </c>
      <c r="D1624" t="inlineStr">
        <is>
          <t>VÄSTRA GÖTALANDS LÄN</t>
        </is>
      </c>
      <c r="E1624" t="inlineStr">
        <is>
          <t>BORÅS</t>
        </is>
      </c>
      <c r="G1624" t="n">
        <v>6.3</v>
      </c>
      <c r="H1624" t="n">
        <v>0</v>
      </c>
      <c r="I1624" t="n">
        <v>0</v>
      </c>
      <c r="J1624" t="n">
        <v>0</v>
      </c>
      <c r="K1624" t="n">
        <v>0</v>
      </c>
      <c r="L1624" t="n">
        <v>0</v>
      </c>
      <c r="M1624" t="n">
        <v>0</v>
      </c>
      <c r="N1624" t="n">
        <v>0</v>
      </c>
      <c r="O1624" t="n">
        <v>0</v>
      </c>
      <c r="P1624" t="n">
        <v>0</v>
      </c>
      <c r="Q1624" t="n">
        <v>0</v>
      </c>
      <c r="R1624" s="2" t="inlineStr"/>
    </row>
    <row r="1625" ht="15" customHeight="1">
      <c r="A1625" t="inlineStr">
        <is>
          <t>A 4011-2019</t>
        </is>
      </c>
      <c r="B1625" s="1" t="n">
        <v>43482</v>
      </c>
      <c r="C1625" s="1" t="n">
        <v>45212</v>
      </c>
      <c r="D1625" t="inlineStr">
        <is>
          <t>VÄSTRA GÖTALANDS LÄN</t>
        </is>
      </c>
      <c r="E1625" t="inlineStr">
        <is>
          <t>TANUM</t>
        </is>
      </c>
      <c r="G1625" t="n">
        <v>6.1</v>
      </c>
      <c r="H1625" t="n">
        <v>0</v>
      </c>
      <c r="I1625" t="n">
        <v>0</v>
      </c>
      <c r="J1625" t="n">
        <v>0</v>
      </c>
      <c r="K1625" t="n">
        <v>0</v>
      </c>
      <c r="L1625" t="n">
        <v>0</v>
      </c>
      <c r="M1625" t="n">
        <v>0</v>
      </c>
      <c r="N1625" t="n">
        <v>0</v>
      </c>
      <c r="O1625" t="n">
        <v>0</v>
      </c>
      <c r="P1625" t="n">
        <v>0</v>
      </c>
      <c r="Q1625" t="n">
        <v>0</v>
      </c>
      <c r="R1625" s="2" t="inlineStr"/>
    </row>
    <row r="1626" ht="15" customHeight="1">
      <c r="A1626" t="inlineStr">
        <is>
          <t>A 4043-2019</t>
        </is>
      </c>
      <c r="B1626" s="1" t="n">
        <v>43482</v>
      </c>
      <c r="C1626" s="1" t="n">
        <v>45212</v>
      </c>
      <c r="D1626" t="inlineStr">
        <is>
          <t>VÄSTRA GÖTALANDS LÄN</t>
        </is>
      </c>
      <c r="E1626" t="inlineStr">
        <is>
          <t>LIDKÖPING</t>
        </is>
      </c>
      <c r="G1626" t="n">
        <v>0.5</v>
      </c>
      <c r="H1626" t="n">
        <v>0</v>
      </c>
      <c r="I1626" t="n">
        <v>0</v>
      </c>
      <c r="J1626" t="n">
        <v>0</v>
      </c>
      <c r="K1626" t="n">
        <v>0</v>
      </c>
      <c r="L1626" t="n">
        <v>0</v>
      </c>
      <c r="M1626" t="n">
        <v>0</v>
      </c>
      <c r="N1626" t="n">
        <v>0</v>
      </c>
      <c r="O1626" t="n">
        <v>0</v>
      </c>
      <c r="P1626" t="n">
        <v>0</v>
      </c>
      <c r="Q1626" t="n">
        <v>0</v>
      </c>
      <c r="R1626" s="2" t="inlineStr"/>
    </row>
    <row r="1627" ht="15" customHeight="1">
      <c r="A1627" t="inlineStr">
        <is>
          <t>A 4060-2019</t>
        </is>
      </c>
      <c r="B1627" s="1" t="n">
        <v>43482</v>
      </c>
      <c r="C1627" s="1" t="n">
        <v>45212</v>
      </c>
      <c r="D1627" t="inlineStr">
        <is>
          <t>VÄSTRA GÖTALANDS LÄN</t>
        </is>
      </c>
      <c r="E1627" t="inlineStr">
        <is>
          <t>LIDKÖPING</t>
        </is>
      </c>
      <c r="G1627" t="n">
        <v>7.9</v>
      </c>
      <c r="H1627" t="n">
        <v>0</v>
      </c>
      <c r="I1627" t="n">
        <v>0</v>
      </c>
      <c r="J1627" t="n">
        <v>0</v>
      </c>
      <c r="K1627" t="n">
        <v>0</v>
      </c>
      <c r="L1627" t="n">
        <v>0</v>
      </c>
      <c r="M1627" t="n">
        <v>0</v>
      </c>
      <c r="N1627" t="n">
        <v>0</v>
      </c>
      <c r="O1627" t="n">
        <v>0</v>
      </c>
      <c r="P1627" t="n">
        <v>0</v>
      </c>
      <c r="Q1627" t="n">
        <v>0</v>
      </c>
      <c r="R1627" s="2" t="inlineStr"/>
    </row>
    <row r="1628" ht="15" customHeight="1">
      <c r="A1628" t="inlineStr">
        <is>
          <t>A 4090-2019</t>
        </is>
      </c>
      <c r="B1628" s="1" t="n">
        <v>43482</v>
      </c>
      <c r="C1628" s="1" t="n">
        <v>45212</v>
      </c>
      <c r="D1628" t="inlineStr">
        <is>
          <t>VÄSTRA GÖTALANDS LÄN</t>
        </is>
      </c>
      <c r="E1628" t="inlineStr">
        <is>
          <t>GRÄSTORP</t>
        </is>
      </c>
      <c r="G1628" t="n">
        <v>13.8</v>
      </c>
      <c r="H1628" t="n">
        <v>0</v>
      </c>
      <c r="I1628" t="n">
        <v>0</v>
      </c>
      <c r="J1628" t="n">
        <v>0</v>
      </c>
      <c r="K1628" t="n">
        <v>0</v>
      </c>
      <c r="L1628" t="n">
        <v>0</v>
      </c>
      <c r="M1628" t="n">
        <v>0</v>
      </c>
      <c r="N1628" t="n">
        <v>0</v>
      </c>
      <c r="O1628" t="n">
        <v>0</v>
      </c>
      <c r="P1628" t="n">
        <v>0</v>
      </c>
      <c r="Q1628" t="n">
        <v>0</v>
      </c>
      <c r="R1628" s="2" t="inlineStr"/>
    </row>
    <row r="1629" ht="15" customHeight="1">
      <c r="A1629" t="inlineStr">
        <is>
          <t>A 5494-2019</t>
        </is>
      </c>
      <c r="B1629" s="1" t="n">
        <v>43482</v>
      </c>
      <c r="C1629" s="1" t="n">
        <v>45212</v>
      </c>
      <c r="D1629" t="inlineStr">
        <is>
          <t>VÄSTRA GÖTALANDS LÄN</t>
        </is>
      </c>
      <c r="E1629" t="inlineStr">
        <is>
          <t>BENGTSFORS</t>
        </is>
      </c>
      <c r="G1629" t="n">
        <v>3.3</v>
      </c>
      <c r="H1629" t="n">
        <v>0</v>
      </c>
      <c r="I1629" t="n">
        <v>0</v>
      </c>
      <c r="J1629" t="n">
        <v>0</v>
      </c>
      <c r="K1629" t="n">
        <v>0</v>
      </c>
      <c r="L1629" t="n">
        <v>0</v>
      </c>
      <c r="M1629" t="n">
        <v>0</v>
      </c>
      <c r="N1629" t="n">
        <v>0</v>
      </c>
      <c r="O1629" t="n">
        <v>0</v>
      </c>
      <c r="P1629" t="n">
        <v>0</v>
      </c>
      <c r="Q1629" t="n">
        <v>0</v>
      </c>
      <c r="R1629" s="2" t="inlineStr"/>
    </row>
    <row r="1630" ht="15" customHeight="1">
      <c r="A1630" t="inlineStr">
        <is>
          <t>A 3992-2019</t>
        </is>
      </c>
      <c r="B1630" s="1" t="n">
        <v>43482</v>
      </c>
      <c r="C1630" s="1" t="n">
        <v>45212</v>
      </c>
      <c r="D1630" t="inlineStr">
        <is>
          <t>VÄSTRA GÖTALANDS LÄN</t>
        </is>
      </c>
      <c r="E1630" t="inlineStr">
        <is>
          <t>UDDEVALLA</t>
        </is>
      </c>
      <c r="G1630" t="n">
        <v>2.9</v>
      </c>
      <c r="H1630" t="n">
        <v>0</v>
      </c>
      <c r="I1630" t="n">
        <v>0</v>
      </c>
      <c r="J1630" t="n">
        <v>0</v>
      </c>
      <c r="K1630" t="n">
        <v>0</v>
      </c>
      <c r="L1630" t="n">
        <v>0</v>
      </c>
      <c r="M1630" t="n">
        <v>0</v>
      </c>
      <c r="N1630" t="n">
        <v>0</v>
      </c>
      <c r="O1630" t="n">
        <v>0</v>
      </c>
      <c r="P1630" t="n">
        <v>0</v>
      </c>
      <c r="Q1630" t="n">
        <v>0</v>
      </c>
      <c r="R1630" s="2" t="inlineStr"/>
    </row>
    <row r="1631" ht="15" customHeight="1">
      <c r="A1631" t="inlineStr">
        <is>
          <t>A 4015-2019</t>
        </is>
      </c>
      <c r="B1631" s="1" t="n">
        <v>43482</v>
      </c>
      <c r="C1631" s="1" t="n">
        <v>45212</v>
      </c>
      <c r="D1631" t="inlineStr">
        <is>
          <t>VÄSTRA GÖTALANDS LÄN</t>
        </is>
      </c>
      <c r="E1631" t="inlineStr">
        <is>
          <t>TANUM</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4087-2019</t>
        </is>
      </c>
      <c r="B1632" s="1" t="n">
        <v>43482</v>
      </c>
      <c r="C1632" s="1" t="n">
        <v>45212</v>
      </c>
      <c r="D1632" t="inlineStr">
        <is>
          <t>VÄSTRA GÖTALANDS LÄN</t>
        </is>
      </c>
      <c r="E1632" t="inlineStr">
        <is>
          <t>GRÄSTORP</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5501-2019</t>
        </is>
      </c>
      <c r="B1633" s="1" t="n">
        <v>43482</v>
      </c>
      <c r="C1633" s="1" t="n">
        <v>45212</v>
      </c>
      <c r="D1633" t="inlineStr">
        <is>
          <t>VÄSTRA GÖTALANDS LÄN</t>
        </is>
      </c>
      <c r="E1633" t="inlineStr">
        <is>
          <t>ULRICEHAMN</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4085-2019</t>
        </is>
      </c>
      <c r="B1634" s="1" t="n">
        <v>43482</v>
      </c>
      <c r="C1634" s="1" t="n">
        <v>45212</v>
      </c>
      <c r="D1634" t="inlineStr">
        <is>
          <t>VÄSTRA GÖTALANDS LÄN</t>
        </is>
      </c>
      <c r="E1634" t="inlineStr">
        <is>
          <t>GRÄSTORP</t>
        </is>
      </c>
      <c r="G1634" t="n">
        <v>7.1</v>
      </c>
      <c r="H1634" t="n">
        <v>0</v>
      </c>
      <c r="I1634" t="n">
        <v>0</v>
      </c>
      <c r="J1634" t="n">
        <v>0</v>
      </c>
      <c r="K1634" t="n">
        <v>0</v>
      </c>
      <c r="L1634" t="n">
        <v>0</v>
      </c>
      <c r="M1634" t="n">
        <v>0</v>
      </c>
      <c r="N1634" t="n">
        <v>0</v>
      </c>
      <c r="O1634" t="n">
        <v>0</v>
      </c>
      <c r="P1634" t="n">
        <v>0</v>
      </c>
      <c r="Q1634" t="n">
        <v>0</v>
      </c>
      <c r="R1634" s="2" t="inlineStr"/>
    </row>
    <row r="1635" ht="15" customHeight="1">
      <c r="A1635" t="inlineStr">
        <is>
          <t>A 5480-2019</t>
        </is>
      </c>
      <c r="B1635" s="1" t="n">
        <v>43482</v>
      </c>
      <c r="C1635" s="1" t="n">
        <v>45212</v>
      </c>
      <c r="D1635" t="inlineStr">
        <is>
          <t>VÄSTRA GÖTALANDS LÄN</t>
        </is>
      </c>
      <c r="E1635" t="inlineStr">
        <is>
          <t>BENGTSFORS</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5496-2019</t>
        </is>
      </c>
      <c r="B1636" s="1" t="n">
        <v>43482</v>
      </c>
      <c r="C1636" s="1" t="n">
        <v>45212</v>
      </c>
      <c r="D1636" t="inlineStr">
        <is>
          <t>VÄSTRA GÖTALANDS LÄN</t>
        </is>
      </c>
      <c r="E1636" t="inlineStr">
        <is>
          <t>ULRICEHAMN</t>
        </is>
      </c>
      <c r="G1636" t="n">
        <v>1.3</v>
      </c>
      <c r="H1636" t="n">
        <v>0</v>
      </c>
      <c r="I1636" t="n">
        <v>0</v>
      </c>
      <c r="J1636" t="n">
        <v>0</v>
      </c>
      <c r="K1636" t="n">
        <v>0</v>
      </c>
      <c r="L1636" t="n">
        <v>0</v>
      </c>
      <c r="M1636" t="n">
        <v>0</v>
      </c>
      <c r="N1636" t="n">
        <v>0</v>
      </c>
      <c r="O1636" t="n">
        <v>0</v>
      </c>
      <c r="P1636" t="n">
        <v>0</v>
      </c>
      <c r="Q1636" t="n">
        <v>0</v>
      </c>
      <c r="R1636" s="2" t="inlineStr"/>
    </row>
    <row r="1637" ht="15" customHeight="1">
      <c r="A1637" t="inlineStr">
        <is>
          <t>A 5572-2019</t>
        </is>
      </c>
      <c r="B1637" s="1" t="n">
        <v>43482</v>
      </c>
      <c r="C1637" s="1" t="n">
        <v>45212</v>
      </c>
      <c r="D1637" t="inlineStr">
        <is>
          <t>VÄSTRA GÖTALANDS LÄN</t>
        </is>
      </c>
      <c r="E1637" t="inlineStr">
        <is>
          <t>VÅRGÅRDA</t>
        </is>
      </c>
      <c r="G1637" t="n">
        <v>3.6</v>
      </c>
      <c r="H1637" t="n">
        <v>0</v>
      </c>
      <c r="I1637" t="n">
        <v>0</v>
      </c>
      <c r="J1637" t="n">
        <v>0</v>
      </c>
      <c r="K1637" t="n">
        <v>0</v>
      </c>
      <c r="L1637" t="n">
        <v>0</v>
      </c>
      <c r="M1637" t="n">
        <v>0</v>
      </c>
      <c r="N1637" t="n">
        <v>0</v>
      </c>
      <c r="O1637" t="n">
        <v>0</v>
      </c>
      <c r="P1637" t="n">
        <v>0</v>
      </c>
      <c r="Q1637" t="n">
        <v>0</v>
      </c>
      <c r="R1637" s="2" t="inlineStr"/>
    </row>
    <row r="1638" ht="15" customHeight="1">
      <c r="A1638" t="inlineStr">
        <is>
          <t>A 3900-2019</t>
        </is>
      </c>
      <c r="B1638" s="1" t="n">
        <v>43482</v>
      </c>
      <c r="C1638" s="1" t="n">
        <v>45212</v>
      </c>
      <c r="D1638" t="inlineStr">
        <is>
          <t>VÄSTRA GÖTALANDS LÄN</t>
        </is>
      </c>
      <c r="E1638" t="inlineStr">
        <is>
          <t>BORÅS</t>
        </is>
      </c>
      <c r="G1638" t="n">
        <v>2.5</v>
      </c>
      <c r="H1638" t="n">
        <v>0</v>
      </c>
      <c r="I1638" t="n">
        <v>0</v>
      </c>
      <c r="J1638" t="n">
        <v>0</v>
      </c>
      <c r="K1638" t="n">
        <v>0</v>
      </c>
      <c r="L1638" t="n">
        <v>0</v>
      </c>
      <c r="M1638" t="n">
        <v>0</v>
      </c>
      <c r="N1638" t="n">
        <v>0</v>
      </c>
      <c r="O1638" t="n">
        <v>0</v>
      </c>
      <c r="P1638" t="n">
        <v>0</v>
      </c>
      <c r="Q1638" t="n">
        <v>0</v>
      </c>
      <c r="R1638" s="2" t="inlineStr"/>
    </row>
    <row r="1639" ht="15" customHeight="1">
      <c r="A1639" t="inlineStr">
        <is>
          <t>A 4093-2019</t>
        </is>
      </c>
      <c r="B1639" s="1" t="n">
        <v>43482</v>
      </c>
      <c r="C1639" s="1" t="n">
        <v>45212</v>
      </c>
      <c r="D1639" t="inlineStr">
        <is>
          <t>VÄSTRA GÖTALANDS LÄN</t>
        </is>
      </c>
      <c r="E1639" t="inlineStr">
        <is>
          <t>TRANEMO</t>
        </is>
      </c>
      <c r="G1639" t="n">
        <v>4.8</v>
      </c>
      <c r="H1639" t="n">
        <v>0</v>
      </c>
      <c r="I1639" t="n">
        <v>0</v>
      </c>
      <c r="J1639" t="n">
        <v>0</v>
      </c>
      <c r="K1639" t="n">
        <v>0</v>
      </c>
      <c r="L1639" t="n">
        <v>0</v>
      </c>
      <c r="M1639" t="n">
        <v>0</v>
      </c>
      <c r="N1639" t="n">
        <v>0</v>
      </c>
      <c r="O1639" t="n">
        <v>0</v>
      </c>
      <c r="P1639" t="n">
        <v>0</v>
      </c>
      <c r="Q1639" t="n">
        <v>0</v>
      </c>
      <c r="R1639" s="2" t="inlineStr"/>
    </row>
    <row r="1640" ht="15" customHeight="1">
      <c r="A1640" t="inlineStr">
        <is>
          <t>A 5500-2019</t>
        </is>
      </c>
      <c r="B1640" s="1" t="n">
        <v>43482</v>
      </c>
      <c r="C1640" s="1" t="n">
        <v>45212</v>
      </c>
      <c r="D1640" t="inlineStr">
        <is>
          <t>VÄSTRA GÖTALANDS LÄN</t>
        </is>
      </c>
      <c r="E1640" t="inlineStr">
        <is>
          <t>BENGTSFORS</t>
        </is>
      </c>
      <c r="G1640" t="n">
        <v>3.2</v>
      </c>
      <c r="H1640" t="n">
        <v>0</v>
      </c>
      <c r="I1640" t="n">
        <v>0</v>
      </c>
      <c r="J1640" t="n">
        <v>0</v>
      </c>
      <c r="K1640" t="n">
        <v>0</v>
      </c>
      <c r="L1640" t="n">
        <v>0</v>
      </c>
      <c r="M1640" t="n">
        <v>0</v>
      </c>
      <c r="N1640" t="n">
        <v>0</v>
      </c>
      <c r="O1640" t="n">
        <v>0</v>
      </c>
      <c r="P1640" t="n">
        <v>0</v>
      </c>
      <c r="Q1640" t="n">
        <v>0</v>
      </c>
      <c r="R1640" s="2" t="inlineStr"/>
    </row>
    <row r="1641" ht="15" customHeight="1">
      <c r="A1641" t="inlineStr">
        <is>
          <t>A 4252-2019</t>
        </is>
      </c>
      <c r="B1641" s="1" t="n">
        <v>43483</v>
      </c>
      <c r="C1641" s="1" t="n">
        <v>45212</v>
      </c>
      <c r="D1641" t="inlineStr">
        <is>
          <t>VÄSTRA GÖTALANDS LÄN</t>
        </is>
      </c>
      <c r="E1641" t="inlineStr">
        <is>
          <t>TIDAHOLM</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4310-2019</t>
        </is>
      </c>
      <c r="B1642" s="1" t="n">
        <v>43483</v>
      </c>
      <c r="C1642" s="1" t="n">
        <v>45212</v>
      </c>
      <c r="D1642" t="inlineStr">
        <is>
          <t>VÄSTRA GÖTALANDS LÄN</t>
        </is>
      </c>
      <c r="E1642" t="inlineStr">
        <is>
          <t>BOLLEBYGD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4294-2019</t>
        </is>
      </c>
      <c r="B1643" s="1" t="n">
        <v>43483</v>
      </c>
      <c r="C1643" s="1" t="n">
        <v>45212</v>
      </c>
      <c r="D1643" t="inlineStr">
        <is>
          <t>VÄSTRA GÖTALANDS LÄN</t>
        </is>
      </c>
      <c r="E1643" t="inlineStr">
        <is>
          <t>LIDKÖPING</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4367-2019</t>
        </is>
      </c>
      <c r="B1644" s="1" t="n">
        <v>43483</v>
      </c>
      <c r="C1644" s="1" t="n">
        <v>45212</v>
      </c>
      <c r="D1644" t="inlineStr">
        <is>
          <t>VÄSTRA GÖTALANDS LÄN</t>
        </is>
      </c>
      <c r="E1644" t="inlineStr">
        <is>
          <t>ALE</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6074-2019</t>
        </is>
      </c>
      <c r="B1645" s="1" t="n">
        <v>43483</v>
      </c>
      <c r="C1645" s="1" t="n">
        <v>45212</v>
      </c>
      <c r="D1645" t="inlineStr">
        <is>
          <t>VÄSTRA GÖTALANDS LÄN</t>
        </is>
      </c>
      <c r="E1645" t="inlineStr">
        <is>
          <t>BORÅS</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4406-2019</t>
        </is>
      </c>
      <c r="B1646" s="1" t="n">
        <v>43484</v>
      </c>
      <c r="C1646" s="1" t="n">
        <v>45212</v>
      </c>
      <c r="D1646" t="inlineStr">
        <is>
          <t>VÄSTRA GÖTALANDS LÄN</t>
        </is>
      </c>
      <c r="E1646" t="inlineStr">
        <is>
          <t>ÅMÅL</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4410-2019</t>
        </is>
      </c>
      <c r="B1647" s="1" t="n">
        <v>43484</v>
      </c>
      <c r="C1647" s="1" t="n">
        <v>45212</v>
      </c>
      <c r="D1647" t="inlineStr">
        <is>
          <t>VÄSTRA GÖTALANDS LÄN</t>
        </is>
      </c>
      <c r="E1647" t="inlineStr">
        <is>
          <t>ÅMÅL</t>
        </is>
      </c>
      <c r="G1647" t="n">
        <v>0.3</v>
      </c>
      <c r="H1647" t="n">
        <v>0</v>
      </c>
      <c r="I1647" t="n">
        <v>0</v>
      </c>
      <c r="J1647" t="n">
        <v>0</v>
      </c>
      <c r="K1647" t="n">
        <v>0</v>
      </c>
      <c r="L1647" t="n">
        <v>0</v>
      </c>
      <c r="M1647" t="n">
        <v>0</v>
      </c>
      <c r="N1647" t="n">
        <v>0</v>
      </c>
      <c r="O1647" t="n">
        <v>0</v>
      </c>
      <c r="P1647" t="n">
        <v>0</v>
      </c>
      <c r="Q1647" t="n">
        <v>0</v>
      </c>
      <c r="R1647" s="2" t="inlineStr"/>
    </row>
    <row r="1648" ht="15" customHeight="1">
      <c r="A1648" t="inlineStr">
        <is>
          <t>A 4407-2019</t>
        </is>
      </c>
      <c r="B1648" s="1" t="n">
        <v>43484</v>
      </c>
      <c r="C1648" s="1" t="n">
        <v>45212</v>
      </c>
      <c r="D1648" t="inlineStr">
        <is>
          <t>VÄSTRA GÖTALANDS LÄN</t>
        </is>
      </c>
      <c r="E1648" t="inlineStr">
        <is>
          <t>ÅMÅL</t>
        </is>
      </c>
      <c r="G1648" t="n">
        <v>2.2</v>
      </c>
      <c r="H1648" t="n">
        <v>0</v>
      </c>
      <c r="I1648" t="n">
        <v>0</v>
      </c>
      <c r="J1648" t="n">
        <v>0</v>
      </c>
      <c r="K1648" t="n">
        <v>0</v>
      </c>
      <c r="L1648" t="n">
        <v>0</v>
      </c>
      <c r="M1648" t="n">
        <v>0</v>
      </c>
      <c r="N1648" t="n">
        <v>0</v>
      </c>
      <c r="O1648" t="n">
        <v>0</v>
      </c>
      <c r="P1648" t="n">
        <v>0</v>
      </c>
      <c r="Q1648" t="n">
        <v>0</v>
      </c>
      <c r="R1648" s="2" t="inlineStr"/>
    </row>
    <row r="1649" ht="15" customHeight="1">
      <c r="A1649" t="inlineStr">
        <is>
          <t>A 4409-2019</t>
        </is>
      </c>
      <c r="B1649" s="1" t="n">
        <v>43484</v>
      </c>
      <c r="C1649" s="1" t="n">
        <v>45212</v>
      </c>
      <c r="D1649" t="inlineStr">
        <is>
          <t>VÄSTRA GÖTALANDS LÄN</t>
        </is>
      </c>
      <c r="E1649" t="inlineStr">
        <is>
          <t>ÅMÅL</t>
        </is>
      </c>
      <c r="G1649" t="n">
        <v>1.3</v>
      </c>
      <c r="H1649" t="n">
        <v>0</v>
      </c>
      <c r="I1649" t="n">
        <v>0</v>
      </c>
      <c r="J1649" t="n">
        <v>0</v>
      </c>
      <c r="K1649" t="n">
        <v>0</v>
      </c>
      <c r="L1649" t="n">
        <v>0</v>
      </c>
      <c r="M1649" t="n">
        <v>0</v>
      </c>
      <c r="N1649" t="n">
        <v>0</v>
      </c>
      <c r="O1649" t="n">
        <v>0</v>
      </c>
      <c r="P1649" t="n">
        <v>0</v>
      </c>
      <c r="Q1649" t="n">
        <v>0</v>
      </c>
      <c r="R1649" s="2" t="inlineStr"/>
    </row>
    <row r="1650" ht="15" customHeight="1">
      <c r="A1650" t="inlineStr">
        <is>
          <t>A 4408-2019</t>
        </is>
      </c>
      <c r="B1650" s="1" t="n">
        <v>43484</v>
      </c>
      <c r="C1650" s="1" t="n">
        <v>45212</v>
      </c>
      <c r="D1650" t="inlineStr">
        <is>
          <t>VÄSTRA GÖTALANDS LÄN</t>
        </is>
      </c>
      <c r="E1650" t="inlineStr">
        <is>
          <t>ÅMÅL</t>
        </is>
      </c>
      <c r="G1650" t="n">
        <v>1.4</v>
      </c>
      <c r="H1650" t="n">
        <v>0</v>
      </c>
      <c r="I1650" t="n">
        <v>0</v>
      </c>
      <c r="J1650" t="n">
        <v>0</v>
      </c>
      <c r="K1650" t="n">
        <v>0</v>
      </c>
      <c r="L1650" t="n">
        <v>0</v>
      </c>
      <c r="M1650" t="n">
        <v>0</v>
      </c>
      <c r="N1650" t="n">
        <v>0</v>
      </c>
      <c r="O1650" t="n">
        <v>0</v>
      </c>
      <c r="P1650" t="n">
        <v>0</v>
      </c>
      <c r="Q1650" t="n">
        <v>0</v>
      </c>
      <c r="R1650" s="2" t="inlineStr"/>
    </row>
    <row r="1651" ht="15" customHeight="1">
      <c r="A1651" t="inlineStr">
        <is>
          <t>A 4431-2019</t>
        </is>
      </c>
      <c r="B1651" s="1" t="n">
        <v>43485</v>
      </c>
      <c r="C1651" s="1" t="n">
        <v>45212</v>
      </c>
      <c r="D1651" t="inlineStr">
        <is>
          <t>VÄSTRA GÖTALANDS LÄN</t>
        </is>
      </c>
      <c r="E1651" t="inlineStr">
        <is>
          <t>ULRICEHAMN</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4437-2019</t>
        </is>
      </c>
      <c r="B1652" s="1" t="n">
        <v>43485</v>
      </c>
      <c r="C1652" s="1" t="n">
        <v>45212</v>
      </c>
      <c r="D1652" t="inlineStr">
        <is>
          <t>VÄSTRA GÖTALANDS LÄN</t>
        </is>
      </c>
      <c r="E1652" t="inlineStr">
        <is>
          <t>BOLLEBYGD</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4518-2019</t>
        </is>
      </c>
      <c r="B1653" s="1" t="n">
        <v>43486</v>
      </c>
      <c r="C1653" s="1" t="n">
        <v>45212</v>
      </c>
      <c r="D1653" t="inlineStr">
        <is>
          <t>VÄSTRA GÖTALANDS LÄN</t>
        </is>
      </c>
      <c r="E1653" t="inlineStr">
        <is>
          <t>BENGTSFORS</t>
        </is>
      </c>
      <c r="G1653" t="n">
        <v>2.1</v>
      </c>
      <c r="H1653" t="n">
        <v>0</v>
      </c>
      <c r="I1653" t="n">
        <v>0</v>
      </c>
      <c r="J1653" t="n">
        <v>0</v>
      </c>
      <c r="K1653" t="n">
        <v>0</v>
      </c>
      <c r="L1653" t="n">
        <v>0</v>
      </c>
      <c r="M1653" t="n">
        <v>0</v>
      </c>
      <c r="N1653" t="n">
        <v>0</v>
      </c>
      <c r="O1653" t="n">
        <v>0</v>
      </c>
      <c r="P1653" t="n">
        <v>0</v>
      </c>
      <c r="Q1653" t="n">
        <v>0</v>
      </c>
      <c r="R1653" s="2" t="inlineStr"/>
    </row>
    <row r="1654" ht="15" customHeight="1">
      <c r="A1654" t="inlineStr">
        <is>
          <t>A 4569-2019</t>
        </is>
      </c>
      <c r="B1654" s="1" t="n">
        <v>43486</v>
      </c>
      <c r="C1654" s="1" t="n">
        <v>45212</v>
      </c>
      <c r="D1654" t="inlineStr">
        <is>
          <t>VÄSTRA GÖTALANDS LÄN</t>
        </is>
      </c>
      <c r="E1654" t="inlineStr">
        <is>
          <t>VARA</t>
        </is>
      </c>
      <c r="F1654" t="inlineStr">
        <is>
          <t>Sveaskog</t>
        </is>
      </c>
      <c r="G1654" t="n">
        <v>1</v>
      </c>
      <c r="H1654" t="n">
        <v>0</v>
      </c>
      <c r="I1654" t="n">
        <v>0</v>
      </c>
      <c r="J1654" t="n">
        <v>0</v>
      </c>
      <c r="K1654" t="n">
        <v>0</v>
      </c>
      <c r="L1654" t="n">
        <v>0</v>
      </c>
      <c r="M1654" t="n">
        <v>0</v>
      </c>
      <c r="N1654" t="n">
        <v>0</v>
      </c>
      <c r="O1654" t="n">
        <v>0</v>
      </c>
      <c r="P1654" t="n">
        <v>0</v>
      </c>
      <c r="Q1654" t="n">
        <v>0</v>
      </c>
      <c r="R1654" s="2" t="inlineStr"/>
    </row>
    <row r="1655" ht="15" customHeight="1">
      <c r="A1655" t="inlineStr">
        <is>
          <t>A 4712-2019</t>
        </is>
      </c>
      <c r="B1655" s="1" t="n">
        <v>43486</v>
      </c>
      <c r="C1655" s="1" t="n">
        <v>45212</v>
      </c>
      <c r="D1655" t="inlineStr">
        <is>
          <t>VÄSTRA GÖTALANDS LÄN</t>
        </is>
      </c>
      <c r="E1655" t="inlineStr">
        <is>
          <t>SKÖVDE</t>
        </is>
      </c>
      <c r="G1655" t="n">
        <v>4.4</v>
      </c>
      <c r="H1655" t="n">
        <v>0</v>
      </c>
      <c r="I1655" t="n">
        <v>0</v>
      </c>
      <c r="J1655" t="n">
        <v>0</v>
      </c>
      <c r="K1655" t="n">
        <v>0</v>
      </c>
      <c r="L1655" t="n">
        <v>0</v>
      </c>
      <c r="M1655" t="n">
        <v>0</v>
      </c>
      <c r="N1655" t="n">
        <v>0</v>
      </c>
      <c r="O1655" t="n">
        <v>0</v>
      </c>
      <c r="P1655" t="n">
        <v>0</v>
      </c>
      <c r="Q1655" t="n">
        <v>0</v>
      </c>
      <c r="R1655" s="2" t="inlineStr"/>
    </row>
    <row r="1656" ht="15" customHeight="1">
      <c r="A1656" t="inlineStr">
        <is>
          <t>A 6201-2019</t>
        </is>
      </c>
      <c r="B1656" s="1" t="n">
        <v>43486</v>
      </c>
      <c r="C1656" s="1" t="n">
        <v>45212</v>
      </c>
      <c r="D1656" t="inlineStr">
        <is>
          <t>VÄSTRA GÖTALANDS LÄN</t>
        </is>
      </c>
      <c r="E1656" t="inlineStr">
        <is>
          <t>TÖREBODA</t>
        </is>
      </c>
      <c r="G1656" t="n">
        <v>0.6</v>
      </c>
      <c r="H1656" t="n">
        <v>0</v>
      </c>
      <c r="I1656" t="n">
        <v>0</v>
      </c>
      <c r="J1656" t="n">
        <v>0</v>
      </c>
      <c r="K1656" t="n">
        <v>0</v>
      </c>
      <c r="L1656" t="n">
        <v>0</v>
      </c>
      <c r="M1656" t="n">
        <v>0</v>
      </c>
      <c r="N1656" t="n">
        <v>0</v>
      </c>
      <c r="O1656" t="n">
        <v>0</v>
      </c>
      <c r="P1656" t="n">
        <v>0</v>
      </c>
      <c r="Q1656" t="n">
        <v>0</v>
      </c>
      <c r="R1656" s="2" t="inlineStr"/>
    </row>
    <row r="1657" ht="15" customHeight="1">
      <c r="A1657" t="inlineStr">
        <is>
          <t>A 4516-2019</t>
        </is>
      </c>
      <c r="B1657" s="1" t="n">
        <v>43486</v>
      </c>
      <c r="C1657" s="1" t="n">
        <v>45212</v>
      </c>
      <c r="D1657" t="inlineStr">
        <is>
          <t>VÄSTRA GÖTALANDS LÄN</t>
        </is>
      </c>
      <c r="E1657" t="inlineStr">
        <is>
          <t>HÄRRYDA</t>
        </is>
      </c>
      <c r="G1657" t="n">
        <v>2.1</v>
      </c>
      <c r="H1657" t="n">
        <v>0</v>
      </c>
      <c r="I1657" t="n">
        <v>0</v>
      </c>
      <c r="J1657" t="n">
        <v>0</v>
      </c>
      <c r="K1657" t="n">
        <v>0</v>
      </c>
      <c r="L1657" t="n">
        <v>0</v>
      </c>
      <c r="M1657" t="n">
        <v>0</v>
      </c>
      <c r="N1657" t="n">
        <v>0</v>
      </c>
      <c r="O1657" t="n">
        <v>0</v>
      </c>
      <c r="P1657" t="n">
        <v>0</v>
      </c>
      <c r="Q1657" t="n">
        <v>0</v>
      </c>
      <c r="R1657" s="2" t="inlineStr"/>
    </row>
    <row r="1658" ht="15" customHeight="1">
      <c r="A1658" t="inlineStr">
        <is>
          <t>A 4752-2019</t>
        </is>
      </c>
      <c r="B1658" s="1" t="n">
        <v>43486</v>
      </c>
      <c r="C1658" s="1" t="n">
        <v>45212</v>
      </c>
      <c r="D1658" t="inlineStr">
        <is>
          <t>VÄSTRA GÖTALANDS LÄN</t>
        </is>
      </c>
      <c r="E1658" t="inlineStr">
        <is>
          <t>ULRICEHAMN</t>
        </is>
      </c>
      <c r="G1658" t="n">
        <v>0.3</v>
      </c>
      <c r="H1658" t="n">
        <v>0</v>
      </c>
      <c r="I1658" t="n">
        <v>0</v>
      </c>
      <c r="J1658" t="n">
        <v>0</v>
      </c>
      <c r="K1658" t="n">
        <v>0</v>
      </c>
      <c r="L1658" t="n">
        <v>0</v>
      </c>
      <c r="M1658" t="n">
        <v>0</v>
      </c>
      <c r="N1658" t="n">
        <v>0</v>
      </c>
      <c r="O1658" t="n">
        <v>0</v>
      </c>
      <c r="P1658" t="n">
        <v>0</v>
      </c>
      <c r="Q1658" t="n">
        <v>0</v>
      </c>
      <c r="R1658" s="2" t="inlineStr"/>
    </row>
    <row r="1659" ht="15" customHeight="1">
      <c r="A1659" t="inlineStr">
        <is>
          <t>A 6129-2019</t>
        </is>
      </c>
      <c r="B1659" s="1" t="n">
        <v>43486</v>
      </c>
      <c r="C1659" s="1" t="n">
        <v>45212</v>
      </c>
      <c r="D1659" t="inlineStr">
        <is>
          <t>VÄSTRA GÖTALANDS LÄN</t>
        </is>
      </c>
      <c r="E1659" t="inlineStr">
        <is>
          <t>SKÖVDE</t>
        </is>
      </c>
      <c r="G1659" t="n">
        <v>5.3</v>
      </c>
      <c r="H1659" t="n">
        <v>0</v>
      </c>
      <c r="I1659" t="n">
        <v>0</v>
      </c>
      <c r="J1659" t="n">
        <v>0</v>
      </c>
      <c r="K1659" t="n">
        <v>0</v>
      </c>
      <c r="L1659" t="n">
        <v>0</v>
      </c>
      <c r="M1659" t="n">
        <v>0</v>
      </c>
      <c r="N1659" t="n">
        <v>0</v>
      </c>
      <c r="O1659" t="n">
        <v>0</v>
      </c>
      <c r="P1659" t="n">
        <v>0</v>
      </c>
      <c r="Q1659" t="n">
        <v>0</v>
      </c>
      <c r="R1659" s="2" t="inlineStr"/>
    </row>
    <row r="1660" ht="15" customHeight="1">
      <c r="A1660" t="inlineStr">
        <is>
          <t>A 6183-2019</t>
        </is>
      </c>
      <c r="B1660" s="1" t="n">
        <v>43486</v>
      </c>
      <c r="C1660" s="1" t="n">
        <v>45212</v>
      </c>
      <c r="D1660" t="inlineStr">
        <is>
          <t>VÄSTRA GÖTALANDS LÄN</t>
        </is>
      </c>
      <c r="E1660" t="inlineStr">
        <is>
          <t>TANUM</t>
        </is>
      </c>
      <c r="G1660" t="n">
        <v>7.6</v>
      </c>
      <c r="H1660" t="n">
        <v>0</v>
      </c>
      <c r="I1660" t="n">
        <v>0</v>
      </c>
      <c r="J1660" t="n">
        <v>0</v>
      </c>
      <c r="K1660" t="n">
        <v>0</v>
      </c>
      <c r="L1660" t="n">
        <v>0</v>
      </c>
      <c r="M1660" t="n">
        <v>0</v>
      </c>
      <c r="N1660" t="n">
        <v>0</v>
      </c>
      <c r="O1660" t="n">
        <v>0</v>
      </c>
      <c r="P1660" t="n">
        <v>0</v>
      </c>
      <c r="Q1660" t="n">
        <v>0</v>
      </c>
      <c r="R1660" s="2" t="inlineStr"/>
    </row>
    <row r="1661" ht="15" customHeight="1">
      <c r="A1661" t="inlineStr">
        <is>
          <t>A 6507-2019</t>
        </is>
      </c>
      <c r="B1661" s="1" t="n">
        <v>43486</v>
      </c>
      <c r="C1661" s="1" t="n">
        <v>45212</v>
      </c>
      <c r="D1661" t="inlineStr">
        <is>
          <t>VÄSTRA GÖTALANDS LÄN</t>
        </is>
      </c>
      <c r="E1661" t="inlineStr">
        <is>
          <t>TRANEMO</t>
        </is>
      </c>
      <c r="G1661" t="n">
        <v>2.3</v>
      </c>
      <c r="H1661" t="n">
        <v>0</v>
      </c>
      <c r="I1661" t="n">
        <v>0</v>
      </c>
      <c r="J1661" t="n">
        <v>0</v>
      </c>
      <c r="K1661" t="n">
        <v>0</v>
      </c>
      <c r="L1661" t="n">
        <v>0</v>
      </c>
      <c r="M1661" t="n">
        <v>0</v>
      </c>
      <c r="N1661" t="n">
        <v>0</v>
      </c>
      <c r="O1661" t="n">
        <v>0</v>
      </c>
      <c r="P1661" t="n">
        <v>0</v>
      </c>
      <c r="Q1661" t="n">
        <v>0</v>
      </c>
      <c r="R1661" s="2" t="inlineStr"/>
    </row>
    <row r="1662" ht="15" customHeight="1">
      <c r="A1662" t="inlineStr">
        <is>
          <t>A 4526-2019</t>
        </is>
      </c>
      <c r="B1662" s="1" t="n">
        <v>43486</v>
      </c>
      <c r="C1662" s="1" t="n">
        <v>45212</v>
      </c>
      <c r="D1662" t="inlineStr">
        <is>
          <t>VÄSTRA GÖTALANDS LÄN</t>
        </is>
      </c>
      <c r="E1662" t="inlineStr">
        <is>
          <t>HÄRRYDA</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4538-2019</t>
        </is>
      </c>
      <c r="B1663" s="1" t="n">
        <v>43486</v>
      </c>
      <c r="C1663" s="1" t="n">
        <v>45212</v>
      </c>
      <c r="D1663" t="inlineStr">
        <is>
          <t>VÄSTRA GÖTALANDS LÄN</t>
        </is>
      </c>
      <c r="E1663" t="inlineStr">
        <is>
          <t>STRÖMSTAD</t>
        </is>
      </c>
      <c r="G1663" t="n">
        <v>0.4</v>
      </c>
      <c r="H1663" t="n">
        <v>0</v>
      </c>
      <c r="I1663" t="n">
        <v>0</v>
      </c>
      <c r="J1663" t="n">
        <v>0</v>
      </c>
      <c r="K1663" t="n">
        <v>0</v>
      </c>
      <c r="L1663" t="n">
        <v>0</v>
      </c>
      <c r="M1663" t="n">
        <v>0</v>
      </c>
      <c r="N1663" t="n">
        <v>0</v>
      </c>
      <c r="O1663" t="n">
        <v>0</v>
      </c>
      <c r="P1663" t="n">
        <v>0</v>
      </c>
      <c r="Q1663" t="n">
        <v>0</v>
      </c>
      <c r="R1663" s="2" t="inlineStr"/>
    </row>
    <row r="1664" ht="15" customHeight="1">
      <c r="A1664" t="inlineStr">
        <is>
          <t>A 4770-2019</t>
        </is>
      </c>
      <c r="B1664" s="1" t="n">
        <v>43486</v>
      </c>
      <c r="C1664" s="1" t="n">
        <v>45212</v>
      </c>
      <c r="D1664" t="inlineStr">
        <is>
          <t>VÄSTRA GÖTALANDS LÄN</t>
        </is>
      </c>
      <c r="E1664" t="inlineStr">
        <is>
          <t>SVENLJUNGA</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6260-2019</t>
        </is>
      </c>
      <c r="B1665" s="1" t="n">
        <v>43486</v>
      </c>
      <c r="C1665" s="1" t="n">
        <v>45212</v>
      </c>
      <c r="D1665" t="inlineStr">
        <is>
          <t>VÄSTRA GÖTALANDS LÄN</t>
        </is>
      </c>
      <c r="E1665" t="inlineStr">
        <is>
          <t>TIBRO</t>
        </is>
      </c>
      <c r="G1665" t="n">
        <v>1.8</v>
      </c>
      <c r="H1665" t="n">
        <v>0</v>
      </c>
      <c r="I1665" t="n">
        <v>0</v>
      </c>
      <c r="J1665" t="n">
        <v>0</v>
      </c>
      <c r="K1665" t="n">
        <v>0</v>
      </c>
      <c r="L1665" t="n">
        <v>0</v>
      </c>
      <c r="M1665" t="n">
        <v>0</v>
      </c>
      <c r="N1665" t="n">
        <v>0</v>
      </c>
      <c r="O1665" t="n">
        <v>0</v>
      </c>
      <c r="P1665" t="n">
        <v>0</v>
      </c>
      <c r="Q1665" t="n">
        <v>0</v>
      </c>
      <c r="R1665" s="2" t="inlineStr"/>
    </row>
    <row r="1666" ht="15" customHeight="1">
      <c r="A1666" t="inlineStr">
        <is>
          <t>A 4661-2019</t>
        </is>
      </c>
      <c r="B1666" s="1" t="n">
        <v>43486</v>
      </c>
      <c r="C1666" s="1" t="n">
        <v>45212</v>
      </c>
      <c r="D1666" t="inlineStr">
        <is>
          <t>VÄSTRA GÖTALANDS LÄN</t>
        </is>
      </c>
      <c r="E1666" t="inlineStr">
        <is>
          <t>FALKÖPING</t>
        </is>
      </c>
      <c r="G1666" t="n">
        <v>0.5</v>
      </c>
      <c r="H1666" t="n">
        <v>0</v>
      </c>
      <c r="I1666" t="n">
        <v>0</v>
      </c>
      <c r="J1666" t="n">
        <v>0</v>
      </c>
      <c r="K1666" t="n">
        <v>0</v>
      </c>
      <c r="L1666" t="n">
        <v>0</v>
      </c>
      <c r="M1666" t="n">
        <v>0</v>
      </c>
      <c r="N1666" t="n">
        <v>0</v>
      </c>
      <c r="O1666" t="n">
        <v>0</v>
      </c>
      <c r="P1666" t="n">
        <v>0</v>
      </c>
      <c r="Q1666" t="n">
        <v>0</v>
      </c>
      <c r="R1666" s="2" t="inlineStr"/>
    </row>
    <row r="1667" ht="15" customHeight="1">
      <c r="A1667" t="inlineStr">
        <is>
          <t>A 4768-2019</t>
        </is>
      </c>
      <c r="B1667" s="1" t="n">
        <v>43486</v>
      </c>
      <c r="C1667" s="1" t="n">
        <v>45212</v>
      </c>
      <c r="D1667" t="inlineStr">
        <is>
          <t>VÄSTRA GÖTALANDS LÄN</t>
        </is>
      </c>
      <c r="E1667" t="inlineStr">
        <is>
          <t>ORUST</t>
        </is>
      </c>
      <c r="G1667" t="n">
        <v>1.2</v>
      </c>
      <c r="H1667" t="n">
        <v>0</v>
      </c>
      <c r="I1667" t="n">
        <v>0</v>
      </c>
      <c r="J1667" t="n">
        <v>0</v>
      </c>
      <c r="K1667" t="n">
        <v>0</v>
      </c>
      <c r="L1667" t="n">
        <v>0</v>
      </c>
      <c r="M1667" t="n">
        <v>0</v>
      </c>
      <c r="N1667" t="n">
        <v>0</v>
      </c>
      <c r="O1667" t="n">
        <v>0</v>
      </c>
      <c r="P1667" t="n">
        <v>0</v>
      </c>
      <c r="Q1667" t="n">
        <v>0</v>
      </c>
      <c r="R1667" s="2" t="inlineStr"/>
    </row>
    <row r="1668" ht="15" customHeight="1">
      <c r="A1668" t="inlineStr">
        <is>
          <t>A 6153-2019</t>
        </is>
      </c>
      <c r="B1668" s="1" t="n">
        <v>43486</v>
      </c>
      <c r="C1668" s="1" t="n">
        <v>45212</v>
      </c>
      <c r="D1668" t="inlineStr">
        <is>
          <t>VÄSTRA GÖTALANDS LÄN</t>
        </is>
      </c>
      <c r="E1668" t="inlineStr">
        <is>
          <t>UDDEVALLA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6204-2019</t>
        </is>
      </c>
      <c r="B1669" s="1" t="n">
        <v>43486</v>
      </c>
      <c r="C1669" s="1" t="n">
        <v>45212</v>
      </c>
      <c r="D1669" t="inlineStr">
        <is>
          <t>VÄSTRA GÖTALANDS LÄN</t>
        </is>
      </c>
      <c r="E1669" t="inlineStr">
        <is>
          <t>TÖREBODA</t>
        </is>
      </c>
      <c r="G1669" t="n">
        <v>0.8</v>
      </c>
      <c r="H1669" t="n">
        <v>0</v>
      </c>
      <c r="I1669" t="n">
        <v>0</v>
      </c>
      <c r="J1669" t="n">
        <v>0</v>
      </c>
      <c r="K1669" t="n">
        <v>0</v>
      </c>
      <c r="L1669" t="n">
        <v>0</v>
      </c>
      <c r="M1669" t="n">
        <v>0</v>
      </c>
      <c r="N1669" t="n">
        <v>0</v>
      </c>
      <c r="O1669" t="n">
        <v>0</v>
      </c>
      <c r="P1669" t="n">
        <v>0</v>
      </c>
      <c r="Q1669" t="n">
        <v>0</v>
      </c>
      <c r="R1669" s="2" t="inlineStr"/>
    </row>
    <row r="1670" ht="15" customHeight="1">
      <c r="A1670" t="inlineStr">
        <is>
          <t>A 4925-2019</t>
        </is>
      </c>
      <c r="B1670" s="1" t="n">
        <v>43487</v>
      </c>
      <c r="C1670" s="1" t="n">
        <v>45212</v>
      </c>
      <c r="D1670" t="inlineStr">
        <is>
          <t>VÄSTRA GÖTALANDS LÄN</t>
        </is>
      </c>
      <c r="E1670" t="inlineStr">
        <is>
          <t>MARK</t>
        </is>
      </c>
      <c r="G1670" t="n">
        <v>3.5</v>
      </c>
      <c r="H1670" t="n">
        <v>0</v>
      </c>
      <c r="I1670" t="n">
        <v>0</v>
      </c>
      <c r="J1670" t="n">
        <v>0</v>
      </c>
      <c r="K1670" t="n">
        <v>0</v>
      </c>
      <c r="L1670" t="n">
        <v>0</v>
      </c>
      <c r="M1670" t="n">
        <v>0</v>
      </c>
      <c r="N1670" t="n">
        <v>0</v>
      </c>
      <c r="O1670" t="n">
        <v>0</v>
      </c>
      <c r="P1670" t="n">
        <v>0</v>
      </c>
      <c r="Q1670" t="n">
        <v>0</v>
      </c>
      <c r="R1670" s="2" t="inlineStr"/>
    </row>
    <row r="1671" ht="15" customHeight="1">
      <c r="A1671" t="inlineStr">
        <is>
          <t>A 4982-2019</t>
        </is>
      </c>
      <c r="B1671" s="1" t="n">
        <v>43487</v>
      </c>
      <c r="C1671" s="1" t="n">
        <v>45212</v>
      </c>
      <c r="D1671" t="inlineStr">
        <is>
          <t>VÄSTRA GÖTALANDS LÄN</t>
        </is>
      </c>
      <c r="E1671" t="inlineStr">
        <is>
          <t>TROLLHÄTTAN</t>
        </is>
      </c>
      <c r="G1671" t="n">
        <v>0.9</v>
      </c>
      <c r="H1671" t="n">
        <v>0</v>
      </c>
      <c r="I1671" t="n">
        <v>0</v>
      </c>
      <c r="J1671" t="n">
        <v>0</v>
      </c>
      <c r="K1671" t="n">
        <v>0</v>
      </c>
      <c r="L1671" t="n">
        <v>0</v>
      </c>
      <c r="M1671" t="n">
        <v>0</v>
      </c>
      <c r="N1671" t="n">
        <v>0</v>
      </c>
      <c r="O1671" t="n">
        <v>0</v>
      </c>
      <c r="P1671" t="n">
        <v>0</v>
      </c>
      <c r="Q1671" t="n">
        <v>0</v>
      </c>
      <c r="R1671" s="2" t="inlineStr"/>
    </row>
    <row r="1672" ht="15" customHeight="1">
      <c r="A1672" t="inlineStr">
        <is>
          <t>A 5067-2019</t>
        </is>
      </c>
      <c r="B1672" s="1" t="n">
        <v>43487</v>
      </c>
      <c r="C1672" s="1" t="n">
        <v>45212</v>
      </c>
      <c r="D1672" t="inlineStr">
        <is>
          <t>VÄSTRA GÖTALANDS LÄN</t>
        </is>
      </c>
      <c r="E1672" t="inlineStr">
        <is>
          <t>DALS-ED</t>
        </is>
      </c>
      <c r="G1672" t="n">
        <v>8.1</v>
      </c>
      <c r="H1672" t="n">
        <v>0</v>
      </c>
      <c r="I1672" t="n">
        <v>0</v>
      </c>
      <c r="J1672" t="n">
        <v>0</v>
      </c>
      <c r="K1672" t="n">
        <v>0</v>
      </c>
      <c r="L1672" t="n">
        <v>0</v>
      </c>
      <c r="M1672" t="n">
        <v>0</v>
      </c>
      <c r="N1672" t="n">
        <v>0</v>
      </c>
      <c r="O1672" t="n">
        <v>0</v>
      </c>
      <c r="P1672" t="n">
        <v>0</v>
      </c>
      <c r="Q1672" t="n">
        <v>0</v>
      </c>
      <c r="R1672" s="2" t="inlineStr"/>
    </row>
    <row r="1673" ht="15" customHeight="1">
      <c r="A1673" t="inlineStr">
        <is>
          <t>A 6617-2019</t>
        </is>
      </c>
      <c r="B1673" s="1" t="n">
        <v>43487</v>
      </c>
      <c r="C1673" s="1" t="n">
        <v>45212</v>
      </c>
      <c r="D1673" t="inlineStr">
        <is>
          <t>VÄSTRA GÖTALANDS LÄN</t>
        </is>
      </c>
      <c r="E1673" t="inlineStr">
        <is>
          <t>UDDEVALLA</t>
        </is>
      </c>
      <c r="F1673" t="inlineStr">
        <is>
          <t>Kyrkan</t>
        </is>
      </c>
      <c r="G1673" t="n">
        <v>3.9</v>
      </c>
      <c r="H1673" t="n">
        <v>0</v>
      </c>
      <c r="I1673" t="n">
        <v>0</v>
      </c>
      <c r="J1673" t="n">
        <v>0</v>
      </c>
      <c r="K1673" t="n">
        <v>0</v>
      </c>
      <c r="L1673" t="n">
        <v>0</v>
      </c>
      <c r="M1673" t="n">
        <v>0</v>
      </c>
      <c r="N1673" t="n">
        <v>0</v>
      </c>
      <c r="O1673" t="n">
        <v>0</v>
      </c>
      <c r="P1673" t="n">
        <v>0</v>
      </c>
      <c r="Q1673" t="n">
        <v>0</v>
      </c>
      <c r="R1673" s="2" t="inlineStr"/>
    </row>
    <row r="1674" ht="15" customHeight="1">
      <c r="A1674" t="inlineStr">
        <is>
          <t>A 6721-2019</t>
        </is>
      </c>
      <c r="B1674" s="1" t="n">
        <v>43487</v>
      </c>
      <c r="C1674" s="1" t="n">
        <v>45212</v>
      </c>
      <c r="D1674" t="inlineStr">
        <is>
          <t>VÄSTRA GÖTALANDS LÄN</t>
        </is>
      </c>
      <c r="E1674" t="inlineStr">
        <is>
          <t>HJO</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4846-2019</t>
        </is>
      </c>
      <c r="B1675" s="1" t="n">
        <v>43487</v>
      </c>
      <c r="C1675" s="1" t="n">
        <v>45212</v>
      </c>
      <c r="D1675" t="inlineStr">
        <is>
          <t>VÄSTRA GÖTALANDS LÄN</t>
        </is>
      </c>
      <c r="E1675" t="inlineStr">
        <is>
          <t>TIBRO</t>
        </is>
      </c>
      <c r="G1675" t="n">
        <v>10.7</v>
      </c>
      <c r="H1675" t="n">
        <v>0</v>
      </c>
      <c r="I1675" t="n">
        <v>0</v>
      </c>
      <c r="J1675" t="n">
        <v>0</v>
      </c>
      <c r="K1675" t="n">
        <v>0</v>
      </c>
      <c r="L1675" t="n">
        <v>0</v>
      </c>
      <c r="M1675" t="n">
        <v>0</v>
      </c>
      <c r="N1675" t="n">
        <v>0</v>
      </c>
      <c r="O1675" t="n">
        <v>0</v>
      </c>
      <c r="P1675" t="n">
        <v>0</v>
      </c>
      <c r="Q1675" t="n">
        <v>0</v>
      </c>
      <c r="R1675" s="2" t="inlineStr"/>
    </row>
    <row r="1676" ht="15" customHeight="1">
      <c r="A1676" t="inlineStr">
        <is>
          <t>A 6149-2019</t>
        </is>
      </c>
      <c r="B1676" s="1" t="n">
        <v>43487</v>
      </c>
      <c r="C1676" s="1" t="n">
        <v>45212</v>
      </c>
      <c r="D1676" t="inlineStr">
        <is>
          <t>VÄSTRA GÖTALANDS LÄN</t>
        </is>
      </c>
      <c r="E1676" t="inlineStr">
        <is>
          <t>VÄNERSBORG</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4844-2019</t>
        </is>
      </c>
      <c r="B1677" s="1" t="n">
        <v>43487</v>
      </c>
      <c r="C1677" s="1" t="n">
        <v>45212</v>
      </c>
      <c r="D1677" t="inlineStr">
        <is>
          <t>VÄSTRA GÖTALANDS LÄN</t>
        </is>
      </c>
      <c r="E1677" t="inlineStr">
        <is>
          <t>TIBRO</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4869-2019</t>
        </is>
      </c>
      <c r="B1678" s="1" t="n">
        <v>43487</v>
      </c>
      <c r="C1678" s="1" t="n">
        <v>45212</v>
      </c>
      <c r="D1678" t="inlineStr">
        <is>
          <t>VÄSTRA GÖTALANDS LÄN</t>
        </is>
      </c>
      <c r="E1678" t="inlineStr">
        <is>
          <t>BORÅS</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4960-2019</t>
        </is>
      </c>
      <c r="B1679" s="1" t="n">
        <v>43487</v>
      </c>
      <c r="C1679" s="1" t="n">
        <v>45212</v>
      </c>
      <c r="D1679" t="inlineStr">
        <is>
          <t>VÄSTRA GÖTALANDS LÄN</t>
        </is>
      </c>
      <c r="E1679" t="inlineStr">
        <is>
          <t>HÄRRYDA</t>
        </is>
      </c>
      <c r="G1679" t="n">
        <v>2.3</v>
      </c>
      <c r="H1679" t="n">
        <v>0</v>
      </c>
      <c r="I1679" t="n">
        <v>0</v>
      </c>
      <c r="J1679" t="n">
        <v>0</v>
      </c>
      <c r="K1679" t="n">
        <v>0</v>
      </c>
      <c r="L1679" t="n">
        <v>0</v>
      </c>
      <c r="M1679" t="n">
        <v>0</v>
      </c>
      <c r="N1679" t="n">
        <v>0</v>
      </c>
      <c r="O1679" t="n">
        <v>0</v>
      </c>
      <c r="P1679" t="n">
        <v>0</v>
      </c>
      <c r="Q1679" t="n">
        <v>0</v>
      </c>
      <c r="R1679" s="2" t="inlineStr"/>
    </row>
    <row r="1680" ht="15" customHeight="1">
      <c r="A1680" t="inlineStr">
        <is>
          <t>A 4971-2019</t>
        </is>
      </c>
      <c r="B1680" s="1" t="n">
        <v>43487</v>
      </c>
      <c r="C1680" s="1" t="n">
        <v>45212</v>
      </c>
      <c r="D1680" t="inlineStr">
        <is>
          <t>VÄSTRA GÖTALANDS LÄN</t>
        </is>
      </c>
      <c r="E1680" t="inlineStr">
        <is>
          <t>LERUM</t>
        </is>
      </c>
      <c r="G1680" t="n">
        <v>1.9</v>
      </c>
      <c r="H1680" t="n">
        <v>0</v>
      </c>
      <c r="I1680" t="n">
        <v>0</v>
      </c>
      <c r="J1680" t="n">
        <v>0</v>
      </c>
      <c r="K1680" t="n">
        <v>0</v>
      </c>
      <c r="L1680" t="n">
        <v>0</v>
      </c>
      <c r="M1680" t="n">
        <v>0</v>
      </c>
      <c r="N1680" t="n">
        <v>0</v>
      </c>
      <c r="O1680" t="n">
        <v>0</v>
      </c>
      <c r="P1680" t="n">
        <v>0</v>
      </c>
      <c r="Q1680" t="n">
        <v>0</v>
      </c>
      <c r="R1680" s="2" t="inlineStr"/>
    </row>
    <row r="1681" ht="15" customHeight="1">
      <c r="A1681" t="inlineStr">
        <is>
          <t>A 4843-2019</t>
        </is>
      </c>
      <c r="B1681" s="1" t="n">
        <v>43487</v>
      </c>
      <c r="C1681" s="1" t="n">
        <v>45212</v>
      </c>
      <c r="D1681" t="inlineStr">
        <is>
          <t>VÄSTRA GÖTALANDS LÄN</t>
        </is>
      </c>
      <c r="E1681" t="inlineStr">
        <is>
          <t>TIBRO</t>
        </is>
      </c>
      <c r="G1681" t="n">
        <v>4.6</v>
      </c>
      <c r="H1681" t="n">
        <v>0</v>
      </c>
      <c r="I1681" t="n">
        <v>0</v>
      </c>
      <c r="J1681" t="n">
        <v>0</v>
      </c>
      <c r="K1681" t="n">
        <v>0</v>
      </c>
      <c r="L1681" t="n">
        <v>0</v>
      </c>
      <c r="M1681" t="n">
        <v>0</v>
      </c>
      <c r="N1681" t="n">
        <v>0</v>
      </c>
      <c r="O1681" t="n">
        <v>0</v>
      </c>
      <c r="P1681" t="n">
        <v>0</v>
      </c>
      <c r="Q1681" t="n">
        <v>0</v>
      </c>
      <c r="R1681" s="2" t="inlineStr"/>
    </row>
    <row r="1682" ht="15" customHeight="1">
      <c r="A1682" t="inlineStr">
        <is>
          <t>A 4917-2019</t>
        </is>
      </c>
      <c r="B1682" s="1" t="n">
        <v>43487</v>
      </c>
      <c r="C1682" s="1" t="n">
        <v>45212</v>
      </c>
      <c r="D1682" t="inlineStr">
        <is>
          <t>VÄSTRA GÖTALANDS LÄN</t>
        </is>
      </c>
      <c r="E1682" t="inlineStr">
        <is>
          <t>TÖREBODA</t>
        </is>
      </c>
      <c r="G1682" t="n">
        <v>1.5</v>
      </c>
      <c r="H1682" t="n">
        <v>0</v>
      </c>
      <c r="I1682" t="n">
        <v>0</v>
      </c>
      <c r="J1682" t="n">
        <v>0</v>
      </c>
      <c r="K1682" t="n">
        <v>0</v>
      </c>
      <c r="L1682" t="n">
        <v>0</v>
      </c>
      <c r="M1682" t="n">
        <v>0</v>
      </c>
      <c r="N1682" t="n">
        <v>0</v>
      </c>
      <c r="O1682" t="n">
        <v>0</v>
      </c>
      <c r="P1682" t="n">
        <v>0</v>
      </c>
      <c r="Q1682" t="n">
        <v>0</v>
      </c>
      <c r="R1682" s="2" t="inlineStr"/>
    </row>
    <row r="1683" ht="15" customHeight="1">
      <c r="A1683" t="inlineStr">
        <is>
          <t>A 4970-2019</t>
        </is>
      </c>
      <c r="B1683" s="1" t="n">
        <v>43487</v>
      </c>
      <c r="C1683" s="1" t="n">
        <v>45212</v>
      </c>
      <c r="D1683" t="inlineStr">
        <is>
          <t>VÄSTRA GÖTALANDS LÄN</t>
        </is>
      </c>
      <c r="E1683" t="inlineStr">
        <is>
          <t>MARIESTAD</t>
        </is>
      </c>
      <c r="G1683" t="n">
        <v>3.7</v>
      </c>
      <c r="H1683" t="n">
        <v>0</v>
      </c>
      <c r="I1683" t="n">
        <v>0</v>
      </c>
      <c r="J1683" t="n">
        <v>0</v>
      </c>
      <c r="K1683" t="n">
        <v>0</v>
      </c>
      <c r="L1683" t="n">
        <v>0</v>
      </c>
      <c r="M1683" t="n">
        <v>0</v>
      </c>
      <c r="N1683" t="n">
        <v>0</v>
      </c>
      <c r="O1683" t="n">
        <v>0</v>
      </c>
      <c r="P1683" t="n">
        <v>0</v>
      </c>
      <c r="Q1683" t="n">
        <v>0</v>
      </c>
      <c r="R1683" s="2" t="inlineStr"/>
    </row>
    <row r="1684" ht="15" customHeight="1">
      <c r="A1684" t="inlineStr">
        <is>
          <t>A 5034-2019</t>
        </is>
      </c>
      <c r="B1684" s="1" t="n">
        <v>43487</v>
      </c>
      <c r="C1684" s="1" t="n">
        <v>45212</v>
      </c>
      <c r="D1684" t="inlineStr">
        <is>
          <t>VÄSTRA GÖTALANDS LÄN</t>
        </is>
      </c>
      <c r="E1684" t="inlineStr">
        <is>
          <t>STRÖMSTAD</t>
        </is>
      </c>
      <c r="G1684" t="n">
        <v>1.1</v>
      </c>
      <c r="H1684" t="n">
        <v>0</v>
      </c>
      <c r="I1684" t="n">
        <v>0</v>
      </c>
      <c r="J1684" t="n">
        <v>0</v>
      </c>
      <c r="K1684" t="n">
        <v>0</v>
      </c>
      <c r="L1684" t="n">
        <v>0</v>
      </c>
      <c r="M1684" t="n">
        <v>0</v>
      </c>
      <c r="N1684" t="n">
        <v>0</v>
      </c>
      <c r="O1684" t="n">
        <v>0</v>
      </c>
      <c r="P1684" t="n">
        <v>0</v>
      </c>
      <c r="Q1684" t="n">
        <v>0</v>
      </c>
      <c r="R1684" s="2" t="inlineStr"/>
    </row>
    <row r="1685" ht="15" customHeight="1">
      <c r="A1685" t="inlineStr">
        <is>
          <t>A 5045-2019</t>
        </is>
      </c>
      <c r="B1685" s="1" t="n">
        <v>43487</v>
      </c>
      <c r="C1685" s="1" t="n">
        <v>45212</v>
      </c>
      <c r="D1685" t="inlineStr">
        <is>
          <t>VÄSTRA GÖTALANDS LÄN</t>
        </is>
      </c>
      <c r="E1685" t="inlineStr">
        <is>
          <t>ÅMÅL</t>
        </is>
      </c>
      <c r="G1685" t="n">
        <v>2.9</v>
      </c>
      <c r="H1685" t="n">
        <v>0</v>
      </c>
      <c r="I1685" t="n">
        <v>0</v>
      </c>
      <c r="J1685" t="n">
        <v>0</v>
      </c>
      <c r="K1685" t="n">
        <v>0</v>
      </c>
      <c r="L1685" t="n">
        <v>0</v>
      </c>
      <c r="M1685" t="n">
        <v>0</v>
      </c>
      <c r="N1685" t="n">
        <v>0</v>
      </c>
      <c r="O1685" t="n">
        <v>0</v>
      </c>
      <c r="P1685" t="n">
        <v>0</v>
      </c>
      <c r="Q1685" t="n">
        <v>0</v>
      </c>
      <c r="R1685" s="2" t="inlineStr"/>
    </row>
    <row r="1686" ht="15" customHeight="1">
      <c r="A1686" t="inlineStr">
        <is>
          <t>A 6723-2019</t>
        </is>
      </c>
      <c r="B1686" s="1" t="n">
        <v>43487</v>
      </c>
      <c r="C1686" s="1" t="n">
        <v>45212</v>
      </c>
      <c r="D1686" t="inlineStr">
        <is>
          <t>VÄSTRA GÖTALANDS LÄN</t>
        </is>
      </c>
      <c r="E1686" t="inlineStr">
        <is>
          <t>ORUST</t>
        </is>
      </c>
      <c r="G1686" t="n">
        <v>0.2</v>
      </c>
      <c r="H1686" t="n">
        <v>0</v>
      </c>
      <c r="I1686" t="n">
        <v>0</v>
      </c>
      <c r="J1686" t="n">
        <v>0</v>
      </c>
      <c r="K1686" t="n">
        <v>0</v>
      </c>
      <c r="L1686" t="n">
        <v>0</v>
      </c>
      <c r="M1686" t="n">
        <v>0</v>
      </c>
      <c r="N1686" t="n">
        <v>0</v>
      </c>
      <c r="O1686" t="n">
        <v>0</v>
      </c>
      <c r="P1686" t="n">
        <v>0</v>
      </c>
      <c r="Q1686" t="n">
        <v>0</v>
      </c>
      <c r="R1686" s="2" t="inlineStr"/>
    </row>
    <row r="1687" ht="15" customHeight="1">
      <c r="A1687" t="inlineStr">
        <is>
          <t>A 5290-2019</t>
        </is>
      </c>
      <c r="B1687" s="1" t="n">
        <v>43488</v>
      </c>
      <c r="C1687" s="1" t="n">
        <v>45212</v>
      </c>
      <c r="D1687" t="inlineStr">
        <is>
          <t>VÄSTRA GÖTALANDS LÄN</t>
        </is>
      </c>
      <c r="E1687" t="inlineStr">
        <is>
          <t>SKÖVDE</t>
        </is>
      </c>
      <c r="G1687" t="n">
        <v>0.9</v>
      </c>
      <c r="H1687" t="n">
        <v>0</v>
      </c>
      <c r="I1687" t="n">
        <v>0</v>
      </c>
      <c r="J1687" t="n">
        <v>0</v>
      </c>
      <c r="K1687" t="n">
        <v>0</v>
      </c>
      <c r="L1687" t="n">
        <v>0</v>
      </c>
      <c r="M1687" t="n">
        <v>0</v>
      </c>
      <c r="N1687" t="n">
        <v>0</v>
      </c>
      <c r="O1687" t="n">
        <v>0</v>
      </c>
      <c r="P1687" t="n">
        <v>0</v>
      </c>
      <c r="Q1687" t="n">
        <v>0</v>
      </c>
      <c r="R1687" s="2" t="inlineStr"/>
    </row>
    <row r="1688" ht="15" customHeight="1">
      <c r="A1688" t="inlineStr">
        <is>
          <t>A 5341-2019</t>
        </is>
      </c>
      <c r="B1688" s="1" t="n">
        <v>43488</v>
      </c>
      <c r="C1688" s="1" t="n">
        <v>45212</v>
      </c>
      <c r="D1688" t="inlineStr">
        <is>
          <t>VÄSTRA GÖTALANDS LÄN</t>
        </is>
      </c>
      <c r="E1688" t="inlineStr">
        <is>
          <t>FÄRGELANDA</t>
        </is>
      </c>
      <c r="G1688" t="n">
        <v>4.8</v>
      </c>
      <c r="H1688" t="n">
        <v>0</v>
      </c>
      <c r="I1688" t="n">
        <v>0</v>
      </c>
      <c r="J1688" t="n">
        <v>0</v>
      </c>
      <c r="K1688" t="n">
        <v>0</v>
      </c>
      <c r="L1688" t="n">
        <v>0</v>
      </c>
      <c r="M1688" t="n">
        <v>0</v>
      </c>
      <c r="N1688" t="n">
        <v>0</v>
      </c>
      <c r="O1688" t="n">
        <v>0</v>
      </c>
      <c r="P1688" t="n">
        <v>0</v>
      </c>
      <c r="Q1688" t="n">
        <v>0</v>
      </c>
      <c r="R1688" s="2" t="inlineStr"/>
    </row>
    <row r="1689" ht="15" customHeight="1">
      <c r="A1689" t="inlineStr">
        <is>
          <t>A 5353-2019</t>
        </is>
      </c>
      <c r="B1689" s="1" t="n">
        <v>43488</v>
      </c>
      <c r="C1689" s="1" t="n">
        <v>45212</v>
      </c>
      <c r="D1689" t="inlineStr">
        <is>
          <t>VÄSTRA GÖTALANDS LÄN</t>
        </is>
      </c>
      <c r="E1689" t="inlineStr">
        <is>
          <t>TÖREBODA</t>
        </is>
      </c>
      <c r="G1689" t="n">
        <v>1.9</v>
      </c>
      <c r="H1689" t="n">
        <v>0</v>
      </c>
      <c r="I1689" t="n">
        <v>0</v>
      </c>
      <c r="J1689" t="n">
        <v>0</v>
      </c>
      <c r="K1689" t="n">
        <v>0</v>
      </c>
      <c r="L1689" t="n">
        <v>0</v>
      </c>
      <c r="M1689" t="n">
        <v>0</v>
      </c>
      <c r="N1689" t="n">
        <v>0</v>
      </c>
      <c r="O1689" t="n">
        <v>0</v>
      </c>
      <c r="P1689" t="n">
        <v>0</v>
      </c>
      <c r="Q1689" t="n">
        <v>0</v>
      </c>
      <c r="R1689" s="2" t="inlineStr"/>
    </row>
    <row r="1690" ht="15" customHeight="1">
      <c r="A1690" t="inlineStr">
        <is>
          <t>A 5139-2019</t>
        </is>
      </c>
      <c r="B1690" s="1" t="n">
        <v>43488</v>
      </c>
      <c r="C1690" s="1" t="n">
        <v>45212</v>
      </c>
      <c r="D1690" t="inlineStr">
        <is>
          <t>VÄSTRA GÖTALANDS LÄN</t>
        </is>
      </c>
      <c r="E1690" t="inlineStr">
        <is>
          <t>UDDEVALLA</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5157-2019</t>
        </is>
      </c>
      <c r="B1691" s="1" t="n">
        <v>43488</v>
      </c>
      <c r="C1691" s="1" t="n">
        <v>45212</v>
      </c>
      <c r="D1691" t="inlineStr">
        <is>
          <t>VÄSTRA GÖTALANDS LÄN</t>
        </is>
      </c>
      <c r="E1691" t="inlineStr">
        <is>
          <t>UDDEVALLA</t>
        </is>
      </c>
      <c r="G1691" t="n">
        <v>0.6</v>
      </c>
      <c r="H1691" t="n">
        <v>0</v>
      </c>
      <c r="I1691" t="n">
        <v>0</v>
      </c>
      <c r="J1691" t="n">
        <v>0</v>
      </c>
      <c r="K1691" t="n">
        <v>0</v>
      </c>
      <c r="L1691" t="n">
        <v>0</v>
      </c>
      <c r="M1691" t="n">
        <v>0</v>
      </c>
      <c r="N1691" t="n">
        <v>0</v>
      </c>
      <c r="O1691" t="n">
        <v>0</v>
      </c>
      <c r="P1691" t="n">
        <v>0</v>
      </c>
      <c r="Q1691" t="n">
        <v>0</v>
      </c>
      <c r="R1691" s="2" t="inlineStr"/>
    </row>
    <row r="1692" ht="15" customHeight="1">
      <c r="A1692" t="inlineStr">
        <is>
          <t>A 5223-2019</t>
        </is>
      </c>
      <c r="B1692" s="1" t="n">
        <v>43488</v>
      </c>
      <c r="C1692" s="1" t="n">
        <v>45212</v>
      </c>
      <c r="D1692" t="inlineStr">
        <is>
          <t>VÄSTRA GÖTALANDS LÄN</t>
        </is>
      </c>
      <c r="E1692" t="inlineStr">
        <is>
          <t>HERRLJUNGA</t>
        </is>
      </c>
      <c r="G1692" t="n">
        <v>5.7</v>
      </c>
      <c r="H1692" t="n">
        <v>0</v>
      </c>
      <c r="I1692" t="n">
        <v>0</v>
      </c>
      <c r="J1692" t="n">
        <v>0</v>
      </c>
      <c r="K1692" t="n">
        <v>0</v>
      </c>
      <c r="L1692" t="n">
        <v>0</v>
      </c>
      <c r="M1692" t="n">
        <v>0</v>
      </c>
      <c r="N1692" t="n">
        <v>0</v>
      </c>
      <c r="O1692" t="n">
        <v>0</v>
      </c>
      <c r="P1692" t="n">
        <v>0</v>
      </c>
      <c r="Q1692" t="n">
        <v>0</v>
      </c>
      <c r="R1692" s="2" t="inlineStr"/>
    </row>
    <row r="1693" ht="15" customHeight="1">
      <c r="A1693" t="inlineStr">
        <is>
          <t>A 5369-2019</t>
        </is>
      </c>
      <c r="B1693" s="1" t="n">
        <v>43488</v>
      </c>
      <c r="C1693" s="1" t="n">
        <v>45212</v>
      </c>
      <c r="D1693" t="inlineStr">
        <is>
          <t>VÄSTRA GÖTALANDS LÄN</t>
        </is>
      </c>
      <c r="E1693" t="inlineStr">
        <is>
          <t>GÖTENE</t>
        </is>
      </c>
      <c r="G1693" t="n">
        <v>1.3</v>
      </c>
      <c r="H1693" t="n">
        <v>0</v>
      </c>
      <c r="I1693" t="n">
        <v>0</v>
      </c>
      <c r="J1693" t="n">
        <v>0</v>
      </c>
      <c r="K1693" t="n">
        <v>0</v>
      </c>
      <c r="L1693" t="n">
        <v>0</v>
      </c>
      <c r="M1693" t="n">
        <v>0</v>
      </c>
      <c r="N1693" t="n">
        <v>0</v>
      </c>
      <c r="O1693" t="n">
        <v>0</v>
      </c>
      <c r="P1693" t="n">
        <v>0</v>
      </c>
      <c r="Q1693" t="n">
        <v>0</v>
      </c>
      <c r="R1693" s="2" t="inlineStr"/>
    </row>
    <row r="1694" ht="15" customHeight="1">
      <c r="A1694" t="inlineStr">
        <is>
          <t>A 5383-2019</t>
        </is>
      </c>
      <c r="B1694" s="1" t="n">
        <v>43488</v>
      </c>
      <c r="C1694" s="1" t="n">
        <v>45212</v>
      </c>
      <c r="D1694" t="inlineStr">
        <is>
          <t>VÄSTRA GÖTALANDS LÄN</t>
        </is>
      </c>
      <c r="E1694" t="inlineStr">
        <is>
          <t>FÄRGELANDA</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5402-2019</t>
        </is>
      </c>
      <c r="B1695" s="1" t="n">
        <v>43488</v>
      </c>
      <c r="C1695" s="1" t="n">
        <v>45212</v>
      </c>
      <c r="D1695" t="inlineStr">
        <is>
          <t>VÄSTRA GÖTALANDS LÄN</t>
        </is>
      </c>
      <c r="E1695" t="inlineStr">
        <is>
          <t>FÄRGELANDA</t>
        </is>
      </c>
      <c r="G1695" t="n">
        <v>4.1</v>
      </c>
      <c r="H1695" t="n">
        <v>0</v>
      </c>
      <c r="I1695" t="n">
        <v>0</v>
      </c>
      <c r="J1695" t="n">
        <v>0</v>
      </c>
      <c r="K1695" t="n">
        <v>0</v>
      </c>
      <c r="L1695" t="n">
        <v>0</v>
      </c>
      <c r="M1695" t="n">
        <v>0</v>
      </c>
      <c r="N1695" t="n">
        <v>0</v>
      </c>
      <c r="O1695" t="n">
        <v>0</v>
      </c>
      <c r="P1695" t="n">
        <v>0</v>
      </c>
      <c r="Q1695" t="n">
        <v>0</v>
      </c>
      <c r="R1695" s="2" t="inlineStr"/>
    </row>
    <row r="1696" ht="15" customHeight="1">
      <c r="A1696" t="inlineStr">
        <is>
          <t>A 6641-2019</t>
        </is>
      </c>
      <c r="B1696" s="1" t="n">
        <v>43488</v>
      </c>
      <c r="C1696" s="1" t="n">
        <v>45212</v>
      </c>
      <c r="D1696" t="inlineStr">
        <is>
          <t>VÄSTRA GÖTALANDS LÄN</t>
        </is>
      </c>
      <c r="E1696" t="inlineStr">
        <is>
          <t>TANUM</t>
        </is>
      </c>
      <c r="G1696" t="n">
        <v>12.1</v>
      </c>
      <c r="H1696" t="n">
        <v>0</v>
      </c>
      <c r="I1696" t="n">
        <v>0</v>
      </c>
      <c r="J1696" t="n">
        <v>0</v>
      </c>
      <c r="K1696" t="n">
        <v>0</v>
      </c>
      <c r="L1696" t="n">
        <v>0</v>
      </c>
      <c r="M1696" t="n">
        <v>0</v>
      </c>
      <c r="N1696" t="n">
        <v>0</v>
      </c>
      <c r="O1696" t="n">
        <v>0</v>
      </c>
      <c r="P1696" t="n">
        <v>0</v>
      </c>
      <c r="Q1696" t="n">
        <v>0</v>
      </c>
      <c r="R1696" s="2" t="inlineStr"/>
    </row>
    <row r="1697" ht="15" customHeight="1">
      <c r="A1697" t="inlineStr">
        <is>
          <t>A 5138-2019</t>
        </is>
      </c>
      <c r="B1697" s="1" t="n">
        <v>43488</v>
      </c>
      <c r="C1697" s="1" t="n">
        <v>45212</v>
      </c>
      <c r="D1697" t="inlineStr">
        <is>
          <t>VÄSTRA GÖTALANDS LÄN</t>
        </is>
      </c>
      <c r="E1697" t="inlineStr">
        <is>
          <t>UDDEVALLA</t>
        </is>
      </c>
      <c r="G1697" t="n">
        <v>1.1</v>
      </c>
      <c r="H1697" t="n">
        <v>0</v>
      </c>
      <c r="I1697" t="n">
        <v>0</v>
      </c>
      <c r="J1697" t="n">
        <v>0</v>
      </c>
      <c r="K1697" t="n">
        <v>0</v>
      </c>
      <c r="L1697" t="n">
        <v>0</v>
      </c>
      <c r="M1697" t="n">
        <v>0</v>
      </c>
      <c r="N1697" t="n">
        <v>0</v>
      </c>
      <c r="O1697" t="n">
        <v>0</v>
      </c>
      <c r="P1697" t="n">
        <v>0</v>
      </c>
      <c r="Q1697" t="n">
        <v>0</v>
      </c>
      <c r="R1697" s="2" t="inlineStr"/>
    </row>
    <row r="1698" ht="15" customHeight="1">
      <c r="A1698" t="inlineStr">
        <is>
          <t>A 5179-2019</t>
        </is>
      </c>
      <c r="B1698" s="1" t="n">
        <v>43488</v>
      </c>
      <c r="C1698" s="1" t="n">
        <v>45212</v>
      </c>
      <c r="D1698" t="inlineStr">
        <is>
          <t>VÄSTRA GÖTALANDS LÄN</t>
        </is>
      </c>
      <c r="E1698" t="inlineStr">
        <is>
          <t>HJO</t>
        </is>
      </c>
      <c r="G1698" t="n">
        <v>4.8</v>
      </c>
      <c r="H1698" t="n">
        <v>0</v>
      </c>
      <c r="I1698" t="n">
        <v>0</v>
      </c>
      <c r="J1698" t="n">
        <v>0</v>
      </c>
      <c r="K1698" t="n">
        <v>0</v>
      </c>
      <c r="L1698" t="n">
        <v>0</v>
      </c>
      <c r="M1698" t="n">
        <v>0</v>
      </c>
      <c r="N1698" t="n">
        <v>0</v>
      </c>
      <c r="O1698" t="n">
        <v>0</v>
      </c>
      <c r="P1698" t="n">
        <v>0</v>
      </c>
      <c r="Q1698" t="n">
        <v>0</v>
      </c>
      <c r="R1698" s="2" t="inlineStr"/>
    </row>
    <row r="1699" ht="15" customHeight="1">
      <c r="A1699" t="inlineStr">
        <is>
          <t>A 5293-2019</t>
        </is>
      </c>
      <c r="B1699" s="1" t="n">
        <v>43488</v>
      </c>
      <c r="C1699" s="1" t="n">
        <v>45212</v>
      </c>
      <c r="D1699" t="inlineStr">
        <is>
          <t>VÄSTRA GÖTALANDS LÄN</t>
        </is>
      </c>
      <c r="E1699" t="inlineStr">
        <is>
          <t>SKÖVDE</t>
        </is>
      </c>
      <c r="G1699" t="n">
        <v>0.6</v>
      </c>
      <c r="H1699" t="n">
        <v>0</v>
      </c>
      <c r="I1699" t="n">
        <v>0</v>
      </c>
      <c r="J1699" t="n">
        <v>0</v>
      </c>
      <c r="K1699" t="n">
        <v>0</v>
      </c>
      <c r="L1699" t="n">
        <v>0</v>
      </c>
      <c r="M1699" t="n">
        <v>0</v>
      </c>
      <c r="N1699" t="n">
        <v>0</v>
      </c>
      <c r="O1699" t="n">
        <v>0</v>
      </c>
      <c r="P1699" t="n">
        <v>0</v>
      </c>
      <c r="Q1699" t="n">
        <v>0</v>
      </c>
      <c r="R1699" s="2" t="inlineStr"/>
    </row>
    <row r="1700" ht="15" customHeight="1">
      <c r="A1700" t="inlineStr">
        <is>
          <t>A 5342-2019</t>
        </is>
      </c>
      <c r="B1700" s="1" t="n">
        <v>43488</v>
      </c>
      <c r="C1700" s="1" t="n">
        <v>45212</v>
      </c>
      <c r="D1700" t="inlineStr">
        <is>
          <t>VÄSTRA GÖTALANDS LÄN</t>
        </is>
      </c>
      <c r="E1700" t="inlineStr">
        <is>
          <t>BOLLEBYGD</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5392-2019</t>
        </is>
      </c>
      <c r="B1701" s="1" t="n">
        <v>43488</v>
      </c>
      <c r="C1701" s="1" t="n">
        <v>45212</v>
      </c>
      <c r="D1701" t="inlineStr">
        <is>
          <t>VÄSTRA GÖTALANDS LÄN</t>
        </is>
      </c>
      <c r="E1701" t="inlineStr">
        <is>
          <t>FÄRGELANDA</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5175-2019</t>
        </is>
      </c>
      <c r="B1702" s="1" t="n">
        <v>43488</v>
      </c>
      <c r="C1702" s="1" t="n">
        <v>45212</v>
      </c>
      <c r="D1702" t="inlineStr">
        <is>
          <t>VÄSTRA GÖTALANDS LÄN</t>
        </is>
      </c>
      <c r="E1702" t="inlineStr">
        <is>
          <t>SKÖVDE</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5194-2019</t>
        </is>
      </c>
      <c r="B1703" s="1" t="n">
        <v>43488</v>
      </c>
      <c r="C1703" s="1" t="n">
        <v>45212</v>
      </c>
      <c r="D1703" t="inlineStr">
        <is>
          <t>VÄSTRA GÖTALANDS LÄN</t>
        </is>
      </c>
      <c r="E1703" t="inlineStr">
        <is>
          <t>BORÅS</t>
        </is>
      </c>
      <c r="G1703" t="n">
        <v>9</v>
      </c>
      <c r="H1703" t="n">
        <v>0</v>
      </c>
      <c r="I1703" t="n">
        <v>0</v>
      </c>
      <c r="J1703" t="n">
        <v>0</v>
      </c>
      <c r="K1703" t="n">
        <v>0</v>
      </c>
      <c r="L1703" t="n">
        <v>0</v>
      </c>
      <c r="M1703" t="n">
        <v>0</v>
      </c>
      <c r="N1703" t="n">
        <v>0</v>
      </c>
      <c r="O1703" t="n">
        <v>0</v>
      </c>
      <c r="P1703" t="n">
        <v>0</v>
      </c>
      <c r="Q1703" t="n">
        <v>0</v>
      </c>
      <c r="R1703" s="2" t="inlineStr"/>
    </row>
    <row r="1704" ht="15" customHeight="1">
      <c r="A1704" t="inlineStr">
        <is>
          <t>A 5545-2019</t>
        </is>
      </c>
      <c r="B1704" s="1" t="n">
        <v>43489</v>
      </c>
      <c r="C1704" s="1" t="n">
        <v>45212</v>
      </c>
      <c r="D1704" t="inlineStr">
        <is>
          <t>VÄSTRA GÖTALANDS LÄN</t>
        </is>
      </c>
      <c r="E1704" t="inlineStr">
        <is>
          <t>MARIESTAD</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5555-2019</t>
        </is>
      </c>
      <c r="B1705" s="1" t="n">
        <v>43489</v>
      </c>
      <c r="C1705" s="1" t="n">
        <v>45212</v>
      </c>
      <c r="D1705" t="inlineStr">
        <is>
          <t>VÄSTRA GÖTALANDS LÄN</t>
        </is>
      </c>
      <c r="E1705" t="inlineStr">
        <is>
          <t>TANUM</t>
        </is>
      </c>
      <c r="G1705" t="n">
        <v>3.4</v>
      </c>
      <c r="H1705" t="n">
        <v>0</v>
      </c>
      <c r="I1705" t="n">
        <v>0</v>
      </c>
      <c r="J1705" t="n">
        <v>0</v>
      </c>
      <c r="K1705" t="n">
        <v>0</v>
      </c>
      <c r="L1705" t="n">
        <v>0</v>
      </c>
      <c r="M1705" t="n">
        <v>0</v>
      </c>
      <c r="N1705" t="n">
        <v>0</v>
      </c>
      <c r="O1705" t="n">
        <v>0</v>
      </c>
      <c r="P1705" t="n">
        <v>0</v>
      </c>
      <c r="Q1705" t="n">
        <v>0</v>
      </c>
      <c r="R1705" s="2" t="inlineStr"/>
    </row>
    <row r="1706" ht="15" customHeight="1">
      <c r="A1706" t="inlineStr">
        <is>
          <t>A 5647-2019</t>
        </is>
      </c>
      <c r="B1706" s="1" t="n">
        <v>43489</v>
      </c>
      <c r="C1706" s="1" t="n">
        <v>45212</v>
      </c>
      <c r="D1706" t="inlineStr">
        <is>
          <t>VÄSTRA GÖTALANDS LÄN</t>
        </is>
      </c>
      <c r="E1706" t="inlineStr">
        <is>
          <t>TROLLHÄTTAN</t>
        </is>
      </c>
      <c r="G1706" t="n">
        <v>3.8</v>
      </c>
      <c r="H1706" t="n">
        <v>0</v>
      </c>
      <c r="I1706" t="n">
        <v>0</v>
      </c>
      <c r="J1706" t="n">
        <v>0</v>
      </c>
      <c r="K1706" t="n">
        <v>0</v>
      </c>
      <c r="L1706" t="n">
        <v>0</v>
      </c>
      <c r="M1706" t="n">
        <v>0</v>
      </c>
      <c r="N1706" t="n">
        <v>0</v>
      </c>
      <c r="O1706" t="n">
        <v>0</v>
      </c>
      <c r="P1706" t="n">
        <v>0</v>
      </c>
      <c r="Q1706" t="n">
        <v>0</v>
      </c>
      <c r="R1706" s="2" t="inlineStr"/>
    </row>
    <row r="1707" ht="15" customHeight="1">
      <c r="A1707" t="inlineStr">
        <is>
          <t>A 5702-2019</t>
        </is>
      </c>
      <c r="B1707" s="1" t="n">
        <v>43489</v>
      </c>
      <c r="C1707" s="1" t="n">
        <v>45212</v>
      </c>
      <c r="D1707" t="inlineStr">
        <is>
          <t>VÄSTRA GÖTALANDS LÄN</t>
        </is>
      </c>
      <c r="E1707" t="inlineStr">
        <is>
          <t>ULRICEHAMN</t>
        </is>
      </c>
      <c r="G1707" t="n">
        <v>1.5</v>
      </c>
      <c r="H1707" t="n">
        <v>0</v>
      </c>
      <c r="I1707" t="n">
        <v>0</v>
      </c>
      <c r="J1707" t="n">
        <v>0</v>
      </c>
      <c r="K1707" t="n">
        <v>0</v>
      </c>
      <c r="L1707" t="n">
        <v>0</v>
      </c>
      <c r="M1707" t="n">
        <v>0</v>
      </c>
      <c r="N1707" t="n">
        <v>0</v>
      </c>
      <c r="O1707" t="n">
        <v>0</v>
      </c>
      <c r="P1707" t="n">
        <v>0</v>
      </c>
      <c r="Q1707" t="n">
        <v>0</v>
      </c>
      <c r="R1707" s="2" t="inlineStr"/>
    </row>
    <row r="1708" ht="15" customHeight="1">
      <c r="A1708" t="inlineStr">
        <is>
          <t>A 7151-2019</t>
        </is>
      </c>
      <c r="B1708" s="1" t="n">
        <v>43489</v>
      </c>
      <c r="C1708" s="1" t="n">
        <v>45212</v>
      </c>
      <c r="D1708" t="inlineStr">
        <is>
          <t>VÄSTRA GÖTALANDS LÄN</t>
        </is>
      </c>
      <c r="E1708" t="inlineStr">
        <is>
          <t>MARK</t>
        </is>
      </c>
      <c r="G1708" t="n">
        <v>6</v>
      </c>
      <c r="H1708" t="n">
        <v>0</v>
      </c>
      <c r="I1708" t="n">
        <v>0</v>
      </c>
      <c r="J1708" t="n">
        <v>0</v>
      </c>
      <c r="K1708" t="n">
        <v>0</v>
      </c>
      <c r="L1708" t="n">
        <v>0</v>
      </c>
      <c r="M1708" t="n">
        <v>0</v>
      </c>
      <c r="N1708" t="n">
        <v>0</v>
      </c>
      <c r="O1708" t="n">
        <v>0</v>
      </c>
      <c r="P1708" t="n">
        <v>0</v>
      </c>
      <c r="Q1708" t="n">
        <v>0</v>
      </c>
      <c r="R1708" s="2" t="inlineStr"/>
    </row>
    <row r="1709" ht="15" customHeight="1">
      <c r="A1709" t="inlineStr">
        <is>
          <t>A 7164-2019</t>
        </is>
      </c>
      <c r="B1709" s="1" t="n">
        <v>43489</v>
      </c>
      <c r="C1709" s="1" t="n">
        <v>45212</v>
      </c>
      <c r="D1709" t="inlineStr">
        <is>
          <t>VÄSTRA GÖTALANDS LÄN</t>
        </is>
      </c>
      <c r="E1709" t="inlineStr">
        <is>
          <t>STRÖMSTAD</t>
        </is>
      </c>
      <c r="G1709" t="n">
        <v>9.5</v>
      </c>
      <c r="H1709" t="n">
        <v>0</v>
      </c>
      <c r="I1709" t="n">
        <v>0</v>
      </c>
      <c r="J1709" t="n">
        <v>0</v>
      </c>
      <c r="K1709" t="n">
        <v>0</v>
      </c>
      <c r="L1709" t="n">
        <v>0</v>
      </c>
      <c r="M1709" t="n">
        <v>0</v>
      </c>
      <c r="N1709" t="n">
        <v>0</v>
      </c>
      <c r="O1709" t="n">
        <v>0</v>
      </c>
      <c r="P1709" t="n">
        <v>0</v>
      </c>
      <c r="Q1709" t="n">
        <v>0</v>
      </c>
      <c r="R1709" s="2" t="inlineStr"/>
    </row>
    <row r="1710" ht="15" customHeight="1">
      <c r="A1710" t="inlineStr">
        <is>
          <t>A 7119-2019</t>
        </is>
      </c>
      <c r="B1710" s="1" t="n">
        <v>43489</v>
      </c>
      <c r="C1710" s="1" t="n">
        <v>45212</v>
      </c>
      <c r="D1710" t="inlineStr">
        <is>
          <t>VÄSTRA GÖTALANDS LÄN</t>
        </is>
      </c>
      <c r="E1710" t="inlineStr">
        <is>
          <t>STRÖMSTAD</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7142-2019</t>
        </is>
      </c>
      <c r="B1711" s="1" t="n">
        <v>43489</v>
      </c>
      <c r="C1711" s="1" t="n">
        <v>45212</v>
      </c>
      <c r="D1711" t="inlineStr">
        <is>
          <t>VÄSTRA GÖTALANDS LÄN</t>
        </is>
      </c>
      <c r="E1711" t="inlineStr">
        <is>
          <t>LIDKÖPING</t>
        </is>
      </c>
      <c r="G1711" t="n">
        <v>2</v>
      </c>
      <c r="H1711" t="n">
        <v>0</v>
      </c>
      <c r="I1711" t="n">
        <v>0</v>
      </c>
      <c r="J1711" t="n">
        <v>0</v>
      </c>
      <c r="K1711" t="n">
        <v>0</v>
      </c>
      <c r="L1711" t="n">
        <v>0</v>
      </c>
      <c r="M1711" t="n">
        <v>0</v>
      </c>
      <c r="N1711" t="n">
        <v>0</v>
      </c>
      <c r="O1711" t="n">
        <v>0</v>
      </c>
      <c r="P1711" t="n">
        <v>0</v>
      </c>
      <c r="Q1711" t="n">
        <v>0</v>
      </c>
      <c r="R1711" s="2" t="inlineStr"/>
    </row>
    <row r="1712" ht="15" customHeight="1">
      <c r="A1712" t="inlineStr">
        <is>
          <t>A 7262-2019</t>
        </is>
      </c>
      <c r="B1712" s="1" t="n">
        <v>43489</v>
      </c>
      <c r="C1712" s="1" t="n">
        <v>45212</v>
      </c>
      <c r="D1712" t="inlineStr">
        <is>
          <t>VÄSTRA GÖTALANDS LÄN</t>
        </is>
      </c>
      <c r="E1712" t="inlineStr">
        <is>
          <t>ALINGSÅS</t>
        </is>
      </c>
      <c r="G1712" t="n">
        <v>2.9</v>
      </c>
      <c r="H1712" t="n">
        <v>0</v>
      </c>
      <c r="I1712" t="n">
        <v>0</v>
      </c>
      <c r="J1712" t="n">
        <v>0</v>
      </c>
      <c r="K1712" t="n">
        <v>0</v>
      </c>
      <c r="L1712" t="n">
        <v>0</v>
      </c>
      <c r="M1712" t="n">
        <v>0</v>
      </c>
      <c r="N1712" t="n">
        <v>0</v>
      </c>
      <c r="O1712" t="n">
        <v>0</v>
      </c>
      <c r="P1712" t="n">
        <v>0</v>
      </c>
      <c r="Q1712" t="n">
        <v>0</v>
      </c>
      <c r="R1712" s="2" t="inlineStr"/>
    </row>
    <row r="1713" ht="15" customHeight="1">
      <c r="A1713" t="inlineStr">
        <is>
          <t>A 5554-2019</t>
        </is>
      </c>
      <c r="B1713" s="1" t="n">
        <v>43489</v>
      </c>
      <c r="C1713" s="1" t="n">
        <v>45212</v>
      </c>
      <c r="D1713" t="inlineStr">
        <is>
          <t>VÄSTRA GÖTALANDS LÄN</t>
        </is>
      </c>
      <c r="E1713" t="inlineStr">
        <is>
          <t>MARIESTAD</t>
        </is>
      </c>
      <c r="G1713" t="n">
        <v>1.7</v>
      </c>
      <c r="H1713" t="n">
        <v>0</v>
      </c>
      <c r="I1713" t="n">
        <v>0</v>
      </c>
      <c r="J1713" t="n">
        <v>0</v>
      </c>
      <c r="K1713" t="n">
        <v>0</v>
      </c>
      <c r="L1713" t="n">
        <v>0</v>
      </c>
      <c r="M1713" t="n">
        <v>0</v>
      </c>
      <c r="N1713" t="n">
        <v>0</v>
      </c>
      <c r="O1713" t="n">
        <v>0</v>
      </c>
      <c r="P1713" t="n">
        <v>0</v>
      </c>
      <c r="Q1713" t="n">
        <v>0</v>
      </c>
      <c r="R1713" s="2" t="inlineStr"/>
    </row>
    <row r="1714" ht="15" customHeight="1">
      <c r="A1714" t="inlineStr">
        <is>
          <t>A 5701-2019</t>
        </is>
      </c>
      <c r="B1714" s="1" t="n">
        <v>43489</v>
      </c>
      <c r="C1714" s="1" t="n">
        <v>45212</v>
      </c>
      <c r="D1714" t="inlineStr">
        <is>
          <t>VÄSTRA GÖTALANDS LÄN</t>
        </is>
      </c>
      <c r="E1714" t="inlineStr">
        <is>
          <t>ULRICEHAMN</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6910-2019</t>
        </is>
      </c>
      <c r="B1715" s="1" t="n">
        <v>43489</v>
      </c>
      <c r="C1715" s="1" t="n">
        <v>45212</v>
      </c>
      <c r="D1715" t="inlineStr">
        <is>
          <t>VÄSTRA GÖTALANDS LÄN</t>
        </is>
      </c>
      <c r="E1715" t="inlineStr">
        <is>
          <t>TÖREBODA</t>
        </is>
      </c>
      <c r="G1715" t="n">
        <v>8.5</v>
      </c>
      <c r="H1715" t="n">
        <v>0</v>
      </c>
      <c r="I1715" t="n">
        <v>0</v>
      </c>
      <c r="J1715" t="n">
        <v>0</v>
      </c>
      <c r="K1715" t="n">
        <v>0</v>
      </c>
      <c r="L1715" t="n">
        <v>0</v>
      </c>
      <c r="M1715" t="n">
        <v>0</v>
      </c>
      <c r="N1715" t="n">
        <v>0</v>
      </c>
      <c r="O1715" t="n">
        <v>0</v>
      </c>
      <c r="P1715" t="n">
        <v>0</v>
      </c>
      <c r="Q1715" t="n">
        <v>0</v>
      </c>
      <c r="R1715" s="2" t="inlineStr"/>
    </row>
    <row r="1716" ht="15" customHeight="1">
      <c r="A1716" t="inlineStr">
        <is>
          <t>A 6984-2019</t>
        </is>
      </c>
      <c r="B1716" s="1" t="n">
        <v>43489</v>
      </c>
      <c r="C1716" s="1" t="n">
        <v>45212</v>
      </c>
      <c r="D1716" t="inlineStr">
        <is>
          <t>VÄSTRA GÖTALANDS LÄN</t>
        </is>
      </c>
      <c r="E1716" t="inlineStr">
        <is>
          <t>BORÅS</t>
        </is>
      </c>
      <c r="G1716" t="n">
        <v>2.8</v>
      </c>
      <c r="H1716" t="n">
        <v>0</v>
      </c>
      <c r="I1716" t="n">
        <v>0</v>
      </c>
      <c r="J1716" t="n">
        <v>0</v>
      </c>
      <c r="K1716" t="n">
        <v>0</v>
      </c>
      <c r="L1716" t="n">
        <v>0</v>
      </c>
      <c r="M1716" t="n">
        <v>0</v>
      </c>
      <c r="N1716" t="n">
        <v>0</v>
      </c>
      <c r="O1716" t="n">
        <v>0</v>
      </c>
      <c r="P1716" t="n">
        <v>0</v>
      </c>
      <c r="Q1716" t="n">
        <v>0</v>
      </c>
      <c r="R1716" s="2" t="inlineStr"/>
    </row>
    <row r="1717" ht="15" customHeight="1">
      <c r="A1717" t="inlineStr">
        <is>
          <t>A 5718-2019</t>
        </is>
      </c>
      <c r="B1717" s="1" t="n">
        <v>43490</v>
      </c>
      <c r="C1717" s="1" t="n">
        <v>45212</v>
      </c>
      <c r="D1717" t="inlineStr">
        <is>
          <t>VÄSTRA GÖTALANDS LÄN</t>
        </is>
      </c>
      <c r="E1717" t="inlineStr">
        <is>
          <t>BOLLEBYGD</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5785-2019</t>
        </is>
      </c>
      <c r="B1718" s="1" t="n">
        <v>43490</v>
      </c>
      <c r="C1718" s="1" t="n">
        <v>45212</v>
      </c>
      <c r="D1718" t="inlineStr">
        <is>
          <t>VÄSTRA GÖTALANDS LÄN</t>
        </is>
      </c>
      <c r="E1718" t="inlineStr">
        <is>
          <t>VÄNERSBORG</t>
        </is>
      </c>
      <c r="G1718" t="n">
        <v>4.1</v>
      </c>
      <c r="H1718" t="n">
        <v>0</v>
      </c>
      <c r="I1718" t="n">
        <v>0</v>
      </c>
      <c r="J1718" t="n">
        <v>0</v>
      </c>
      <c r="K1718" t="n">
        <v>0</v>
      </c>
      <c r="L1718" t="n">
        <v>0</v>
      </c>
      <c r="M1718" t="n">
        <v>0</v>
      </c>
      <c r="N1718" t="n">
        <v>0</v>
      </c>
      <c r="O1718" t="n">
        <v>0</v>
      </c>
      <c r="P1718" t="n">
        <v>0</v>
      </c>
      <c r="Q1718" t="n">
        <v>0</v>
      </c>
      <c r="R1718" s="2" t="inlineStr"/>
    </row>
    <row r="1719" ht="15" customHeight="1">
      <c r="A1719" t="inlineStr">
        <is>
          <t>A 5825-2019</t>
        </is>
      </c>
      <c r="B1719" s="1" t="n">
        <v>43490</v>
      </c>
      <c r="C1719" s="1" t="n">
        <v>45212</v>
      </c>
      <c r="D1719" t="inlineStr">
        <is>
          <t>VÄSTRA GÖTALANDS LÄN</t>
        </is>
      </c>
      <c r="E1719" t="inlineStr">
        <is>
          <t>DALS-ED</t>
        </is>
      </c>
      <c r="G1719" t="n">
        <v>8.6</v>
      </c>
      <c r="H1719" t="n">
        <v>0</v>
      </c>
      <c r="I1719" t="n">
        <v>0</v>
      </c>
      <c r="J1719" t="n">
        <v>0</v>
      </c>
      <c r="K1719" t="n">
        <v>0</v>
      </c>
      <c r="L1719" t="n">
        <v>0</v>
      </c>
      <c r="M1719" t="n">
        <v>0</v>
      </c>
      <c r="N1719" t="n">
        <v>0</v>
      </c>
      <c r="O1719" t="n">
        <v>0</v>
      </c>
      <c r="P1719" t="n">
        <v>0</v>
      </c>
      <c r="Q1719" t="n">
        <v>0</v>
      </c>
      <c r="R1719" s="2" t="inlineStr"/>
    </row>
    <row r="1720" ht="15" customHeight="1">
      <c r="A1720" t="inlineStr">
        <is>
          <t>A 5852-2019</t>
        </is>
      </c>
      <c r="B1720" s="1" t="n">
        <v>43490</v>
      </c>
      <c r="C1720" s="1" t="n">
        <v>45212</v>
      </c>
      <c r="D1720" t="inlineStr">
        <is>
          <t>VÄSTRA GÖTALANDS LÄN</t>
        </is>
      </c>
      <c r="E1720" t="inlineStr">
        <is>
          <t>FALKÖPING</t>
        </is>
      </c>
      <c r="G1720" t="n">
        <v>0.8</v>
      </c>
      <c r="H1720" t="n">
        <v>0</v>
      </c>
      <c r="I1720" t="n">
        <v>0</v>
      </c>
      <c r="J1720" t="n">
        <v>0</v>
      </c>
      <c r="K1720" t="n">
        <v>0</v>
      </c>
      <c r="L1720" t="n">
        <v>0</v>
      </c>
      <c r="M1720" t="n">
        <v>0</v>
      </c>
      <c r="N1720" t="n">
        <v>0</v>
      </c>
      <c r="O1720" t="n">
        <v>0</v>
      </c>
      <c r="P1720" t="n">
        <v>0</v>
      </c>
      <c r="Q1720" t="n">
        <v>0</v>
      </c>
      <c r="R1720" s="2" t="inlineStr"/>
    </row>
    <row r="1721" ht="15" customHeight="1">
      <c r="A1721" t="inlineStr">
        <is>
          <t>A 5713-2019</t>
        </is>
      </c>
      <c r="B1721" s="1" t="n">
        <v>43490</v>
      </c>
      <c r="C1721" s="1" t="n">
        <v>45212</v>
      </c>
      <c r="D1721" t="inlineStr">
        <is>
          <t>VÄSTRA GÖTALANDS LÄN</t>
        </is>
      </c>
      <c r="E1721" t="inlineStr">
        <is>
          <t>BOLLEBYGD</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5823-2019</t>
        </is>
      </c>
      <c r="B1722" s="1" t="n">
        <v>43490</v>
      </c>
      <c r="C1722" s="1" t="n">
        <v>45212</v>
      </c>
      <c r="D1722" t="inlineStr">
        <is>
          <t>VÄSTRA GÖTALANDS LÄN</t>
        </is>
      </c>
      <c r="E1722" t="inlineStr">
        <is>
          <t>DALS-ED</t>
        </is>
      </c>
      <c r="G1722" t="n">
        <v>14.6</v>
      </c>
      <c r="H1722" t="n">
        <v>0</v>
      </c>
      <c r="I1722" t="n">
        <v>0</v>
      </c>
      <c r="J1722" t="n">
        <v>0</v>
      </c>
      <c r="K1722" t="n">
        <v>0</v>
      </c>
      <c r="L1722" t="n">
        <v>0</v>
      </c>
      <c r="M1722" t="n">
        <v>0</v>
      </c>
      <c r="N1722" t="n">
        <v>0</v>
      </c>
      <c r="O1722" t="n">
        <v>0</v>
      </c>
      <c r="P1722" t="n">
        <v>0</v>
      </c>
      <c r="Q1722" t="n">
        <v>0</v>
      </c>
      <c r="R1722" s="2" t="inlineStr"/>
    </row>
    <row r="1723" ht="15" customHeight="1">
      <c r="A1723" t="inlineStr">
        <is>
          <t>A 5849-2019</t>
        </is>
      </c>
      <c r="B1723" s="1" t="n">
        <v>43490</v>
      </c>
      <c r="C1723" s="1" t="n">
        <v>45212</v>
      </c>
      <c r="D1723" t="inlineStr">
        <is>
          <t>VÄSTRA GÖTALANDS LÄN</t>
        </is>
      </c>
      <c r="E1723" t="inlineStr">
        <is>
          <t>KUNGÄLV</t>
        </is>
      </c>
      <c r="G1723" t="n">
        <v>4.6</v>
      </c>
      <c r="H1723" t="n">
        <v>0</v>
      </c>
      <c r="I1723" t="n">
        <v>0</v>
      </c>
      <c r="J1723" t="n">
        <v>0</v>
      </c>
      <c r="K1723" t="n">
        <v>0</v>
      </c>
      <c r="L1723" t="n">
        <v>0</v>
      </c>
      <c r="M1723" t="n">
        <v>0</v>
      </c>
      <c r="N1723" t="n">
        <v>0</v>
      </c>
      <c r="O1723" t="n">
        <v>0</v>
      </c>
      <c r="P1723" t="n">
        <v>0</v>
      </c>
      <c r="Q1723" t="n">
        <v>0</v>
      </c>
      <c r="R1723" s="2" t="inlineStr"/>
    </row>
    <row r="1724" ht="15" customHeight="1">
      <c r="A1724" t="inlineStr">
        <is>
          <t>A 5710-2019</t>
        </is>
      </c>
      <c r="B1724" s="1" t="n">
        <v>43490</v>
      </c>
      <c r="C1724" s="1" t="n">
        <v>45212</v>
      </c>
      <c r="D1724" t="inlineStr">
        <is>
          <t>VÄSTRA GÖTALANDS LÄN</t>
        </is>
      </c>
      <c r="E1724" t="inlineStr">
        <is>
          <t>LILLA EDET</t>
        </is>
      </c>
      <c r="G1724" t="n">
        <v>2.7</v>
      </c>
      <c r="H1724" t="n">
        <v>0</v>
      </c>
      <c r="I1724" t="n">
        <v>0</v>
      </c>
      <c r="J1724" t="n">
        <v>0</v>
      </c>
      <c r="K1724" t="n">
        <v>0</v>
      </c>
      <c r="L1724" t="n">
        <v>0</v>
      </c>
      <c r="M1724" t="n">
        <v>0</v>
      </c>
      <c r="N1724" t="n">
        <v>0</v>
      </c>
      <c r="O1724" t="n">
        <v>0</v>
      </c>
      <c r="P1724" t="n">
        <v>0</v>
      </c>
      <c r="Q1724" t="n">
        <v>0</v>
      </c>
      <c r="R1724" s="2" t="inlineStr"/>
    </row>
    <row r="1725" ht="15" customHeight="1">
      <c r="A1725" t="inlineStr">
        <is>
          <t>A 5719-2019</t>
        </is>
      </c>
      <c r="B1725" s="1" t="n">
        <v>43490</v>
      </c>
      <c r="C1725" s="1" t="n">
        <v>45212</v>
      </c>
      <c r="D1725" t="inlineStr">
        <is>
          <t>VÄSTRA GÖTALANDS LÄN</t>
        </is>
      </c>
      <c r="E1725" t="inlineStr">
        <is>
          <t>LILLA EDET</t>
        </is>
      </c>
      <c r="G1725" t="n">
        <v>6.9</v>
      </c>
      <c r="H1725" t="n">
        <v>0</v>
      </c>
      <c r="I1725" t="n">
        <v>0</v>
      </c>
      <c r="J1725" t="n">
        <v>0</v>
      </c>
      <c r="K1725" t="n">
        <v>0</v>
      </c>
      <c r="L1725" t="n">
        <v>0</v>
      </c>
      <c r="M1725" t="n">
        <v>0</v>
      </c>
      <c r="N1725" t="n">
        <v>0</v>
      </c>
      <c r="O1725" t="n">
        <v>0</v>
      </c>
      <c r="P1725" t="n">
        <v>0</v>
      </c>
      <c r="Q1725" t="n">
        <v>0</v>
      </c>
      <c r="R1725" s="2" t="inlineStr"/>
    </row>
    <row r="1726" ht="15" customHeight="1">
      <c r="A1726" t="inlineStr">
        <is>
          <t>A 5786-2019</t>
        </is>
      </c>
      <c r="B1726" s="1" t="n">
        <v>43490</v>
      </c>
      <c r="C1726" s="1" t="n">
        <v>45212</v>
      </c>
      <c r="D1726" t="inlineStr">
        <is>
          <t>VÄSTRA GÖTALANDS LÄN</t>
        </is>
      </c>
      <c r="E1726" t="inlineStr">
        <is>
          <t>ALINGSÅS</t>
        </is>
      </c>
      <c r="G1726" t="n">
        <v>0.5</v>
      </c>
      <c r="H1726" t="n">
        <v>0</v>
      </c>
      <c r="I1726" t="n">
        <v>0</v>
      </c>
      <c r="J1726" t="n">
        <v>0</v>
      </c>
      <c r="K1726" t="n">
        <v>0</v>
      </c>
      <c r="L1726" t="n">
        <v>0</v>
      </c>
      <c r="M1726" t="n">
        <v>0</v>
      </c>
      <c r="N1726" t="n">
        <v>0</v>
      </c>
      <c r="O1726" t="n">
        <v>0</v>
      </c>
      <c r="P1726" t="n">
        <v>0</v>
      </c>
      <c r="Q1726" t="n">
        <v>0</v>
      </c>
      <c r="R1726" s="2" t="inlineStr"/>
    </row>
    <row r="1727" ht="15" customHeight="1">
      <c r="A1727" t="inlineStr">
        <is>
          <t>A 5826-2019</t>
        </is>
      </c>
      <c r="B1727" s="1" t="n">
        <v>43490</v>
      </c>
      <c r="C1727" s="1" t="n">
        <v>45212</v>
      </c>
      <c r="D1727" t="inlineStr">
        <is>
          <t>VÄSTRA GÖTALANDS LÄN</t>
        </is>
      </c>
      <c r="E1727" t="inlineStr">
        <is>
          <t>VÅRGÅRDA</t>
        </is>
      </c>
      <c r="G1727" t="n">
        <v>0.4</v>
      </c>
      <c r="H1727" t="n">
        <v>0</v>
      </c>
      <c r="I1727" t="n">
        <v>0</v>
      </c>
      <c r="J1727" t="n">
        <v>0</v>
      </c>
      <c r="K1727" t="n">
        <v>0</v>
      </c>
      <c r="L1727" t="n">
        <v>0</v>
      </c>
      <c r="M1727" t="n">
        <v>0</v>
      </c>
      <c r="N1727" t="n">
        <v>0</v>
      </c>
      <c r="O1727" t="n">
        <v>0</v>
      </c>
      <c r="P1727" t="n">
        <v>0</v>
      </c>
      <c r="Q1727" t="n">
        <v>0</v>
      </c>
      <c r="R1727" s="2" t="inlineStr"/>
    </row>
    <row r="1728" ht="15" customHeight="1">
      <c r="A1728" t="inlineStr">
        <is>
          <t>A 5848-2019</t>
        </is>
      </c>
      <c r="B1728" s="1" t="n">
        <v>43490</v>
      </c>
      <c r="C1728" s="1" t="n">
        <v>45212</v>
      </c>
      <c r="D1728" t="inlineStr">
        <is>
          <t>VÄSTRA GÖTALANDS LÄN</t>
        </is>
      </c>
      <c r="E1728" t="inlineStr">
        <is>
          <t>GÖTENE</t>
        </is>
      </c>
      <c r="G1728" t="n">
        <v>0.5</v>
      </c>
      <c r="H1728" t="n">
        <v>0</v>
      </c>
      <c r="I1728" t="n">
        <v>0</v>
      </c>
      <c r="J1728" t="n">
        <v>0</v>
      </c>
      <c r="K1728" t="n">
        <v>0</v>
      </c>
      <c r="L1728" t="n">
        <v>0</v>
      </c>
      <c r="M1728" t="n">
        <v>0</v>
      </c>
      <c r="N1728" t="n">
        <v>0</v>
      </c>
      <c r="O1728" t="n">
        <v>0</v>
      </c>
      <c r="P1728" t="n">
        <v>0</v>
      </c>
      <c r="Q1728" t="n">
        <v>0</v>
      </c>
      <c r="R1728" s="2" t="inlineStr"/>
    </row>
    <row r="1729" ht="15" customHeight="1">
      <c r="A1729" t="inlineStr">
        <is>
          <t>A 5897-2019</t>
        </is>
      </c>
      <c r="B1729" s="1" t="n">
        <v>43490</v>
      </c>
      <c r="C1729" s="1" t="n">
        <v>45212</v>
      </c>
      <c r="D1729" t="inlineStr">
        <is>
          <t>VÄSTRA GÖTALANDS LÄN</t>
        </is>
      </c>
      <c r="E1729" t="inlineStr">
        <is>
          <t>FALKÖPING</t>
        </is>
      </c>
      <c r="G1729" t="n">
        <v>1.2</v>
      </c>
      <c r="H1729" t="n">
        <v>0</v>
      </c>
      <c r="I1729" t="n">
        <v>0</v>
      </c>
      <c r="J1729" t="n">
        <v>0</v>
      </c>
      <c r="K1729" t="n">
        <v>0</v>
      </c>
      <c r="L1729" t="n">
        <v>0</v>
      </c>
      <c r="M1729" t="n">
        <v>0</v>
      </c>
      <c r="N1729" t="n">
        <v>0</v>
      </c>
      <c r="O1729" t="n">
        <v>0</v>
      </c>
      <c r="P1729" t="n">
        <v>0</v>
      </c>
      <c r="Q1729" t="n">
        <v>0</v>
      </c>
      <c r="R1729" s="2" t="inlineStr"/>
    </row>
    <row r="1730" ht="15" customHeight="1">
      <c r="A1730" t="inlineStr">
        <is>
          <t>A 5952-2019</t>
        </is>
      </c>
      <c r="B1730" s="1" t="n">
        <v>43491</v>
      </c>
      <c r="C1730" s="1" t="n">
        <v>45212</v>
      </c>
      <c r="D1730" t="inlineStr">
        <is>
          <t>VÄSTRA GÖTALANDS LÄN</t>
        </is>
      </c>
      <c r="E1730" t="inlineStr">
        <is>
          <t>HERRLJUNGA</t>
        </is>
      </c>
      <c r="G1730" t="n">
        <v>0.3</v>
      </c>
      <c r="H1730" t="n">
        <v>0</v>
      </c>
      <c r="I1730" t="n">
        <v>0</v>
      </c>
      <c r="J1730" t="n">
        <v>0</v>
      </c>
      <c r="K1730" t="n">
        <v>0</v>
      </c>
      <c r="L1730" t="n">
        <v>0</v>
      </c>
      <c r="M1730" t="n">
        <v>0</v>
      </c>
      <c r="N1730" t="n">
        <v>0</v>
      </c>
      <c r="O1730" t="n">
        <v>0</v>
      </c>
      <c r="P1730" t="n">
        <v>0</v>
      </c>
      <c r="Q1730" t="n">
        <v>0</v>
      </c>
      <c r="R1730" s="2" t="inlineStr"/>
    </row>
    <row r="1731" ht="15" customHeight="1">
      <c r="A1731" t="inlineStr">
        <is>
          <t>A 5954-2019</t>
        </is>
      </c>
      <c r="B1731" s="1" t="n">
        <v>43492</v>
      </c>
      <c r="C1731" s="1" t="n">
        <v>45212</v>
      </c>
      <c r="D1731" t="inlineStr">
        <is>
          <t>VÄSTRA GÖTALANDS LÄN</t>
        </is>
      </c>
      <c r="E1731" t="inlineStr">
        <is>
          <t>KUNGÄLV</t>
        </is>
      </c>
      <c r="G1731" t="n">
        <v>6.4</v>
      </c>
      <c r="H1731" t="n">
        <v>0</v>
      </c>
      <c r="I1731" t="n">
        <v>0</v>
      </c>
      <c r="J1731" t="n">
        <v>0</v>
      </c>
      <c r="K1731" t="n">
        <v>0</v>
      </c>
      <c r="L1731" t="n">
        <v>0</v>
      </c>
      <c r="M1731" t="n">
        <v>0</v>
      </c>
      <c r="N1731" t="n">
        <v>0</v>
      </c>
      <c r="O1731" t="n">
        <v>0</v>
      </c>
      <c r="P1731" t="n">
        <v>0</v>
      </c>
      <c r="Q1731" t="n">
        <v>0</v>
      </c>
      <c r="R1731" s="2" t="inlineStr"/>
    </row>
    <row r="1732" ht="15" customHeight="1">
      <c r="A1732" t="inlineStr">
        <is>
          <t>A 5979-2019</t>
        </is>
      </c>
      <c r="B1732" s="1" t="n">
        <v>43493</v>
      </c>
      <c r="C1732" s="1" t="n">
        <v>45212</v>
      </c>
      <c r="D1732" t="inlineStr">
        <is>
          <t>VÄSTRA GÖTALANDS LÄN</t>
        </is>
      </c>
      <c r="E1732" t="inlineStr">
        <is>
          <t>FÄRGELANDA</t>
        </is>
      </c>
      <c r="G1732" t="n">
        <v>5</v>
      </c>
      <c r="H1732" t="n">
        <v>0</v>
      </c>
      <c r="I1732" t="n">
        <v>0</v>
      </c>
      <c r="J1732" t="n">
        <v>0</v>
      </c>
      <c r="K1732" t="n">
        <v>0</v>
      </c>
      <c r="L1732" t="n">
        <v>0</v>
      </c>
      <c r="M1732" t="n">
        <v>0</v>
      </c>
      <c r="N1732" t="n">
        <v>0</v>
      </c>
      <c r="O1732" t="n">
        <v>0</v>
      </c>
      <c r="P1732" t="n">
        <v>0</v>
      </c>
      <c r="Q1732" t="n">
        <v>0</v>
      </c>
      <c r="R1732" s="2" t="inlineStr"/>
    </row>
    <row r="1733" ht="15" customHeight="1">
      <c r="A1733" t="inlineStr">
        <is>
          <t>A 6199-2019</t>
        </is>
      </c>
      <c r="B1733" s="1" t="n">
        <v>43493</v>
      </c>
      <c r="C1733" s="1" t="n">
        <v>45212</v>
      </c>
      <c r="D1733" t="inlineStr">
        <is>
          <t>VÄSTRA GÖTALANDS LÄN</t>
        </is>
      </c>
      <c r="E1733" t="inlineStr">
        <is>
          <t>HÄRRYDA</t>
        </is>
      </c>
      <c r="G1733" t="n">
        <v>2.6</v>
      </c>
      <c r="H1733" t="n">
        <v>0</v>
      </c>
      <c r="I1733" t="n">
        <v>0</v>
      </c>
      <c r="J1733" t="n">
        <v>0</v>
      </c>
      <c r="K1733" t="n">
        <v>0</v>
      </c>
      <c r="L1733" t="n">
        <v>0</v>
      </c>
      <c r="M1733" t="n">
        <v>0</v>
      </c>
      <c r="N1733" t="n">
        <v>0</v>
      </c>
      <c r="O1733" t="n">
        <v>0</v>
      </c>
      <c r="P1733" t="n">
        <v>0</v>
      </c>
      <c r="Q1733" t="n">
        <v>0</v>
      </c>
      <c r="R1733" s="2" t="inlineStr"/>
    </row>
    <row r="1734" ht="15" customHeight="1">
      <c r="A1734" t="inlineStr">
        <is>
          <t>A 7489-2019</t>
        </is>
      </c>
      <c r="B1734" s="1" t="n">
        <v>43493</v>
      </c>
      <c r="C1734" s="1" t="n">
        <v>45212</v>
      </c>
      <c r="D1734" t="inlineStr">
        <is>
          <t>VÄSTRA GÖTALANDS LÄN</t>
        </is>
      </c>
      <c r="E1734" t="inlineStr">
        <is>
          <t>KARLSBORG</t>
        </is>
      </c>
      <c r="G1734" t="n">
        <v>7</v>
      </c>
      <c r="H1734" t="n">
        <v>0</v>
      </c>
      <c r="I1734" t="n">
        <v>0</v>
      </c>
      <c r="J1734" t="n">
        <v>0</v>
      </c>
      <c r="K1734" t="n">
        <v>0</v>
      </c>
      <c r="L1734" t="n">
        <v>0</v>
      </c>
      <c r="M1734" t="n">
        <v>0</v>
      </c>
      <c r="N1734" t="n">
        <v>0</v>
      </c>
      <c r="O1734" t="n">
        <v>0</v>
      </c>
      <c r="P1734" t="n">
        <v>0</v>
      </c>
      <c r="Q1734" t="n">
        <v>0</v>
      </c>
      <c r="R1734" s="2" t="inlineStr"/>
    </row>
    <row r="1735" ht="15" customHeight="1">
      <c r="A1735" t="inlineStr">
        <is>
          <t>A 7770-2019</t>
        </is>
      </c>
      <c r="B1735" s="1" t="n">
        <v>43493</v>
      </c>
      <c r="C1735" s="1" t="n">
        <v>45212</v>
      </c>
      <c r="D1735" t="inlineStr">
        <is>
          <t>VÄSTRA GÖTALANDS LÄN</t>
        </is>
      </c>
      <c r="E1735" t="inlineStr">
        <is>
          <t>BORÅS</t>
        </is>
      </c>
      <c r="F1735" t="inlineStr">
        <is>
          <t>Kommuner</t>
        </is>
      </c>
      <c r="G1735" t="n">
        <v>2.2</v>
      </c>
      <c r="H1735" t="n">
        <v>0</v>
      </c>
      <c r="I1735" t="n">
        <v>0</v>
      </c>
      <c r="J1735" t="n">
        <v>0</v>
      </c>
      <c r="K1735" t="n">
        <v>0</v>
      </c>
      <c r="L1735" t="n">
        <v>0</v>
      </c>
      <c r="M1735" t="n">
        <v>0</v>
      </c>
      <c r="N1735" t="n">
        <v>0</v>
      </c>
      <c r="O1735" t="n">
        <v>0</v>
      </c>
      <c r="P1735" t="n">
        <v>0</v>
      </c>
      <c r="Q1735" t="n">
        <v>0</v>
      </c>
      <c r="R1735" s="2" t="inlineStr"/>
    </row>
    <row r="1736" ht="15" customHeight="1">
      <c r="A1736" t="inlineStr">
        <is>
          <t>A 7841-2019</t>
        </is>
      </c>
      <c r="B1736" s="1" t="n">
        <v>43493</v>
      </c>
      <c r="C1736" s="1" t="n">
        <v>45212</v>
      </c>
      <c r="D1736" t="inlineStr">
        <is>
          <t>VÄSTRA GÖTALANDS LÄN</t>
        </is>
      </c>
      <c r="E1736" t="inlineStr">
        <is>
          <t>BORÅS</t>
        </is>
      </c>
      <c r="F1736" t="inlineStr">
        <is>
          <t>Kommuner</t>
        </is>
      </c>
      <c r="G1736" t="n">
        <v>3.5</v>
      </c>
      <c r="H1736" t="n">
        <v>0</v>
      </c>
      <c r="I1736" t="n">
        <v>0</v>
      </c>
      <c r="J1736" t="n">
        <v>0</v>
      </c>
      <c r="K1736" t="n">
        <v>0</v>
      </c>
      <c r="L1736" t="n">
        <v>0</v>
      </c>
      <c r="M1736" t="n">
        <v>0</v>
      </c>
      <c r="N1736" t="n">
        <v>0</v>
      </c>
      <c r="O1736" t="n">
        <v>0</v>
      </c>
      <c r="P1736" t="n">
        <v>0</v>
      </c>
      <c r="Q1736" t="n">
        <v>0</v>
      </c>
      <c r="R1736" s="2" t="inlineStr"/>
    </row>
    <row r="1737" ht="15" customHeight="1">
      <c r="A1737" t="inlineStr">
        <is>
          <t>A 5964-2019</t>
        </is>
      </c>
      <c r="B1737" s="1" t="n">
        <v>43493</v>
      </c>
      <c r="C1737" s="1" t="n">
        <v>45212</v>
      </c>
      <c r="D1737" t="inlineStr">
        <is>
          <t>VÄSTRA GÖTALANDS LÄN</t>
        </is>
      </c>
      <c r="E1737" t="inlineStr">
        <is>
          <t>ORUST</t>
        </is>
      </c>
      <c r="G1737" t="n">
        <v>2.2</v>
      </c>
      <c r="H1737" t="n">
        <v>0</v>
      </c>
      <c r="I1737" t="n">
        <v>0</v>
      </c>
      <c r="J1737" t="n">
        <v>0</v>
      </c>
      <c r="K1737" t="n">
        <v>0</v>
      </c>
      <c r="L1737" t="n">
        <v>0</v>
      </c>
      <c r="M1737" t="n">
        <v>0</v>
      </c>
      <c r="N1737" t="n">
        <v>0</v>
      </c>
      <c r="O1737" t="n">
        <v>0</v>
      </c>
      <c r="P1737" t="n">
        <v>0</v>
      </c>
      <c r="Q1737" t="n">
        <v>0</v>
      </c>
      <c r="R1737" s="2" t="inlineStr"/>
    </row>
    <row r="1738" ht="15" customHeight="1">
      <c r="A1738" t="inlineStr">
        <is>
          <t>A 6151-2019</t>
        </is>
      </c>
      <c r="B1738" s="1" t="n">
        <v>43493</v>
      </c>
      <c r="C1738" s="1" t="n">
        <v>45212</v>
      </c>
      <c r="D1738" t="inlineStr">
        <is>
          <t>VÄSTRA GÖTALANDS LÄN</t>
        </is>
      </c>
      <c r="E1738" t="inlineStr">
        <is>
          <t>HÄRRYDA</t>
        </is>
      </c>
      <c r="G1738" t="n">
        <v>0.8</v>
      </c>
      <c r="H1738" t="n">
        <v>0</v>
      </c>
      <c r="I1738" t="n">
        <v>0</v>
      </c>
      <c r="J1738" t="n">
        <v>0</v>
      </c>
      <c r="K1738" t="n">
        <v>0</v>
      </c>
      <c r="L1738" t="n">
        <v>0</v>
      </c>
      <c r="M1738" t="n">
        <v>0</v>
      </c>
      <c r="N1738" t="n">
        <v>0</v>
      </c>
      <c r="O1738" t="n">
        <v>0</v>
      </c>
      <c r="P1738" t="n">
        <v>0</v>
      </c>
      <c r="Q1738" t="n">
        <v>0</v>
      </c>
      <c r="R1738" s="2" t="inlineStr"/>
    </row>
    <row r="1739" ht="15" customHeight="1">
      <c r="A1739" t="inlineStr">
        <is>
          <t>A 7813-2019</t>
        </is>
      </c>
      <c r="B1739" s="1" t="n">
        <v>43493</v>
      </c>
      <c r="C1739" s="1" t="n">
        <v>45212</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6115-2019</t>
        </is>
      </c>
      <c r="B1740" s="1" t="n">
        <v>43493</v>
      </c>
      <c r="C1740" s="1" t="n">
        <v>45212</v>
      </c>
      <c r="D1740" t="inlineStr">
        <is>
          <t>VÄSTRA GÖTALANDS LÄN</t>
        </is>
      </c>
      <c r="E1740" t="inlineStr">
        <is>
          <t>HÄRRYDA</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6327-2019</t>
        </is>
      </c>
      <c r="B1741" s="1" t="n">
        <v>43493</v>
      </c>
      <c r="C1741" s="1" t="n">
        <v>45212</v>
      </c>
      <c r="D1741" t="inlineStr">
        <is>
          <t>VÄSTRA GÖTALANDS LÄN</t>
        </is>
      </c>
      <c r="E1741" t="inlineStr">
        <is>
          <t>TÖREBODA</t>
        </is>
      </c>
      <c r="G1741" t="n">
        <v>1.5</v>
      </c>
      <c r="H1741" t="n">
        <v>0</v>
      </c>
      <c r="I1741" t="n">
        <v>0</v>
      </c>
      <c r="J1741" t="n">
        <v>0</v>
      </c>
      <c r="K1741" t="n">
        <v>0</v>
      </c>
      <c r="L1741" t="n">
        <v>0</v>
      </c>
      <c r="M1741" t="n">
        <v>0</v>
      </c>
      <c r="N1741" t="n">
        <v>0</v>
      </c>
      <c r="O1741" t="n">
        <v>0</v>
      </c>
      <c r="P1741" t="n">
        <v>0</v>
      </c>
      <c r="Q1741" t="n">
        <v>0</v>
      </c>
      <c r="R1741" s="2" t="inlineStr"/>
    </row>
    <row r="1742" ht="15" customHeight="1">
      <c r="A1742" t="inlineStr">
        <is>
          <t>A 7668-2019</t>
        </is>
      </c>
      <c r="B1742" s="1" t="n">
        <v>43493</v>
      </c>
      <c r="C1742" s="1" t="n">
        <v>45212</v>
      </c>
      <c r="D1742" t="inlineStr">
        <is>
          <t>VÄSTRA GÖTALANDS LÄN</t>
        </is>
      </c>
      <c r="E1742" t="inlineStr">
        <is>
          <t>VÄNERSBORG</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7747-2019</t>
        </is>
      </c>
      <c r="B1743" s="1" t="n">
        <v>43493</v>
      </c>
      <c r="C1743" s="1" t="n">
        <v>45212</v>
      </c>
      <c r="D1743" t="inlineStr">
        <is>
          <t>VÄSTRA GÖTALANDS LÄN</t>
        </is>
      </c>
      <c r="E1743" t="inlineStr">
        <is>
          <t>BORÅS</t>
        </is>
      </c>
      <c r="F1743" t="inlineStr">
        <is>
          <t>Kommuner</t>
        </is>
      </c>
      <c r="G1743" t="n">
        <v>4.5</v>
      </c>
      <c r="H1743" t="n">
        <v>0</v>
      </c>
      <c r="I1743" t="n">
        <v>0</v>
      </c>
      <c r="J1743" t="n">
        <v>0</v>
      </c>
      <c r="K1743" t="n">
        <v>0</v>
      </c>
      <c r="L1743" t="n">
        <v>0</v>
      </c>
      <c r="M1743" t="n">
        <v>0</v>
      </c>
      <c r="N1743" t="n">
        <v>0</v>
      </c>
      <c r="O1743" t="n">
        <v>0</v>
      </c>
      <c r="P1743" t="n">
        <v>0</v>
      </c>
      <c r="Q1743" t="n">
        <v>0</v>
      </c>
      <c r="R1743" s="2" t="inlineStr"/>
    </row>
    <row r="1744" ht="15" customHeight="1">
      <c r="A1744" t="inlineStr">
        <is>
          <t>A 7806-2019</t>
        </is>
      </c>
      <c r="B1744" s="1" t="n">
        <v>43493</v>
      </c>
      <c r="C1744" s="1" t="n">
        <v>45212</v>
      </c>
      <c r="D1744" t="inlineStr">
        <is>
          <t>VÄSTRA GÖTALANDS LÄN</t>
        </is>
      </c>
      <c r="E1744" t="inlineStr">
        <is>
          <t>BORÅS</t>
        </is>
      </c>
      <c r="F1744" t="inlineStr">
        <is>
          <t>Kommuner</t>
        </is>
      </c>
      <c r="G1744" t="n">
        <v>4.1</v>
      </c>
      <c r="H1744" t="n">
        <v>0</v>
      </c>
      <c r="I1744" t="n">
        <v>0</v>
      </c>
      <c r="J1744" t="n">
        <v>0</v>
      </c>
      <c r="K1744" t="n">
        <v>0</v>
      </c>
      <c r="L1744" t="n">
        <v>0</v>
      </c>
      <c r="M1744" t="n">
        <v>0</v>
      </c>
      <c r="N1744" t="n">
        <v>0</v>
      </c>
      <c r="O1744" t="n">
        <v>0</v>
      </c>
      <c r="P1744" t="n">
        <v>0</v>
      </c>
      <c r="Q1744" t="n">
        <v>0</v>
      </c>
      <c r="R1744" s="2" t="inlineStr"/>
    </row>
    <row r="1745" ht="15" customHeight="1">
      <c r="A1745" t="inlineStr">
        <is>
          <t>A 6193-2019</t>
        </is>
      </c>
      <c r="B1745" s="1" t="n">
        <v>43493</v>
      </c>
      <c r="C1745" s="1" t="n">
        <v>45212</v>
      </c>
      <c r="D1745" t="inlineStr">
        <is>
          <t>VÄSTRA GÖTALANDS LÄN</t>
        </is>
      </c>
      <c r="E1745" t="inlineStr">
        <is>
          <t>BORÅS</t>
        </is>
      </c>
      <c r="G1745" t="n">
        <v>2.1</v>
      </c>
      <c r="H1745" t="n">
        <v>0</v>
      </c>
      <c r="I1745" t="n">
        <v>0</v>
      </c>
      <c r="J1745" t="n">
        <v>0</v>
      </c>
      <c r="K1745" t="n">
        <v>0</v>
      </c>
      <c r="L1745" t="n">
        <v>0</v>
      </c>
      <c r="M1745" t="n">
        <v>0</v>
      </c>
      <c r="N1745" t="n">
        <v>0</v>
      </c>
      <c r="O1745" t="n">
        <v>0</v>
      </c>
      <c r="P1745" t="n">
        <v>0</v>
      </c>
      <c r="Q1745" t="n">
        <v>0</v>
      </c>
      <c r="R1745" s="2" t="inlineStr"/>
    </row>
    <row r="1746" ht="15" customHeight="1">
      <c r="A1746" t="inlineStr">
        <is>
          <t>A 6288-2019</t>
        </is>
      </c>
      <c r="B1746" s="1" t="n">
        <v>43493</v>
      </c>
      <c r="C1746" s="1" t="n">
        <v>45212</v>
      </c>
      <c r="D1746" t="inlineStr">
        <is>
          <t>VÄSTRA GÖTALANDS LÄN</t>
        </is>
      </c>
      <c r="E1746" t="inlineStr">
        <is>
          <t>GRÄSTORP</t>
        </is>
      </c>
      <c r="G1746" t="n">
        <v>1.6</v>
      </c>
      <c r="H1746" t="n">
        <v>0</v>
      </c>
      <c r="I1746" t="n">
        <v>0</v>
      </c>
      <c r="J1746" t="n">
        <v>0</v>
      </c>
      <c r="K1746" t="n">
        <v>0</v>
      </c>
      <c r="L1746" t="n">
        <v>0</v>
      </c>
      <c r="M1746" t="n">
        <v>0</v>
      </c>
      <c r="N1746" t="n">
        <v>0</v>
      </c>
      <c r="O1746" t="n">
        <v>0</v>
      </c>
      <c r="P1746" t="n">
        <v>0</v>
      </c>
      <c r="Q1746" t="n">
        <v>0</v>
      </c>
      <c r="R1746" s="2" t="inlineStr"/>
    </row>
    <row r="1747" ht="15" customHeight="1">
      <c r="A1747" t="inlineStr">
        <is>
          <t>A 7756-2019</t>
        </is>
      </c>
      <c r="B1747" s="1" t="n">
        <v>43493</v>
      </c>
      <c r="C1747" s="1" t="n">
        <v>45212</v>
      </c>
      <c r="D1747" t="inlineStr">
        <is>
          <t>VÄSTRA GÖTALANDS LÄN</t>
        </is>
      </c>
      <c r="E1747" t="inlineStr">
        <is>
          <t>BORÅS</t>
        </is>
      </c>
      <c r="F1747" t="inlineStr">
        <is>
          <t>Kommuner</t>
        </is>
      </c>
      <c r="G1747" t="n">
        <v>8.199999999999999</v>
      </c>
      <c r="H1747" t="n">
        <v>0</v>
      </c>
      <c r="I1747" t="n">
        <v>0</v>
      </c>
      <c r="J1747" t="n">
        <v>0</v>
      </c>
      <c r="K1747" t="n">
        <v>0</v>
      </c>
      <c r="L1747" t="n">
        <v>0</v>
      </c>
      <c r="M1747" t="n">
        <v>0</v>
      </c>
      <c r="N1747" t="n">
        <v>0</v>
      </c>
      <c r="O1747" t="n">
        <v>0</v>
      </c>
      <c r="P1747" t="n">
        <v>0</v>
      </c>
      <c r="Q1747" t="n">
        <v>0</v>
      </c>
      <c r="R1747" s="2" t="inlineStr"/>
    </row>
    <row r="1748" ht="15" customHeight="1">
      <c r="A1748" t="inlineStr">
        <is>
          <t>A 7834-2019</t>
        </is>
      </c>
      <c r="B1748" s="1" t="n">
        <v>43493</v>
      </c>
      <c r="C1748" s="1" t="n">
        <v>45212</v>
      </c>
      <c r="D1748" t="inlineStr">
        <is>
          <t>VÄSTRA GÖTALANDS LÄN</t>
        </is>
      </c>
      <c r="E1748" t="inlineStr">
        <is>
          <t>BORÅS</t>
        </is>
      </c>
      <c r="F1748" t="inlineStr">
        <is>
          <t>Kommuner</t>
        </is>
      </c>
      <c r="G1748" t="n">
        <v>6.5</v>
      </c>
      <c r="H1748" t="n">
        <v>0</v>
      </c>
      <c r="I1748" t="n">
        <v>0</v>
      </c>
      <c r="J1748" t="n">
        <v>0</v>
      </c>
      <c r="K1748" t="n">
        <v>0</v>
      </c>
      <c r="L1748" t="n">
        <v>0</v>
      </c>
      <c r="M1748" t="n">
        <v>0</v>
      </c>
      <c r="N1748" t="n">
        <v>0</v>
      </c>
      <c r="O1748" t="n">
        <v>0</v>
      </c>
      <c r="P1748" t="n">
        <v>0</v>
      </c>
      <c r="Q1748" t="n">
        <v>0</v>
      </c>
      <c r="R1748" s="2" t="inlineStr"/>
    </row>
    <row r="1749" ht="15" customHeight="1">
      <c r="A1749" t="inlineStr">
        <is>
          <t>A 6439-2019</t>
        </is>
      </c>
      <c r="B1749" s="1" t="n">
        <v>43494</v>
      </c>
      <c r="C1749" s="1" t="n">
        <v>45212</v>
      </c>
      <c r="D1749" t="inlineStr">
        <is>
          <t>VÄSTRA GÖTALANDS LÄN</t>
        </is>
      </c>
      <c r="E1749" t="inlineStr">
        <is>
          <t>MARK</t>
        </is>
      </c>
      <c r="F1749" t="inlineStr">
        <is>
          <t>Sveaskog</t>
        </is>
      </c>
      <c r="G1749" t="n">
        <v>7.8</v>
      </c>
      <c r="H1749" t="n">
        <v>0</v>
      </c>
      <c r="I1749" t="n">
        <v>0</v>
      </c>
      <c r="J1749" t="n">
        <v>0</v>
      </c>
      <c r="K1749" t="n">
        <v>0</v>
      </c>
      <c r="L1749" t="n">
        <v>0</v>
      </c>
      <c r="M1749" t="n">
        <v>0</v>
      </c>
      <c r="N1749" t="n">
        <v>0</v>
      </c>
      <c r="O1749" t="n">
        <v>0</v>
      </c>
      <c r="P1749" t="n">
        <v>0</v>
      </c>
      <c r="Q1749" t="n">
        <v>0</v>
      </c>
      <c r="R1749" s="2" t="inlineStr"/>
    </row>
    <row r="1750" ht="15" customHeight="1">
      <c r="A1750" t="inlineStr">
        <is>
          <t>A 6477-2019</t>
        </is>
      </c>
      <c r="B1750" s="1" t="n">
        <v>43494</v>
      </c>
      <c r="C1750" s="1" t="n">
        <v>45212</v>
      </c>
      <c r="D1750" t="inlineStr">
        <is>
          <t>VÄSTRA GÖTALANDS LÄN</t>
        </is>
      </c>
      <c r="E1750" t="inlineStr">
        <is>
          <t>ULRICEHAMN</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6486-2019</t>
        </is>
      </c>
      <c r="B1751" s="1" t="n">
        <v>43494</v>
      </c>
      <c r="C1751" s="1" t="n">
        <v>45212</v>
      </c>
      <c r="D1751" t="inlineStr">
        <is>
          <t>VÄSTRA GÖTALANDS LÄN</t>
        </is>
      </c>
      <c r="E1751" t="inlineStr">
        <is>
          <t>FÄRGELANDA</t>
        </is>
      </c>
      <c r="G1751" t="n">
        <v>1.8</v>
      </c>
      <c r="H1751" t="n">
        <v>0</v>
      </c>
      <c r="I1751" t="n">
        <v>0</v>
      </c>
      <c r="J1751" t="n">
        <v>0</v>
      </c>
      <c r="K1751" t="n">
        <v>0</v>
      </c>
      <c r="L1751" t="n">
        <v>0</v>
      </c>
      <c r="M1751" t="n">
        <v>0</v>
      </c>
      <c r="N1751" t="n">
        <v>0</v>
      </c>
      <c r="O1751" t="n">
        <v>0</v>
      </c>
      <c r="P1751" t="n">
        <v>0</v>
      </c>
      <c r="Q1751" t="n">
        <v>0</v>
      </c>
      <c r="R1751" s="2" t="inlineStr"/>
    </row>
    <row r="1752" ht="15" customHeight="1">
      <c r="A1752" t="inlineStr">
        <is>
          <t>A 8034-2019</t>
        </is>
      </c>
      <c r="B1752" s="1" t="n">
        <v>43494</v>
      </c>
      <c r="C1752" s="1" t="n">
        <v>45212</v>
      </c>
      <c r="D1752" t="inlineStr">
        <is>
          <t>VÄSTRA GÖTALANDS LÄN</t>
        </is>
      </c>
      <c r="E1752" t="inlineStr">
        <is>
          <t>GULLSPÅNG</t>
        </is>
      </c>
      <c r="G1752" t="n">
        <v>3.8</v>
      </c>
      <c r="H1752" t="n">
        <v>0</v>
      </c>
      <c r="I1752" t="n">
        <v>0</v>
      </c>
      <c r="J1752" t="n">
        <v>0</v>
      </c>
      <c r="K1752" t="n">
        <v>0</v>
      </c>
      <c r="L1752" t="n">
        <v>0</v>
      </c>
      <c r="M1752" t="n">
        <v>0</v>
      </c>
      <c r="N1752" t="n">
        <v>0</v>
      </c>
      <c r="O1752" t="n">
        <v>0</v>
      </c>
      <c r="P1752" t="n">
        <v>0</v>
      </c>
      <c r="Q1752" t="n">
        <v>0</v>
      </c>
      <c r="R1752" s="2" t="inlineStr"/>
    </row>
    <row r="1753" ht="15" customHeight="1">
      <c r="A1753" t="inlineStr">
        <is>
          <t>A 6472-2019</t>
        </is>
      </c>
      <c r="B1753" s="1" t="n">
        <v>43494</v>
      </c>
      <c r="C1753" s="1" t="n">
        <v>45212</v>
      </c>
      <c r="D1753" t="inlineStr">
        <is>
          <t>VÄSTRA GÖTALANDS LÄN</t>
        </is>
      </c>
      <c r="E1753" t="inlineStr">
        <is>
          <t>TIDAHOLM</t>
        </is>
      </c>
      <c r="G1753" t="n">
        <v>8.4</v>
      </c>
      <c r="H1753" t="n">
        <v>0</v>
      </c>
      <c r="I1753" t="n">
        <v>0</v>
      </c>
      <c r="J1753" t="n">
        <v>0</v>
      </c>
      <c r="K1753" t="n">
        <v>0</v>
      </c>
      <c r="L1753" t="n">
        <v>0</v>
      </c>
      <c r="M1753" t="n">
        <v>0</v>
      </c>
      <c r="N1753" t="n">
        <v>0</v>
      </c>
      <c r="O1753" t="n">
        <v>0</v>
      </c>
      <c r="P1753" t="n">
        <v>0</v>
      </c>
      <c r="Q1753" t="n">
        <v>0</v>
      </c>
      <c r="R1753" s="2" t="inlineStr"/>
    </row>
    <row r="1754" ht="15" customHeight="1">
      <c r="A1754" t="inlineStr">
        <is>
          <t>A 6550-2019</t>
        </is>
      </c>
      <c r="B1754" s="1" t="n">
        <v>43494</v>
      </c>
      <c r="C1754" s="1" t="n">
        <v>45212</v>
      </c>
      <c r="D1754" t="inlineStr">
        <is>
          <t>VÄSTRA GÖTALANDS LÄN</t>
        </is>
      </c>
      <c r="E1754" t="inlineStr">
        <is>
          <t>FÄRGELANDA</t>
        </is>
      </c>
      <c r="G1754" t="n">
        <v>1.5</v>
      </c>
      <c r="H1754" t="n">
        <v>0</v>
      </c>
      <c r="I1754" t="n">
        <v>0</v>
      </c>
      <c r="J1754" t="n">
        <v>0</v>
      </c>
      <c r="K1754" t="n">
        <v>0</v>
      </c>
      <c r="L1754" t="n">
        <v>0</v>
      </c>
      <c r="M1754" t="n">
        <v>0</v>
      </c>
      <c r="N1754" t="n">
        <v>0</v>
      </c>
      <c r="O1754" t="n">
        <v>0</v>
      </c>
      <c r="P1754" t="n">
        <v>0</v>
      </c>
      <c r="Q1754" t="n">
        <v>0</v>
      </c>
      <c r="R1754" s="2" t="inlineStr"/>
    </row>
    <row r="1755" ht="15" customHeight="1">
      <c r="A1755" t="inlineStr">
        <is>
          <t>A 6615-2019</t>
        </is>
      </c>
      <c r="B1755" s="1" t="n">
        <v>43494</v>
      </c>
      <c r="C1755" s="1" t="n">
        <v>45212</v>
      </c>
      <c r="D1755" t="inlineStr">
        <is>
          <t>VÄSTRA GÖTALANDS LÄN</t>
        </is>
      </c>
      <c r="E1755" t="inlineStr">
        <is>
          <t>DALS-ED</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6630-2019</t>
        </is>
      </c>
      <c r="B1756" s="1" t="n">
        <v>43494</v>
      </c>
      <c r="C1756" s="1" t="n">
        <v>45212</v>
      </c>
      <c r="D1756" t="inlineStr">
        <is>
          <t>VÄSTRA GÖTALANDS LÄN</t>
        </is>
      </c>
      <c r="E1756" t="inlineStr">
        <is>
          <t>ALINGSÅS</t>
        </is>
      </c>
      <c r="G1756" t="n">
        <v>2.2</v>
      </c>
      <c r="H1756" t="n">
        <v>0</v>
      </c>
      <c r="I1756" t="n">
        <v>0</v>
      </c>
      <c r="J1756" t="n">
        <v>0</v>
      </c>
      <c r="K1756" t="n">
        <v>0</v>
      </c>
      <c r="L1756" t="n">
        <v>0</v>
      </c>
      <c r="M1756" t="n">
        <v>0</v>
      </c>
      <c r="N1756" t="n">
        <v>0</v>
      </c>
      <c r="O1756" t="n">
        <v>0</v>
      </c>
      <c r="P1756" t="n">
        <v>0</v>
      </c>
      <c r="Q1756" t="n">
        <v>0</v>
      </c>
      <c r="R1756" s="2" t="inlineStr"/>
    </row>
    <row r="1757" ht="15" customHeight="1">
      <c r="A1757" t="inlineStr">
        <is>
          <t>A 6743-2019</t>
        </is>
      </c>
      <c r="B1757" s="1" t="n">
        <v>43494</v>
      </c>
      <c r="C1757" s="1" t="n">
        <v>45212</v>
      </c>
      <c r="D1757" t="inlineStr">
        <is>
          <t>VÄSTRA GÖTALANDS LÄN</t>
        </is>
      </c>
      <c r="E1757" t="inlineStr">
        <is>
          <t>BENGTSFORS</t>
        </is>
      </c>
      <c r="G1757" t="n">
        <v>5</v>
      </c>
      <c r="H1757" t="n">
        <v>0</v>
      </c>
      <c r="I1757" t="n">
        <v>0</v>
      </c>
      <c r="J1757" t="n">
        <v>0</v>
      </c>
      <c r="K1757" t="n">
        <v>0</v>
      </c>
      <c r="L1757" t="n">
        <v>0</v>
      </c>
      <c r="M1757" t="n">
        <v>0</v>
      </c>
      <c r="N1757" t="n">
        <v>0</v>
      </c>
      <c r="O1757" t="n">
        <v>0</v>
      </c>
      <c r="P1757" t="n">
        <v>0</v>
      </c>
      <c r="Q1757" t="n">
        <v>0</v>
      </c>
      <c r="R1757" s="2" t="inlineStr"/>
    </row>
    <row r="1758" ht="15" customHeight="1">
      <c r="A1758" t="inlineStr">
        <is>
          <t>A 6632-2019</t>
        </is>
      </c>
      <c r="B1758" s="1" t="n">
        <v>43494</v>
      </c>
      <c r="C1758" s="1" t="n">
        <v>45212</v>
      </c>
      <c r="D1758" t="inlineStr">
        <is>
          <t>VÄSTRA GÖTALANDS LÄN</t>
        </is>
      </c>
      <c r="E1758" t="inlineStr">
        <is>
          <t>ALINGSÅS</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6642-2019</t>
        </is>
      </c>
      <c r="B1759" s="1" t="n">
        <v>43494</v>
      </c>
      <c r="C1759" s="1" t="n">
        <v>45212</v>
      </c>
      <c r="D1759" t="inlineStr">
        <is>
          <t>VÄSTRA GÖTALANDS LÄN</t>
        </is>
      </c>
      <c r="E1759" t="inlineStr">
        <is>
          <t>MARIESTAD</t>
        </is>
      </c>
      <c r="G1759" t="n">
        <v>6.6</v>
      </c>
      <c r="H1759" t="n">
        <v>0</v>
      </c>
      <c r="I1759" t="n">
        <v>0</v>
      </c>
      <c r="J1759" t="n">
        <v>0</v>
      </c>
      <c r="K1759" t="n">
        <v>0</v>
      </c>
      <c r="L1759" t="n">
        <v>0</v>
      </c>
      <c r="M1759" t="n">
        <v>0</v>
      </c>
      <c r="N1759" t="n">
        <v>0</v>
      </c>
      <c r="O1759" t="n">
        <v>0</v>
      </c>
      <c r="P1759" t="n">
        <v>0</v>
      </c>
      <c r="Q1759" t="n">
        <v>0</v>
      </c>
      <c r="R1759" s="2" t="inlineStr"/>
    </row>
    <row r="1760" ht="15" customHeight="1">
      <c r="A1760" t="inlineStr">
        <is>
          <t>A 6461-2019</t>
        </is>
      </c>
      <c r="B1760" s="1" t="n">
        <v>43494</v>
      </c>
      <c r="C1760" s="1" t="n">
        <v>45212</v>
      </c>
      <c r="D1760" t="inlineStr">
        <is>
          <t>VÄSTRA GÖTALANDS LÄN</t>
        </is>
      </c>
      <c r="E1760" t="inlineStr">
        <is>
          <t>ALINGSÅS</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6562-2019</t>
        </is>
      </c>
      <c r="B1761" s="1" t="n">
        <v>43494</v>
      </c>
      <c r="C1761" s="1" t="n">
        <v>45212</v>
      </c>
      <c r="D1761" t="inlineStr">
        <is>
          <t>VÄSTRA GÖTALANDS LÄN</t>
        </is>
      </c>
      <c r="E1761" t="inlineStr">
        <is>
          <t>MARK</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6627-2019</t>
        </is>
      </c>
      <c r="B1762" s="1" t="n">
        <v>43494</v>
      </c>
      <c r="C1762" s="1" t="n">
        <v>45212</v>
      </c>
      <c r="D1762" t="inlineStr">
        <is>
          <t>VÄSTRA GÖTALANDS LÄN</t>
        </is>
      </c>
      <c r="E1762" t="inlineStr">
        <is>
          <t>SVENLJUNGA</t>
        </is>
      </c>
      <c r="G1762" t="n">
        <v>4.5</v>
      </c>
      <c r="H1762" t="n">
        <v>0</v>
      </c>
      <c r="I1762" t="n">
        <v>0</v>
      </c>
      <c r="J1762" t="n">
        <v>0</v>
      </c>
      <c r="K1762" t="n">
        <v>0</v>
      </c>
      <c r="L1762" t="n">
        <v>0</v>
      </c>
      <c r="M1762" t="n">
        <v>0</v>
      </c>
      <c r="N1762" t="n">
        <v>0</v>
      </c>
      <c r="O1762" t="n">
        <v>0</v>
      </c>
      <c r="P1762" t="n">
        <v>0</v>
      </c>
      <c r="Q1762" t="n">
        <v>0</v>
      </c>
      <c r="R1762" s="2" t="inlineStr"/>
    </row>
    <row r="1763" ht="15" customHeight="1">
      <c r="A1763" t="inlineStr">
        <is>
          <t>A 6636-2019</t>
        </is>
      </c>
      <c r="B1763" s="1" t="n">
        <v>43494</v>
      </c>
      <c r="C1763" s="1" t="n">
        <v>45212</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6708-2019</t>
        </is>
      </c>
      <c r="B1764" s="1" t="n">
        <v>43494</v>
      </c>
      <c r="C1764" s="1" t="n">
        <v>45212</v>
      </c>
      <c r="D1764" t="inlineStr">
        <is>
          <t>VÄSTRA GÖTALANDS LÄN</t>
        </is>
      </c>
      <c r="E1764" t="inlineStr">
        <is>
          <t>MARIESTAD</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6963-2019</t>
        </is>
      </c>
      <c r="B1765" s="1" t="n">
        <v>43495</v>
      </c>
      <c r="C1765" s="1" t="n">
        <v>45212</v>
      </c>
      <c r="D1765" t="inlineStr">
        <is>
          <t>VÄSTRA GÖTALANDS LÄN</t>
        </is>
      </c>
      <c r="E1765" t="inlineStr">
        <is>
          <t>ALINGSÅS</t>
        </is>
      </c>
      <c r="G1765" t="n">
        <v>1.2</v>
      </c>
      <c r="H1765" t="n">
        <v>0</v>
      </c>
      <c r="I1765" t="n">
        <v>0</v>
      </c>
      <c r="J1765" t="n">
        <v>0</v>
      </c>
      <c r="K1765" t="n">
        <v>0</v>
      </c>
      <c r="L1765" t="n">
        <v>0</v>
      </c>
      <c r="M1765" t="n">
        <v>0</v>
      </c>
      <c r="N1765" t="n">
        <v>0</v>
      </c>
      <c r="O1765" t="n">
        <v>0</v>
      </c>
      <c r="P1765" t="n">
        <v>0</v>
      </c>
      <c r="Q1765" t="n">
        <v>0</v>
      </c>
      <c r="R1765" s="2" t="inlineStr"/>
    </row>
    <row r="1766" ht="15" customHeight="1">
      <c r="A1766" t="inlineStr">
        <is>
          <t>A 8374-2019</t>
        </is>
      </c>
      <c r="B1766" s="1" t="n">
        <v>43495</v>
      </c>
      <c r="C1766" s="1" t="n">
        <v>45212</v>
      </c>
      <c r="D1766" t="inlineStr">
        <is>
          <t>VÄSTRA GÖTALANDS LÄN</t>
        </is>
      </c>
      <c r="E1766" t="inlineStr">
        <is>
          <t>SKARA</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6856-2019</t>
        </is>
      </c>
      <c r="B1767" s="1" t="n">
        <v>43495</v>
      </c>
      <c r="C1767" s="1" t="n">
        <v>45212</v>
      </c>
      <c r="D1767" t="inlineStr">
        <is>
          <t>VÄSTRA GÖTALANDS LÄN</t>
        </is>
      </c>
      <c r="E1767" t="inlineStr">
        <is>
          <t>BENGTSFORS</t>
        </is>
      </c>
      <c r="G1767" t="n">
        <v>9.199999999999999</v>
      </c>
      <c r="H1767" t="n">
        <v>0</v>
      </c>
      <c r="I1767" t="n">
        <v>0</v>
      </c>
      <c r="J1767" t="n">
        <v>0</v>
      </c>
      <c r="K1767" t="n">
        <v>0</v>
      </c>
      <c r="L1767" t="n">
        <v>0</v>
      </c>
      <c r="M1767" t="n">
        <v>0</v>
      </c>
      <c r="N1767" t="n">
        <v>0</v>
      </c>
      <c r="O1767" t="n">
        <v>0</v>
      </c>
      <c r="P1767" t="n">
        <v>0</v>
      </c>
      <c r="Q1767" t="n">
        <v>0</v>
      </c>
      <c r="R1767" s="2" t="inlineStr"/>
    </row>
    <row r="1768" ht="15" customHeight="1">
      <c r="A1768" t="inlineStr">
        <is>
          <t>A 6944-2019</t>
        </is>
      </c>
      <c r="B1768" s="1" t="n">
        <v>43495</v>
      </c>
      <c r="C1768" s="1" t="n">
        <v>45212</v>
      </c>
      <c r="D1768" t="inlineStr">
        <is>
          <t>VÄSTRA GÖTALANDS LÄN</t>
        </is>
      </c>
      <c r="E1768" t="inlineStr">
        <is>
          <t>VARA</t>
        </is>
      </c>
      <c r="G1768" t="n">
        <v>3.7</v>
      </c>
      <c r="H1768" t="n">
        <v>0</v>
      </c>
      <c r="I1768" t="n">
        <v>0</v>
      </c>
      <c r="J1768" t="n">
        <v>0</v>
      </c>
      <c r="K1768" t="n">
        <v>0</v>
      </c>
      <c r="L1768" t="n">
        <v>0</v>
      </c>
      <c r="M1768" t="n">
        <v>0</v>
      </c>
      <c r="N1768" t="n">
        <v>0</v>
      </c>
      <c r="O1768" t="n">
        <v>0</v>
      </c>
      <c r="P1768" t="n">
        <v>0</v>
      </c>
      <c r="Q1768" t="n">
        <v>0</v>
      </c>
      <c r="R1768" s="2" t="inlineStr"/>
    </row>
    <row r="1769" ht="15" customHeight="1">
      <c r="A1769" t="inlineStr">
        <is>
          <t>A 7027-2019</t>
        </is>
      </c>
      <c r="B1769" s="1" t="n">
        <v>43495</v>
      </c>
      <c r="C1769" s="1" t="n">
        <v>45212</v>
      </c>
      <c r="D1769" t="inlineStr">
        <is>
          <t>VÄSTRA GÖTALANDS LÄN</t>
        </is>
      </c>
      <c r="E1769" t="inlineStr">
        <is>
          <t>HERRLJUNGA</t>
        </is>
      </c>
      <c r="G1769" t="n">
        <v>1.1</v>
      </c>
      <c r="H1769" t="n">
        <v>0</v>
      </c>
      <c r="I1769" t="n">
        <v>0</v>
      </c>
      <c r="J1769" t="n">
        <v>0</v>
      </c>
      <c r="K1769" t="n">
        <v>0</v>
      </c>
      <c r="L1769" t="n">
        <v>0</v>
      </c>
      <c r="M1769" t="n">
        <v>0</v>
      </c>
      <c r="N1769" t="n">
        <v>0</v>
      </c>
      <c r="O1769" t="n">
        <v>0</v>
      </c>
      <c r="P1769" t="n">
        <v>0</v>
      </c>
      <c r="Q1769" t="n">
        <v>0</v>
      </c>
      <c r="R1769" s="2" t="inlineStr"/>
    </row>
    <row r="1770" ht="15" customHeight="1">
      <c r="A1770" t="inlineStr">
        <is>
          <t>A 8378-2019</t>
        </is>
      </c>
      <c r="B1770" s="1" t="n">
        <v>43495</v>
      </c>
      <c r="C1770" s="1" t="n">
        <v>45212</v>
      </c>
      <c r="D1770" t="inlineStr">
        <is>
          <t>VÄSTRA GÖTALANDS LÄN</t>
        </is>
      </c>
      <c r="E1770" t="inlineStr">
        <is>
          <t>TIDAHOLM</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6788-2019</t>
        </is>
      </c>
      <c r="B1771" s="1" t="n">
        <v>43495</v>
      </c>
      <c r="C1771" s="1" t="n">
        <v>45212</v>
      </c>
      <c r="D1771" t="inlineStr">
        <is>
          <t>VÄSTRA GÖTALANDS LÄN</t>
        </is>
      </c>
      <c r="E1771" t="inlineStr">
        <is>
          <t>BORÅS</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6807-2019</t>
        </is>
      </c>
      <c r="B1772" s="1" t="n">
        <v>43495</v>
      </c>
      <c r="C1772" s="1" t="n">
        <v>45212</v>
      </c>
      <c r="D1772" t="inlineStr">
        <is>
          <t>VÄSTRA GÖTALANDS LÄN</t>
        </is>
      </c>
      <c r="E1772" t="inlineStr">
        <is>
          <t>HERRLJUNGA</t>
        </is>
      </c>
      <c r="G1772" t="n">
        <v>3.4</v>
      </c>
      <c r="H1772" t="n">
        <v>0</v>
      </c>
      <c r="I1772" t="n">
        <v>0</v>
      </c>
      <c r="J1772" t="n">
        <v>0</v>
      </c>
      <c r="K1772" t="n">
        <v>0</v>
      </c>
      <c r="L1772" t="n">
        <v>0</v>
      </c>
      <c r="M1772" t="n">
        <v>0</v>
      </c>
      <c r="N1772" t="n">
        <v>0</v>
      </c>
      <c r="O1772" t="n">
        <v>0</v>
      </c>
      <c r="P1772" t="n">
        <v>0</v>
      </c>
      <c r="Q1772" t="n">
        <v>0</v>
      </c>
      <c r="R1772" s="2" t="inlineStr"/>
    </row>
    <row r="1773" ht="15" customHeight="1">
      <c r="A1773" t="inlineStr">
        <is>
          <t>A 6828-2019</t>
        </is>
      </c>
      <c r="B1773" s="1" t="n">
        <v>43495</v>
      </c>
      <c r="C1773" s="1" t="n">
        <v>45212</v>
      </c>
      <c r="D1773" t="inlineStr">
        <is>
          <t>VÄSTRA GÖTALANDS LÄN</t>
        </is>
      </c>
      <c r="E1773" t="inlineStr">
        <is>
          <t>VÄNERSBORG</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6977-2019</t>
        </is>
      </c>
      <c r="B1774" s="1" t="n">
        <v>43495</v>
      </c>
      <c r="C1774" s="1" t="n">
        <v>45212</v>
      </c>
      <c r="D1774" t="inlineStr">
        <is>
          <t>VÄSTRA GÖTALANDS LÄN</t>
        </is>
      </c>
      <c r="E1774" t="inlineStr">
        <is>
          <t>SVENLJUNGA</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7005-2019</t>
        </is>
      </c>
      <c r="B1775" s="1" t="n">
        <v>43495</v>
      </c>
      <c r="C1775" s="1" t="n">
        <v>45212</v>
      </c>
      <c r="D1775" t="inlineStr">
        <is>
          <t>VÄSTRA GÖTALANDS LÄN</t>
        </is>
      </c>
      <c r="E1775" t="inlineStr">
        <is>
          <t>DALS-ED</t>
        </is>
      </c>
      <c r="G1775" t="n">
        <v>0.2</v>
      </c>
      <c r="H1775" t="n">
        <v>0</v>
      </c>
      <c r="I1775" t="n">
        <v>0</v>
      </c>
      <c r="J1775" t="n">
        <v>0</v>
      </c>
      <c r="K1775" t="n">
        <v>0</v>
      </c>
      <c r="L1775" t="n">
        <v>0</v>
      </c>
      <c r="M1775" t="n">
        <v>0</v>
      </c>
      <c r="N1775" t="n">
        <v>0</v>
      </c>
      <c r="O1775" t="n">
        <v>0</v>
      </c>
      <c r="P1775" t="n">
        <v>0</v>
      </c>
      <c r="Q1775" t="n">
        <v>0</v>
      </c>
      <c r="R1775" s="2" t="inlineStr"/>
    </row>
    <row r="1776" ht="15" customHeight="1">
      <c r="A1776" t="inlineStr">
        <is>
          <t>A 7043-2019</t>
        </is>
      </c>
      <c r="B1776" s="1" t="n">
        <v>43495</v>
      </c>
      <c r="C1776" s="1" t="n">
        <v>45212</v>
      </c>
      <c r="D1776" t="inlineStr">
        <is>
          <t>VÄSTRA GÖTALANDS LÄN</t>
        </is>
      </c>
      <c r="E1776" t="inlineStr">
        <is>
          <t>FÄRGELANDA</t>
        </is>
      </c>
      <c r="G1776" t="n">
        <v>11.7</v>
      </c>
      <c r="H1776" t="n">
        <v>0</v>
      </c>
      <c r="I1776" t="n">
        <v>0</v>
      </c>
      <c r="J1776" t="n">
        <v>0</v>
      </c>
      <c r="K1776" t="n">
        <v>0</v>
      </c>
      <c r="L1776" t="n">
        <v>0</v>
      </c>
      <c r="M1776" t="n">
        <v>0</v>
      </c>
      <c r="N1776" t="n">
        <v>0</v>
      </c>
      <c r="O1776" t="n">
        <v>0</v>
      </c>
      <c r="P1776" t="n">
        <v>0</v>
      </c>
      <c r="Q1776" t="n">
        <v>0</v>
      </c>
      <c r="R1776" s="2" t="inlineStr"/>
    </row>
    <row r="1777" ht="15" customHeight="1">
      <c r="A1777" t="inlineStr">
        <is>
          <t>A 8127-2019</t>
        </is>
      </c>
      <c r="B1777" s="1" t="n">
        <v>43495</v>
      </c>
      <c r="C1777" s="1" t="n">
        <v>45212</v>
      </c>
      <c r="D1777" t="inlineStr">
        <is>
          <t>VÄSTRA GÖTALANDS LÄN</t>
        </is>
      </c>
      <c r="E1777" t="inlineStr">
        <is>
          <t>VARA</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8380-2019</t>
        </is>
      </c>
      <c r="B1778" s="1" t="n">
        <v>43495</v>
      </c>
      <c r="C1778" s="1" t="n">
        <v>45212</v>
      </c>
      <c r="D1778" t="inlineStr">
        <is>
          <t>VÄSTRA GÖTALANDS LÄN</t>
        </is>
      </c>
      <c r="E1778" t="inlineStr">
        <is>
          <t>TIDAHOLM</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6797-2019</t>
        </is>
      </c>
      <c r="B1779" s="1" t="n">
        <v>43495</v>
      </c>
      <c r="C1779" s="1" t="n">
        <v>45212</v>
      </c>
      <c r="D1779" t="inlineStr">
        <is>
          <t>VÄSTRA GÖTALANDS LÄN</t>
        </is>
      </c>
      <c r="E1779" t="inlineStr">
        <is>
          <t>MARK</t>
        </is>
      </c>
      <c r="F1779" t="inlineStr">
        <is>
          <t>Sveaskog</t>
        </is>
      </c>
      <c r="G1779" t="n">
        <v>6.7</v>
      </c>
      <c r="H1779" t="n">
        <v>0</v>
      </c>
      <c r="I1779" t="n">
        <v>0</v>
      </c>
      <c r="J1779" t="n">
        <v>0</v>
      </c>
      <c r="K1779" t="n">
        <v>0</v>
      </c>
      <c r="L1779" t="n">
        <v>0</v>
      </c>
      <c r="M1779" t="n">
        <v>0</v>
      </c>
      <c r="N1779" t="n">
        <v>0</v>
      </c>
      <c r="O1779" t="n">
        <v>0</v>
      </c>
      <c r="P1779" t="n">
        <v>0</v>
      </c>
      <c r="Q1779" t="n">
        <v>0</v>
      </c>
      <c r="R1779" s="2" t="inlineStr"/>
    </row>
    <row r="1780" ht="15" customHeight="1">
      <c r="A1780" t="inlineStr">
        <is>
          <t>A 6809-2019</t>
        </is>
      </c>
      <c r="B1780" s="1" t="n">
        <v>43495</v>
      </c>
      <c r="C1780" s="1" t="n">
        <v>45212</v>
      </c>
      <c r="D1780" t="inlineStr">
        <is>
          <t>VÄSTRA GÖTALANDS LÄN</t>
        </is>
      </c>
      <c r="E1780" t="inlineStr">
        <is>
          <t>TRANEMO</t>
        </is>
      </c>
      <c r="F1780" t="inlineStr">
        <is>
          <t>Kommuner</t>
        </is>
      </c>
      <c r="G1780" t="n">
        <v>0.5</v>
      </c>
      <c r="H1780" t="n">
        <v>0</v>
      </c>
      <c r="I1780" t="n">
        <v>0</v>
      </c>
      <c r="J1780" t="n">
        <v>0</v>
      </c>
      <c r="K1780" t="n">
        <v>0</v>
      </c>
      <c r="L1780" t="n">
        <v>0</v>
      </c>
      <c r="M1780" t="n">
        <v>0</v>
      </c>
      <c r="N1780" t="n">
        <v>0</v>
      </c>
      <c r="O1780" t="n">
        <v>0</v>
      </c>
      <c r="P1780" t="n">
        <v>0</v>
      </c>
      <c r="Q1780" t="n">
        <v>0</v>
      </c>
      <c r="R1780" s="2" t="inlineStr"/>
    </row>
    <row r="1781" ht="15" customHeight="1">
      <c r="A1781" t="inlineStr">
        <is>
          <t>A 6844-2019</t>
        </is>
      </c>
      <c r="B1781" s="1" t="n">
        <v>43495</v>
      </c>
      <c r="C1781" s="1" t="n">
        <v>45212</v>
      </c>
      <c r="D1781" t="inlineStr">
        <is>
          <t>VÄSTRA GÖTALANDS LÄN</t>
        </is>
      </c>
      <c r="E1781" t="inlineStr">
        <is>
          <t>LILLA EDET</t>
        </is>
      </c>
      <c r="G1781" t="n">
        <v>0.4</v>
      </c>
      <c r="H1781" t="n">
        <v>0</v>
      </c>
      <c r="I1781" t="n">
        <v>0</v>
      </c>
      <c r="J1781" t="n">
        <v>0</v>
      </c>
      <c r="K1781" t="n">
        <v>0</v>
      </c>
      <c r="L1781" t="n">
        <v>0</v>
      </c>
      <c r="M1781" t="n">
        <v>0</v>
      </c>
      <c r="N1781" t="n">
        <v>0</v>
      </c>
      <c r="O1781" t="n">
        <v>0</v>
      </c>
      <c r="P1781" t="n">
        <v>0</v>
      </c>
      <c r="Q1781" t="n">
        <v>0</v>
      </c>
      <c r="R1781" s="2" t="inlineStr"/>
    </row>
    <row r="1782" ht="15" customHeight="1">
      <c r="A1782" t="inlineStr">
        <is>
          <t>A 8365-2019</t>
        </is>
      </c>
      <c r="B1782" s="1" t="n">
        <v>43495</v>
      </c>
      <c r="C1782" s="1" t="n">
        <v>45212</v>
      </c>
      <c r="D1782" t="inlineStr">
        <is>
          <t>VÄSTRA GÖTALANDS LÄN</t>
        </is>
      </c>
      <c r="E1782" t="inlineStr">
        <is>
          <t>SKÖVDE</t>
        </is>
      </c>
      <c r="G1782" t="n">
        <v>5.5</v>
      </c>
      <c r="H1782" t="n">
        <v>0</v>
      </c>
      <c r="I1782" t="n">
        <v>0</v>
      </c>
      <c r="J1782" t="n">
        <v>0</v>
      </c>
      <c r="K1782" t="n">
        <v>0</v>
      </c>
      <c r="L1782" t="n">
        <v>0</v>
      </c>
      <c r="M1782" t="n">
        <v>0</v>
      </c>
      <c r="N1782" t="n">
        <v>0</v>
      </c>
      <c r="O1782" t="n">
        <v>0</v>
      </c>
      <c r="P1782" t="n">
        <v>0</v>
      </c>
      <c r="Q1782" t="n">
        <v>0</v>
      </c>
      <c r="R1782" s="2" t="inlineStr"/>
    </row>
    <row r="1783" ht="15" customHeight="1">
      <c r="A1783" t="inlineStr">
        <is>
          <t>A 7091-2019</t>
        </is>
      </c>
      <c r="B1783" s="1" t="n">
        <v>43496</v>
      </c>
      <c r="C1783" s="1" t="n">
        <v>45212</v>
      </c>
      <c r="D1783" t="inlineStr">
        <is>
          <t>VÄSTRA GÖTALANDS LÄN</t>
        </is>
      </c>
      <c r="E1783" t="inlineStr">
        <is>
          <t>FÄRGELANDA</t>
        </is>
      </c>
      <c r="G1783" t="n">
        <v>1.2</v>
      </c>
      <c r="H1783" t="n">
        <v>0</v>
      </c>
      <c r="I1783" t="n">
        <v>0</v>
      </c>
      <c r="J1783" t="n">
        <v>0</v>
      </c>
      <c r="K1783" t="n">
        <v>0</v>
      </c>
      <c r="L1783" t="n">
        <v>0</v>
      </c>
      <c r="M1783" t="n">
        <v>0</v>
      </c>
      <c r="N1783" t="n">
        <v>0</v>
      </c>
      <c r="O1783" t="n">
        <v>0</v>
      </c>
      <c r="P1783" t="n">
        <v>0</v>
      </c>
      <c r="Q1783" t="n">
        <v>0</v>
      </c>
      <c r="R1783" s="2" t="inlineStr"/>
    </row>
    <row r="1784" ht="15" customHeight="1">
      <c r="A1784" t="inlineStr">
        <is>
          <t>A 7122-2019</t>
        </is>
      </c>
      <c r="B1784" s="1" t="n">
        <v>43496</v>
      </c>
      <c r="C1784" s="1" t="n">
        <v>45212</v>
      </c>
      <c r="D1784" t="inlineStr">
        <is>
          <t>VÄSTRA GÖTALANDS LÄN</t>
        </is>
      </c>
      <c r="E1784" t="inlineStr">
        <is>
          <t>TJÖRN</t>
        </is>
      </c>
      <c r="G1784" t="n">
        <v>2.2</v>
      </c>
      <c r="H1784" t="n">
        <v>0</v>
      </c>
      <c r="I1784" t="n">
        <v>0</v>
      </c>
      <c r="J1784" t="n">
        <v>0</v>
      </c>
      <c r="K1784" t="n">
        <v>0</v>
      </c>
      <c r="L1784" t="n">
        <v>0</v>
      </c>
      <c r="M1784" t="n">
        <v>0</v>
      </c>
      <c r="N1784" t="n">
        <v>0</v>
      </c>
      <c r="O1784" t="n">
        <v>0</v>
      </c>
      <c r="P1784" t="n">
        <v>0</v>
      </c>
      <c r="Q1784" t="n">
        <v>0</v>
      </c>
      <c r="R1784" s="2" t="inlineStr"/>
    </row>
    <row r="1785" ht="15" customHeight="1">
      <c r="A1785" t="inlineStr">
        <is>
          <t>A 7320-2019</t>
        </is>
      </c>
      <c r="B1785" s="1" t="n">
        <v>43496</v>
      </c>
      <c r="C1785" s="1" t="n">
        <v>45212</v>
      </c>
      <c r="D1785" t="inlineStr">
        <is>
          <t>VÄSTRA GÖTALANDS LÄN</t>
        </is>
      </c>
      <c r="E1785" t="inlineStr">
        <is>
          <t>TRANEMO</t>
        </is>
      </c>
      <c r="G1785" t="n">
        <v>4.4</v>
      </c>
      <c r="H1785" t="n">
        <v>0</v>
      </c>
      <c r="I1785" t="n">
        <v>0</v>
      </c>
      <c r="J1785" t="n">
        <v>0</v>
      </c>
      <c r="K1785" t="n">
        <v>0</v>
      </c>
      <c r="L1785" t="n">
        <v>0</v>
      </c>
      <c r="M1785" t="n">
        <v>0</v>
      </c>
      <c r="N1785" t="n">
        <v>0</v>
      </c>
      <c r="O1785" t="n">
        <v>0</v>
      </c>
      <c r="P1785" t="n">
        <v>0</v>
      </c>
      <c r="Q1785" t="n">
        <v>0</v>
      </c>
      <c r="R1785" s="2" t="inlineStr"/>
    </row>
    <row r="1786" ht="15" customHeight="1">
      <c r="A1786" t="inlineStr">
        <is>
          <t>A 8206-2019</t>
        </is>
      </c>
      <c r="B1786" s="1" t="n">
        <v>43496</v>
      </c>
      <c r="C1786" s="1" t="n">
        <v>45212</v>
      </c>
      <c r="D1786" t="inlineStr">
        <is>
          <t>VÄSTRA GÖTALANDS LÄN</t>
        </is>
      </c>
      <c r="E1786" t="inlineStr">
        <is>
          <t>TANUM</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8212-2019</t>
        </is>
      </c>
      <c r="B1787" s="1" t="n">
        <v>43496</v>
      </c>
      <c r="C1787" s="1" t="n">
        <v>45212</v>
      </c>
      <c r="D1787" t="inlineStr">
        <is>
          <t>VÄSTRA GÖTALANDS LÄN</t>
        </is>
      </c>
      <c r="E1787" t="inlineStr">
        <is>
          <t>BORÅS</t>
        </is>
      </c>
      <c r="F1787" t="inlineStr">
        <is>
          <t>Kommuner</t>
        </is>
      </c>
      <c r="G1787" t="n">
        <v>6.1</v>
      </c>
      <c r="H1787" t="n">
        <v>0</v>
      </c>
      <c r="I1787" t="n">
        <v>0</v>
      </c>
      <c r="J1787" t="n">
        <v>0</v>
      </c>
      <c r="K1787" t="n">
        <v>0</v>
      </c>
      <c r="L1787" t="n">
        <v>0</v>
      </c>
      <c r="M1787" t="n">
        <v>0</v>
      </c>
      <c r="N1787" t="n">
        <v>0</v>
      </c>
      <c r="O1787" t="n">
        <v>0</v>
      </c>
      <c r="P1787" t="n">
        <v>0</v>
      </c>
      <c r="Q1787" t="n">
        <v>0</v>
      </c>
      <c r="R1787" s="2" t="inlineStr"/>
    </row>
    <row r="1788" ht="15" customHeight="1">
      <c r="A1788" t="inlineStr">
        <is>
          <t>A 7253-2019</t>
        </is>
      </c>
      <c r="B1788" s="1" t="n">
        <v>43496</v>
      </c>
      <c r="C1788" s="1" t="n">
        <v>45212</v>
      </c>
      <c r="D1788" t="inlineStr">
        <is>
          <t>VÄSTRA GÖTALANDS LÄN</t>
        </is>
      </c>
      <c r="E1788" t="inlineStr">
        <is>
          <t>HÄRRYDA</t>
        </is>
      </c>
      <c r="G1788" t="n">
        <v>2.4</v>
      </c>
      <c r="H1788" t="n">
        <v>0</v>
      </c>
      <c r="I1788" t="n">
        <v>0</v>
      </c>
      <c r="J1788" t="n">
        <v>0</v>
      </c>
      <c r="K1788" t="n">
        <v>0</v>
      </c>
      <c r="L1788" t="n">
        <v>0</v>
      </c>
      <c r="M1788" t="n">
        <v>0</v>
      </c>
      <c r="N1788" t="n">
        <v>0</v>
      </c>
      <c r="O1788" t="n">
        <v>0</v>
      </c>
      <c r="P1788" t="n">
        <v>0</v>
      </c>
      <c r="Q1788" t="n">
        <v>0</v>
      </c>
      <c r="R1788" s="2" t="inlineStr"/>
    </row>
    <row r="1789" ht="15" customHeight="1">
      <c r="A1789" t="inlineStr">
        <is>
          <t>A 7267-2019</t>
        </is>
      </c>
      <c r="B1789" s="1" t="n">
        <v>43496</v>
      </c>
      <c r="C1789" s="1" t="n">
        <v>45212</v>
      </c>
      <c r="D1789" t="inlineStr">
        <is>
          <t>VÄSTRA GÖTALANDS LÄN</t>
        </is>
      </c>
      <c r="E1789" t="inlineStr">
        <is>
          <t>HÄRRYDA</t>
        </is>
      </c>
      <c r="G1789" t="n">
        <v>1.7</v>
      </c>
      <c r="H1789" t="n">
        <v>0</v>
      </c>
      <c r="I1789" t="n">
        <v>0</v>
      </c>
      <c r="J1789" t="n">
        <v>0</v>
      </c>
      <c r="K1789" t="n">
        <v>0</v>
      </c>
      <c r="L1789" t="n">
        <v>0</v>
      </c>
      <c r="M1789" t="n">
        <v>0</v>
      </c>
      <c r="N1789" t="n">
        <v>0</v>
      </c>
      <c r="O1789" t="n">
        <v>0</v>
      </c>
      <c r="P1789" t="n">
        <v>0</v>
      </c>
      <c r="Q1789" t="n">
        <v>0</v>
      </c>
      <c r="R1789" s="2" t="inlineStr"/>
    </row>
    <row r="1790" ht="15" customHeight="1">
      <c r="A1790" t="inlineStr">
        <is>
          <t>A 8199-2019</t>
        </is>
      </c>
      <c r="B1790" s="1" t="n">
        <v>43496</v>
      </c>
      <c r="C1790" s="1" t="n">
        <v>45212</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8292-2019</t>
        </is>
      </c>
      <c r="B1791" s="1" t="n">
        <v>43496</v>
      </c>
      <c r="C1791" s="1" t="n">
        <v>45212</v>
      </c>
      <c r="D1791" t="inlineStr">
        <is>
          <t>VÄSTRA GÖTALANDS LÄN</t>
        </is>
      </c>
      <c r="E1791" t="inlineStr">
        <is>
          <t>BENGTSFORS</t>
        </is>
      </c>
      <c r="F1791" t="inlineStr">
        <is>
          <t>Kyrkan</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7086-2019</t>
        </is>
      </c>
      <c r="B1792" s="1" t="n">
        <v>43496</v>
      </c>
      <c r="C1792" s="1" t="n">
        <v>45212</v>
      </c>
      <c r="D1792" t="inlineStr">
        <is>
          <t>VÄSTRA GÖTALANDS LÄN</t>
        </is>
      </c>
      <c r="E1792" t="inlineStr">
        <is>
          <t>FÄRGELANDA</t>
        </is>
      </c>
      <c r="G1792" t="n">
        <v>5</v>
      </c>
      <c r="H1792" t="n">
        <v>0</v>
      </c>
      <c r="I1792" t="n">
        <v>0</v>
      </c>
      <c r="J1792" t="n">
        <v>0</v>
      </c>
      <c r="K1792" t="n">
        <v>0</v>
      </c>
      <c r="L1792" t="n">
        <v>0</v>
      </c>
      <c r="M1792" t="n">
        <v>0</v>
      </c>
      <c r="N1792" t="n">
        <v>0</v>
      </c>
      <c r="O1792" t="n">
        <v>0</v>
      </c>
      <c r="P1792" t="n">
        <v>0</v>
      </c>
      <c r="Q1792" t="n">
        <v>0</v>
      </c>
      <c r="R1792" s="2" t="inlineStr"/>
    </row>
    <row r="1793" ht="15" customHeight="1">
      <c r="A1793" t="inlineStr">
        <is>
          <t>A 7322-2019</t>
        </is>
      </c>
      <c r="B1793" s="1" t="n">
        <v>43496</v>
      </c>
      <c r="C1793" s="1" t="n">
        <v>45212</v>
      </c>
      <c r="D1793" t="inlineStr">
        <is>
          <t>VÄSTRA GÖTALANDS LÄN</t>
        </is>
      </c>
      <c r="E1793" t="inlineStr">
        <is>
          <t>TRANEMO</t>
        </is>
      </c>
      <c r="G1793" t="n">
        <v>3.5</v>
      </c>
      <c r="H1793" t="n">
        <v>0</v>
      </c>
      <c r="I1793" t="n">
        <v>0</v>
      </c>
      <c r="J1793" t="n">
        <v>0</v>
      </c>
      <c r="K1793" t="n">
        <v>0</v>
      </c>
      <c r="L1793" t="n">
        <v>0</v>
      </c>
      <c r="M1793" t="n">
        <v>0</v>
      </c>
      <c r="N1793" t="n">
        <v>0</v>
      </c>
      <c r="O1793" t="n">
        <v>0</v>
      </c>
      <c r="P1793" t="n">
        <v>0</v>
      </c>
      <c r="Q1793" t="n">
        <v>0</v>
      </c>
      <c r="R1793" s="2" t="inlineStr"/>
    </row>
    <row r="1794" ht="15" customHeight="1">
      <c r="A1794" t="inlineStr">
        <is>
          <t>A 7329-2019</t>
        </is>
      </c>
      <c r="B1794" s="1" t="n">
        <v>43496</v>
      </c>
      <c r="C1794" s="1" t="n">
        <v>45212</v>
      </c>
      <c r="D1794" t="inlineStr">
        <is>
          <t>VÄSTRA GÖTALANDS LÄN</t>
        </is>
      </c>
      <c r="E1794" t="inlineStr">
        <is>
          <t>ULRICEHAMN</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8211-2019</t>
        </is>
      </c>
      <c r="B1795" s="1" t="n">
        <v>43496</v>
      </c>
      <c r="C1795" s="1" t="n">
        <v>45212</v>
      </c>
      <c r="D1795" t="inlineStr">
        <is>
          <t>VÄSTRA GÖTALANDS LÄN</t>
        </is>
      </c>
      <c r="E1795" t="inlineStr">
        <is>
          <t>TANUM</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7417-2019</t>
        </is>
      </c>
      <c r="B1796" s="1" t="n">
        <v>43497</v>
      </c>
      <c r="C1796" s="1" t="n">
        <v>45212</v>
      </c>
      <c r="D1796" t="inlineStr">
        <is>
          <t>VÄSTRA GÖTALANDS LÄN</t>
        </is>
      </c>
      <c r="E1796" t="inlineStr">
        <is>
          <t>LERUM</t>
        </is>
      </c>
      <c r="G1796" t="n">
        <v>10.4</v>
      </c>
      <c r="H1796" t="n">
        <v>0</v>
      </c>
      <c r="I1796" t="n">
        <v>0</v>
      </c>
      <c r="J1796" t="n">
        <v>0</v>
      </c>
      <c r="K1796" t="n">
        <v>0</v>
      </c>
      <c r="L1796" t="n">
        <v>0</v>
      </c>
      <c r="M1796" t="n">
        <v>0</v>
      </c>
      <c r="N1796" t="n">
        <v>0</v>
      </c>
      <c r="O1796" t="n">
        <v>0</v>
      </c>
      <c r="P1796" t="n">
        <v>0</v>
      </c>
      <c r="Q1796" t="n">
        <v>0</v>
      </c>
      <c r="R1796" s="2" t="inlineStr"/>
    </row>
    <row r="1797" ht="15" customHeight="1">
      <c r="A1797" t="inlineStr">
        <is>
          <t>A 7466-2019</t>
        </is>
      </c>
      <c r="B1797" s="1" t="n">
        <v>43497</v>
      </c>
      <c r="C1797" s="1" t="n">
        <v>45212</v>
      </c>
      <c r="D1797" t="inlineStr">
        <is>
          <t>VÄSTRA GÖTALANDS LÄN</t>
        </is>
      </c>
      <c r="E1797" t="inlineStr">
        <is>
          <t>BORÅS</t>
        </is>
      </c>
      <c r="G1797" t="n">
        <v>0.7</v>
      </c>
      <c r="H1797" t="n">
        <v>0</v>
      </c>
      <c r="I1797" t="n">
        <v>0</v>
      </c>
      <c r="J1797" t="n">
        <v>0</v>
      </c>
      <c r="K1797" t="n">
        <v>0</v>
      </c>
      <c r="L1797" t="n">
        <v>0</v>
      </c>
      <c r="M1797" t="n">
        <v>0</v>
      </c>
      <c r="N1797" t="n">
        <v>0</v>
      </c>
      <c r="O1797" t="n">
        <v>0</v>
      </c>
      <c r="P1797" t="n">
        <v>0</v>
      </c>
      <c r="Q1797" t="n">
        <v>0</v>
      </c>
      <c r="R1797" s="2" t="inlineStr"/>
    </row>
    <row r="1798" ht="15" customHeight="1">
      <c r="A1798" t="inlineStr">
        <is>
          <t>A 7472-2019</t>
        </is>
      </c>
      <c r="B1798" s="1" t="n">
        <v>43497</v>
      </c>
      <c r="C1798" s="1" t="n">
        <v>45212</v>
      </c>
      <c r="D1798" t="inlineStr">
        <is>
          <t>VÄSTRA GÖTALANDS LÄN</t>
        </is>
      </c>
      <c r="E1798" t="inlineStr">
        <is>
          <t>BORÅS</t>
        </is>
      </c>
      <c r="G1798" t="n">
        <v>0.5</v>
      </c>
      <c r="H1798" t="n">
        <v>0</v>
      </c>
      <c r="I1798" t="n">
        <v>0</v>
      </c>
      <c r="J1798" t="n">
        <v>0</v>
      </c>
      <c r="K1798" t="n">
        <v>0</v>
      </c>
      <c r="L1798" t="n">
        <v>0</v>
      </c>
      <c r="M1798" t="n">
        <v>0</v>
      </c>
      <c r="N1798" t="n">
        <v>0</v>
      </c>
      <c r="O1798" t="n">
        <v>0</v>
      </c>
      <c r="P1798" t="n">
        <v>0</v>
      </c>
      <c r="Q1798" t="n">
        <v>0</v>
      </c>
      <c r="R1798" s="2" t="inlineStr"/>
    </row>
    <row r="1799" ht="15" customHeight="1">
      <c r="A1799" t="inlineStr">
        <is>
          <t>A 7468-2019</t>
        </is>
      </c>
      <c r="B1799" s="1" t="n">
        <v>43497</v>
      </c>
      <c r="C1799" s="1" t="n">
        <v>45212</v>
      </c>
      <c r="D1799" t="inlineStr">
        <is>
          <t>VÄSTRA GÖTALANDS LÄN</t>
        </is>
      </c>
      <c r="E1799" t="inlineStr">
        <is>
          <t>BORÅS</t>
        </is>
      </c>
      <c r="G1799" t="n">
        <v>1.2</v>
      </c>
      <c r="H1799" t="n">
        <v>0</v>
      </c>
      <c r="I1799" t="n">
        <v>0</v>
      </c>
      <c r="J1799" t="n">
        <v>0</v>
      </c>
      <c r="K1799" t="n">
        <v>0</v>
      </c>
      <c r="L1799" t="n">
        <v>0</v>
      </c>
      <c r="M1799" t="n">
        <v>0</v>
      </c>
      <c r="N1799" t="n">
        <v>0</v>
      </c>
      <c r="O1799" t="n">
        <v>0</v>
      </c>
      <c r="P1799" t="n">
        <v>0</v>
      </c>
      <c r="Q1799" t="n">
        <v>0</v>
      </c>
      <c r="R1799" s="2" t="inlineStr"/>
    </row>
    <row r="1800" ht="15" customHeight="1">
      <c r="A1800" t="inlineStr">
        <is>
          <t>A 8312-2019</t>
        </is>
      </c>
      <c r="B1800" s="1" t="n">
        <v>43497</v>
      </c>
      <c r="C1800" s="1" t="n">
        <v>45212</v>
      </c>
      <c r="D1800" t="inlineStr">
        <is>
          <t>VÄSTRA GÖTALANDS LÄN</t>
        </is>
      </c>
      <c r="E1800" t="inlineStr">
        <is>
          <t>BORÅS</t>
        </is>
      </c>
      <c r="G1800" t="n">
        <v>1.8</v>
      </c>
      <c r="H1800" t="n">
        <v>0</v>
      </c>
      <c r="I1800" t="n">
        <v>0</v>
      </c>
      <c r="J1800" t="n">
        <v>0</v>
      </c>
      <c r="K1800" t="n">
        <v>0</v>
      </c>
      <c r="L1800" t="n">
        <v>0</v>
      </c>
      <c r="M1800" t="n">
        <v>0</v>
      </c>
      <c r="N1800" t="n">
        <v>0</v>
      </c>
      <c r="O1800" t="n">
        <v>0</v>
      </c>
      <c r="P1800" t="n">
        <v>0</v>
      </c>
      <c r="Q1800" t="n">
        <v>0</v>
      </c>
      <c r="R1800" s="2" t="inlineStr"/>
    </row>
    <row r="1801" ht="15" customHeight="1">
      <c r="A1801" t="inlineStr">
        <is>
          <t>A 8358-2019</t>
        </is>
      </c>
      <c r="B1801" s="1" t="n">
        <v>43497</v>
      </c>
      <c r="C1801" s="1" t="n">
        <v>45212</v>
      </c>
      <c r="D1801" t="inlineStr">
        <is>
          <t>VÄSTRA GÖTALANDS LÄN</t>
        </is>
      </c>
      <c r="E1801" t="inlineStr">
        <is>
          <t>GULLSPÅNG</t>
        </is>
      </c>
      <c r="G1801" t="n">
        <v>2.4</v>
      </c>
      <c r="H1801" t="n">
        <v>0</v>
      </c>
      <c r="I1801" t="n">
        <v>0</v>
      </c>
      <c r="J1801" t="n">
        <v>0</v>
      </c>
      <c r="K1801" t="n">
        <v>0</v>
      </c>
      <c r="L1801" t="n">
        <v>0</v>
      </c>
      <c r="M1801" t="n">
        <v>0</v>
      </c>
      <c r="N1801" t="n">
        <v>0</v>
      </c>
      <c r="O1801" t="n">
        <v>0</v>
      </c>
      <c r="P1801" t="n">
        <v>0</v>
      </c>
      <c r="Q1801" t="n">
        <v>0</v>
      </c>
      <c r="R1801" s="2" t="inlineStr"/>
    </row>
    <row r="1802" ht="15" customHeight="1">
      <c r="A1802" t="inlineStr">
        <is>
          <t>A 7389-2019</t>
        </is>
      </c>
      <c r="B1802" s="1" t="n">
        <v>43497</v>
      </c>
      <c r="C1802" s="1" t="n">
        <v>45212</v>
      </c>
      <c r="D1802" t="inlineStr">
        <is>
          <t>VÄSTRA GÖTALANDS LÄN</t>
        </is>
      </c>
      <c r="E1802" t="inlineStr">
        <is>
          <t>BENGTSFORS</t>
        </is>
      </c>
      <c r="G1802" t="n">
        <v>4.2</v>
      </c>
      <c r="H1802" t="n">
        <v>0</v>
      </c>
      <c r="I1802" t="n">
        <v>0</v>
      </c>
      <c r="J1802" t="n">
        <v>0</v>
      </c>
      <c r="K1802" t="n">
        <v>0</v>
      </c>
      <c r="L1802" t="n">
        <v>0</v>
      </c>
      <c r="M1802" t="n">
        <v>0</v>
      </c>
      <c r="N1802" t="n">
        <v>0</v>
      </c>
      <c r="O1802" t="n">
        <v>0</v>
      </c>
      <c r="P1802" t="n">
        <v>0</v>
      </c>
      <c r="Q1802" t="n">
        <v>0</v>
      </c>
      <c r="R1802" s="2" t="inlineStr"/>
    </row>
    <row r="1803" ht="15" customHeight="1">
      <c r="A1803" t="inlineStr">
        <is>
          <t>A 7531-2019</t>
        </is>
      </c>
      <c r="B1803" s="1" t="n">
        <v>43497</v>
      </c>
      <c r="C1803" s="1" t="n">
        <v>45212</v>
      </c>
      <c r="D1803" t="inlineStr">
        <is>
          <t>VÄSTRA GÖTALANDS LÄN</t>
        </is>
      </c>
      <c r="E1803" t="inlineStr">
        <is>
          <t>SKÖVDE</t>
        </is>
      </c>
      <c r="G1803" t="n">
        <v>3.5</v>
      </c>
      <c r="H1803" t="n">
        <v>0</v>
      </c>
      <c r="I1803" t="n">
        <v>0</v>
      </c>
      <c r="J1803" t="n">
        <v>0</v>
      </c>
      <c r="K1803" t="n">
        <v>0</v>
      </c>
      <c r="L1803" t="n">
        <v>0</v>
      </c>
      <c r="M1803" t="n">
        <v>0</v>
      </c>
      <c r="N1803" t="n">
        <v>0</v>
      </c>
      <c r="O1803" t="n">
        <v>0</v>
      </c>
      <c r="P1803" t="n">
        <v>0</v>
      </c>
      <c r="Q1803" t="n">
        <v>0</v>
      </c>
      <c r="R1803" s="2" t="inlineStr"/>
    </row>
    <row r="1804" ht="15" customHeight="1">
      <c r="A1804" t="inlineStr">
        <is>
          <t>A 8317-2019</t>
        </is>
      </c>
      <c r="B1804" s="1" t="n">
        <v>43497</v>
      </c>
      <c r="C1804" s="1" t="n">
        <v>45212</v>
      </c>
      <c r="D1804" t="inlineStr">
        <is>
          <t>VÄSTRA GÖTALANDS LÄN</t>
        </is>
      </c>
      <c r="E1804" t="inlineStr">
        <is>
          <t>BORÅS</t>
        </is>
      </c>
      <c r="G1804" t="n">
        <v>3</v>
      </c>
      <c r="H1804" t="n">
        <v>0</v>
      </c>
      <c r="I1804" t="n">
        <v>0</v>
      </c>
      <c r="J1804" t="n">
        <v>0</v>
      </c>
      <c r="K1804" t="n">
        <v>0</v>
      </c>
      <c r="L1804" t="n">
        <v>0</v>
      </c>
      <c r="M1804" t="n">
        <v>0</v>
      </c>
      <c r="N1804" t="n">
        <v>0</v>
      </c>
      <c r="O1804" t="n">
        <v>0</v>
      </c>
      <c r="P1804" t="n">
        <v>0</v>
      </c>
      <c r="Q1804" t="n">
        <v>0</v>
      </c>
      <c r="R1804" s="2" t="inlineStr"/>
    </row>
    <row r="1805" ht="15" customHeight="1">
      <c r="A1805" t="inlineStr">
        <is>
          <t>A 8340-2019</t>
        </is>
      </c>
      <c r="B1805" s="1" t="n">
        <v>43497</v>
      </c>
      <c r="C1805" s="1" t="n">
        <v>45212</v>
      </c>
      <c r="D1805" t="inlineStr">
        <is>
          <t>VÄSTRA GÖTALANDS LÄN</t>
        </is>
      </c>
      <c r="E1805" t="inlineStr">
        <is>
          <t>TRANEMO</t>
        </is>
      </c>
      <c r="G1805" t="n">
        <v>2.4</v>
      </c>
      <c r="H1805" t="n">
        <v>0</v>
      </c>
      <c r="I1805" t="n">
        <v>0</v>
      </c>
      <c r="J1805" t="n">
        <v>0</v>
      </c>
      <c r="K1805" t="n">
        <v>0</v>
      </c>
      <c r="L1805" t="n">
        <v>0</v>
      </c>
      <c r="M1805" t="n">
        <v>0</v>
      </c>
      <c r="N1805" t="n">
        <v>0</v>
      </c>
      <c r="O1805" t="n">
        <v>0</v>
      </c>
      <c r="P1805" t="n">
        <v>0</v>
      </c>
      <c r="Q1805" t="n">
        <v>0</v>
      </c>
      <c r="R1805" s="2" t="inlineStr"/>
    </row>
    <row r="1806" ht="15" customHeight="1">
      <c r="A1806" t="inlineStr">
        <is>
          <t>A 8368-2019</t>
        </is>
      </c>
      <c r="B1806" s="1" t="n">
        <v>43497</v>
      </c>
      <c r="C1806" s="1" t="n">
        <v>45212</v>
      </c>
      <c r="D1806" t="inlineStr">
        <is>
          <t>VÄSTRA GÖTALANDS LÄN</t>
        </is>
      </c>
      <c r="E1806" t="inlineStr">
        <is>
          <t>GULLSPÅNG</t>
        </is>
      </c>
      <c r="G1806" t="n">
        <v>4.1</v>
      </c>
      <c r="H1806" t="n">
        <v>0</v>
      </c>
      <c r="I1806" t="n">
        <v>0</v>
      </c>
      <c r="J1806" t="n">
        <v>0</v>
      </c>
      <c r="K1806" t="n">
        <v>0</v>
      </c>
      <c r="L1806" t="n">
        <v>0</v>
      </c>
      <c r="M1806" t="n">
        <v>0</v>
      </c>
      <c r="N1806" t="n">
        <v>0</v>
      </c>
      <c r="O1806" t="n">
        <v>0</v>
      </c>
      <c r="P1806" t="n">
        <v>0</v>
      </c>
      <c r="Q1806" t="n">
        <v>0</v>
      </c>
      <c r="R1806" s="2" t="inlineStr"/>
    </row>
    <row r="1807" ht="15" customHeight="1">
      <c r="A1807" t="inlineStr">
        <is>
          <t>A 8612-2019</t>
        </is>
      </c>
      <c r="B1807" s="1" t="n">
        <v>43497</v>
      </c>
      <c r="C1807" s="1" t="n">
        <v>45212</v>
      </c>
      <c r="D1807" t="inlineStr">
        <is>
          <t>VÄSTRA GÖTALANDS LÄN</t>
        </is>
      </c>
      <c r="E1807" t="inlineStr">
        <is>
          <t>BENGTSFORS</t>
        </is>
      </c>
      <c r="G1807" t="n">
        <v>25.6</v>
      </c>
      <c r="H1807" t="n">
        <v>0</v>
      </c>
      <c r="I1807" t="n">
        <v>0</v>
      </c>
      <c r="J1807" t="n">
        <v>0</v>
      </c>
      <c r="K1807" t="n">
        <v>0</v>
      </c>
      <c r="L1807" t="n">
        <v>0</v>
      </c>
      <c r="M1807" t="n">
        <v>0</v>
      </c>
      <c r="N1807" t="n">
        <v>0</v>
      </c>
      <c r="O1807" t="n">
        <v>0</v>
      </c>
      <c r="P1807" t="n">
        <v>0</v>
      </c>
      <c r="Q1807" t="n">
        <v>0</v>
      </c>
      <c r="R1807" s="2" t="inlineStr"/>
    </row>
    <row r="1808" ht="15" customHeight="1">
      <c r="A1808" t="inlineStr">
        <is>
          <t>A 7471-2019</t>
        </is>
      </c>
      <c r="B1808" s="1" t="n">
        <v>43497</v>
      </c>
      <c r="C1808" s="1" t="n">
        <v>45212</v>
      </c>
      <c r="D1808" t="inlineStr">
        <is>
          <t>VÄSTRA GÖTALANDS LÄN</t>
        </is>
      </c>
      <c r="E1808" t="inlineStr">
        <is>
          <t>BORÅS</t>
        </is>
      </c>
      <c r="G1808" t="n">
        <v>3.7</v>
      </c>
      <c r="H1808" t="n">
        <v>0</v>
      </c>
      <c r="I1808" t="n">
        <v>0</v>
      </c>
      <c r="J1808" t="n">
        <v>0</v>
      </c>
      <c r="K1808" t="n">
        <v>0</v>
      </c>
      <c r="L1808" t="n">
        <v>0</v>
      </c>
      <c r="M1808" t="n">
        <v>0</v>
      </c>
      <c r="N1808" t="n">
        <v>0</v>
      </c>
      <c r="O1808" t="n">
        <v>0</v>
      </c>
      <c r="P1808" t="n">
        <v>0</v>
      </c>
      <c r="Q1808" t="n">
        <v>0</v>
      </c>
      <c r="R1808" s="2" t="inlineStr"/>
    </row>
    <row r="1809" ht="15" customHeight="1">
      <c r="A1809" t="inlineStr">
        <is>
          <t>A 8325-2019</t>
        </is>
      </c>
      <c r="B1809" s="1" t="n">
        <v>43497</v>
      </c>
      <c r="C1809" s="1" t="n">
        <v>45212</v>
      </c>
      <c r="D1809" t="inlineStr">
        <is>
          <t>VÄSTRA GÖTALANDS LÄN</t>
        </is>
      </c>
      <c r="E1809" t="inlineStr">
        <is>
          <t>BORÅS</t>
        </is>
      </c>
      <c r="G1809" t="n">
        <v>2.2</v>
      </c>
      <c r="H1809" t="n">
        <v>0</v>
      </c>
      <c r="I1809" t="n">
        <v>0</v>
      </c>
      <c r="J1809" t="n">
        <v>0</v>
      </c>
      <c r="K1809" t="n">
        <v>0</v>
      </c>
      <c r="L1809" t="n">
        <v>0</v>
      </c>
      <c r="M1809" t="n">
        <v>0</v>
      </c>
      <c r="N1809" t="n">
        <v>0</v>
      </c>
      <c r="O1809" t="n">
        <v>0</v>
      </c>
      <c r="P1809" t="n">
        <v>0</v>
      </c>
      <c r="Q1809" t="n">
        <v>0</v>
      </c>
      <c r="R1809" s="2" t="inlineStr"/>
    </row>
    <row r="1810" ht="15" customHeight="1">
      <c r="A1810" t="inlineStr">
        <is>
          <t>A 8381-2019</t>
        </is>
      </c>
      <c r="B1810" s="1" t="n">
        <v>43497</v>
      </c>
      <c r="C1810" s="1" t="n">
        <v>45212</v>
      </c>
      <c r="D1810" t="inlineStr">
        <is>
          <t>VÄSTRA GÖTALANDS LÄN</t>
        </is>
      </c>
      <c r="E1810" t="inlineStr">
        <is>
          <t>MARK</t>
        </is>
      </c>
      <c r="F1810" t="inlineStr">
        <is>
          <t>Kyrkan</t>
        </is>
      </c>
      <c r="G1810" t="n">
        <v>1.8</v>
      </c>
      <c r="H1810" t="n">
        <v>0</v>
      </c>
      <c r="I1810" t="n">
        <v>0</v>
      </c>
      <c r="J1810" t="n">
        <v>0</v>
      </c>
      <c r="K1810" t="n">
        <v>0</v>
      </c>
      <c r="L1810" t="n">
        <v>0</v>
      </c>
      <c r="M1810" t="n">
        <v>0</v>
      </c>
      <c r="N1810" t="n">
        <v>0</v>
      </c>
      <c r="O1810" t="n">
        <v>0</v>
      </c>
      <c r="P1810" t="n">
        <v>0</v>
      </c>
      <c r="Q1810" t="n">
        <v>0</v>
      </c>
      <c r="R1810" s="2" t="inlineStr"/>
    </row>
    <row r="1811" ht="15" customHeight="1">
      <c r="A1811" t="inlineStr">
        <is>
          <t>A 7599-2019</t>
        </is>
      </c>
      <c r="B1811" s="1" t="n">
        <v>43499</v>
      </c>
      <c r="C1811" s="1" t="n">
        <v>45212</v>
      </c>
      <c r="D1811" t="inlineStr">
        <is>
          <t>VÄSTRA GÖTALANDS LÄN</t>
        </is>
      </c>
      <c r="E1811" t="inlineStr">
        <is>
          <t>MUNKEDAL</t>
        </is>
      </c>
      <c r="G1811" t="n">
        <v>6</v>
      </c>
      <c r="H1811" t="n">
        <v>0</v>
      </c>
      <c r="I1811" t="n">
        <v>0</v>
      </c>
      <c r="J1811" t="n">
        <v>0</v>
      </c>
      <c r="K1811" t="n">
        <v>0</v>
      </c>
      <c r="L1811" t="n">
        <v>0</v>
      </c>
      <c r="M1811" t="n">
        <v>0</v>
      </c>
      <c r="N1811" t="n">
        <v>0</v>
      </c>
      <c r="O1811" t="n">
        <v>0</v>
      </c>
      <c r="P1811" t="n">
        <v>0</v>
      </c>
      <c r="Q1811" t="n">
        <v>0</v>
      </c>
      <c r="R1811" s="2" t="inlineStr"/>
    </row>
    <row r="1812" ht="15" customHeight="1">
      <c r="A1812" t="inlineStr">
        <is>
          <t>A 7601-2019</t>
        </is>
      </c>
      <c r="B1812" s="1" t="n">
        <v>43499</v>
      </c>
      <c r="C1812" s="1" t="n">
        <v>45212</v>
      </c>
      <c r="D1812" t="inlineStr">
        <is>
          <t>VÄSTRA GÖTALANDS LÄN</t>
        </is>
      </c>
      <c r="E1812" t="inlineStr">
        <is>
          <t>MUNKEDAL</t>
        </is>
      </c>
      <c r="G1812" t="n">
        <v>15.6</v>
      </c>
      <c r="H1812" t="n">
        <v>0</v>
      </c>
      <c r="I1812" t="n">
        <v>0</v>
      </c>
      <c r="J1812" t="n">
        <v>0</v>
      </c>
      <c r="K1812" t="n">
        <v>0</v>
      </c>
      <c r="L1812" t="n">
        <v>0</v>
      </c>
      <c r="M1812" t="n">
        <v>0</v>
      </c>
      <c r="N1812" t="n">
        <v>0</v>
      </c>
      <c r="O1812" t="n">
        <v>0</v>
      </c>
      <c r="P1812" t="n">
        <v>0</v>
      </c>
      <c r="Q1812" t="n">
        <v>0</v>
      </c>
      <c r="R1812" s="2" t="inlineStr"/>
    </row>
    <row r="1813" ht="15" customHeight="1">
      <c r="A1813" t="inlineStr">
        <is>
          <t>A 8427-2019</t>
        </is>
      </c>
      <c r="B1813" s="1" t="n">
        <v>43499</v>
      </c>
      <c r="C1813" s="1" t="n">
        <v>45212</v>
      </c>
      <c r="D1813" t="inlineStr">
        <is>
          <t>VÄSTRA GÖTALANDS LÄN</t>
        </is>
      </c>
      <c r="E1813" t="inlineStr">
        <is>
          <t>STRÖMSTAD</t>
        </is>
      </c>
      <c r="G1813" t="n">
        <v>2.4</v>
      </c>
      <c r="H1813" t="n">
        <v>0</v>
      </c>
      <c r="I1813" t="n">
        <v>0</v>
      </c>
      <c r="J1813" t="n">
        <v>0</v>
      </c>
      <c r="K1813" t="n">
        <v>0</v>
      </c>
      <c r="L1813" t="n">
        <v>0</v>
      </c>
      <c r="M1813" t="n">
        <v>0</v>
      </c>
      <c r="N1813" t="n">
        <v>0</v>
      </c>
      <c r="O1813" t="n">
        <v>0</v>
      </c>
      <c r="P1813" t="n">
        <v>0</v>
      </c>
      <c r="Q1813" t="n">
        <v>0</v>
      </c>
      <c r="R1813" s="2" t="inlineStr"/>
    </row>
    <row r="1814" ht="15" customHeight="1">
      <c r="A1814" t="inlineStr">
        <is>
          <t>A 7600-2019</t>
        </is>
      </c>
      <c r="B1814" s="1" t="n">
        <v>43499</v>
      </c>
      <c r="C1814" s="1" t="n">
        <v>45212</v>
      </c>
      <c r="D1814" t="inlineStr">
        <is>
          <t>VÄSTRA GÖTALANDS LÄN</t>
        </is>
      </c>
      <c r="E1814" t="inlineStr">
        <is>
          <t>MUNKEDAL</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7680-2019</t>
        </is>
      </c>
      <c r="B1815" s="1" t="n">
        <v>43500</v>
      </c>
      <c r="C1815" s="1" t="n">
        <v>45212</v>
      </c>
      <c r="D1815" t="inlineStr">
        <is>
          <t>VÄSTRA GÖTALANDS LÄN</t>
        </is>
      </c>
      <c r="E1815" t="inlineStr">
        <is>
          <t>FALKÖPING</t>
        </is>
      </c>
      <c r="G1815" t="n">
        <v>3.3</v>
      </c>
      <c r="H1815" t="n">
        <v>0</v>
      </c>
      <c r="I1815" t="n">
        <v>0</v>
      </c>
      <c r="J1815" t="n">
        <v>0</v>
      </c>
      <c r="K1815" t="n">
        <v>0</v>
      </c>
      <c r="L1815" t="n">
        <v>0</v>
      </c>
      <c r="M1815" t="n">
        <v>0</v>
      </c>
      <c r="N1815" t="n">
        <v>0</v>
      </c>
      <c r="O1815" t="n">
        <v>0</v>
      </c>
      <c r="P1815" t="n">
        <v>0</v>
      </c>
      <c r="Q1815" t="n">
        <v>0</v>
      </c>
      <c r="R1815" s="2" t="inlineStr"/>
    </row>
    <row r="1816" ht="15" customHeight="1">
      <c r="A1816" t="inlineStr">
        <is>
          <t>A 7704-2019</t>
        </is>
      </c>
      <c r="B1816" s="1" t="n">
        <v>43500</v>
      </c>
      <c r="C1816" s="1" t="n">
        <v>45212</v>
      </c>
      <c r="D1816" t="inlineStr">
        <is>
          <t>VÄSTRA GÖTALANDS LÄN</t>
        </is>
      </c>
      <c r="E1816" t="inlineStr">
        <is>
          <t>TANUM</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7716-2019</t>
        </is>
      </c>
      <c r="B1817" s="1" t="n">
        <v>43500</v>
      </c>
      <c r="C1817" s="1" t="n">
        <v>45212</v>
      </c>
      <c r="D1817" t="inlineStr">
        <is>
          <t>VÄSTRA GÖTALANDS LÄN</t>
        </is>
      </c>
      <c r="E1817" t="inlineStr">
        <is>
          <t>SVENLJUNGA</t>
        </is>
      </c>
      <c r="G1817" t="n">
        <v>2.4</v>
      </c>
      <c r="H1817" t="n">
        <v>0</v>
      </c>
      <c r="I1817" t="n">
        <v>0</v>
      </c>
      <c r="J1817" t="n">
        <v>0</v>
      </c>
      <c r="K1817" t="n">
        <v>0</v>
      </c>
      <c r="L1817" t="n">
        <v>0</v>
      </c>
      <c r="M1817" t="n">
        <v>0</v>
      </c>
      <c r="N1817" t="n">
        <v>0</v>
      </c>
      <c r="O1817" t="n">
        <v>0</v>
      </c>
      <c r="P1817" t="n">
        <v>0</v>
      </c>
      <c r="Q1817" t="n">
        <v>0</v>
      </c>
      <c r="R1817" s="2" t="inlineStr"/>
    </row>
    <row r="1818" ht="15" customHeight="1">
      <c r="A1818" t="inlineStr">
        <is>
          <t>A 7876-2019</t>
        </is>
      </c>
      <c r="B1818" s="1" t="n">
        <v>43500</v>
      </c>
      <c r="C1818" s="1" t="n">
        <v>45212</v>
      </c>
      <c r="D1818" t="inlineStr">
        <is>
          <t>VÄSTRA GÖTALANDS LÄN</t>
        </is>
      </c>
      <c r="E1818" t="inlineStr">
        <is>
          <t>LIDKÖPING</t>
        </is>
      </c>
      <c r="G1818" t="n">
        <v>3</v>
      </c>
      <c r="H1818" t="n">
        <v>0</v>
      </c>
      <c r="I1818" t="n">
        <v>0</v>
      </c>
      <c r="J1818" t="n">
        <v>0</v>
      </c>
      <c r="K1818" t="n">
        <v>0</v>
      </c>
      <c r="L1818" t="n">
        <v>0</v>
      </c>
      <c r="M1818" t="n">
        <v>0</v>
      </c>
      <c r="N1818" t="n">
        <v>0</v>
      </c>
      <c r="O1818" t="n">
        <v>0</v>
      </c>
      <c r="P1818" t="n">
        <v>0</v>
      </c>
      <c r="Q1818" t="n">
        <v>0</v>
      </c>
      <c r="R1818" s="2" t="inlineStr"/>
    </row>
    <row r="1819" ht="15" customHeight="1">
      <c r="A1819" t="inlineStr">
        <is>
          <t>A 7874-2019</t>
        </is>
      </c>
      <c r="B1819" s="1" t="n">
        <v>43500</v>
      </c>
      <c r="C1819" s="1" t="n">
        <v>45212</v>
      </c>
      <c r="D1819" t="inlineStr">
        <is>
          <t>VÄSTRA GÖTALANDS LÄN</t>
        </is>
      </c>
      <c r="E1819" t="inlineStr">
        <is>
          <t>STENUNGSUND</t>
        </is>
      </c>
      <c r="G1819" t="n">
        <v>3.2</v>
      </c>
      <c r="H1819" t="n">
        <v>0</v>
      </c>
      <c r="I1819" t="n">
        <v>0</v>
      </c>
      <c r="J1819" t="n">
        <v>0</v>
      </c>
      <c r="K1819" t="n">
        <v>0</v>
      </c>
      <c r="L1819" t="n">
        <v>0</v>
      </c>
      <c r="M1819" t="n">
        <v>0</v>
      </c>
      <c r="N1819" t="n">
        <v>0</v>
      </c>
      <c r="O1819" t="n">
        <v>0</v>
      </c>
      <c r="P1819" t="n">
        <v>0</v>
      </c>
      <c r="Q1819" t="n">
        <v>0</v>
      </c>
      <c r="R1819" s="2" t="inlineStr"/>
    </row>
    <row r="1820" ht="15" customHeight="1">
      <c r="A1820" t="inlineStr">
        <is>
          <t>A 7665-2019</t>
        </is>
      </c>
      <c r="B1820" s="1" t="n">
        <v>43500</v>
      </c>
      <c r="C1820" s="1" t="n">
        <v>45212</v>
      </c>
      <c r="D1820" t="inlineStr">
        <is>
          <t>VÄSTRA GÖTALANDS LÄN</t>
        </is>
      </c>
      <c r="E1820" t="inlineStr">
        <is>
          <t>TRANEMO</t>
        </is>
      </c>
      <c r="F1820" t="inlineStr">
        <is>
          <t>Kyrkan</t>
        </is>
      </c>
      <c r="G1820" t="n">
        <v>3</v>
      </c>
      <c r="H1820" t="n">
        <v>0</v>
      </c>
      <c r="I1820" t="n">
        <v>0</v>
      </c>
      <c r="J1820" t="n">
        <v>0</v>
      </c>
      <c r="K1820" t="n">
        <v>0</v>
      </c>
      <c r="L1820" t="n">
        <v>0</v>
      </c>
      <c r="M1820" t="n">
        <v>0</v>
      </c>
      <c r="N1820" t="n">
        <v>0</v>
      </c>
      <c r="O1820" t="n">
        <v>0</v>
      </c>
      <c r="P1820" t="n">
        <v>0</v>
      </c>
      <c r="Q1820" t="n">
        <v>0</v>
      </c>
      <c r="R1820" s="2" t="inlineStr"/>
    </row>
    <row r="1821" ht="15" customHeight="1">
      <c r="A1821" t="inlineStr">
        <is>
          <t>A 7683-2019</t>
        </is>
      </c>
      <c r="B1821" s="1" t="n">
        <v>43500</v>
      </c>
      <c r="C1821" s="1" t="n">
        <v>45212</v>
      </c>
      <c r="D1821" t="inlineStr">
        <is>
          <t>VÄSTRA GÖTALANDS LÄN</t>
        </is>
      </c>
      <c r="E1821" t="inlineStr">
        <is>
          <t>TANUM</t>
        </is>
      </c>
      <c r="G1821" t="n">
        <v>2.7</v>
      </c>
      <c r="H1821" t="n">
        <v>0</v>
      </c>
      <c r="I1821" t="n">
        <v>0</v>
      </c>
      <c r="J1821" t="n">
        <v>0</v>
      </c>
      <c r="K1821" t="n">
        <v>0</v>
      </c>
      <c r="L1821" t="n">
        <v>0</v>
      </c>
      <c r="M1821" t="n">
        <v>0</v>
      </c>
      <c r="N1821" t="n">
        <v>0</v>
      </c>
      <c r="O1821" t="n">
        <v>0</v>
      </c>
      <c r="P1821" t="n">
        <v>0</v>
      </c>
      <c r="Q1821" t="n">
        <v>0</v>
      </c>
      <c r="R1821" s="2" t="inlineStr"/>
    </row>
    <row r="1822" ht="15" customHeight="1">
      <c r="A1822" t="inlineStr">
        <is>
          <t>A 7700-2019</t>
        </is>
      </c>
      <c r="B1822" s="1" t="n">
        <v>43500</v>
      </c>
      <c r="C1822" s="1" t="n">
        <v>45212</v>
      </c>
      <c r="D1822" t="inlineStr">
        <is>
          <t>VÄSTRA GÖTALANDS LÄN</t>
        </is>
      </c>
      <c r="E1822" t="inlineStr">
        <is>
          <t>TANUM</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7803-2019</t>
        </is>
      </c>
      <c r="B1823" s="1" t="n">
        <v>43500</v>
      </c>
      <c r="C1823" s="1" t="n">
        <v>45212</v>
      </c>
      <c r="D1823" t="inlineStr">
        <is>
          <t>VÄSTRA GÖTALANDS LÄN</t>
        </is>
      </c>
      <c r="E1823" t="inlineStr">
        <is>
          <t>FALKÖPING</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7872-2019</t>
        </is>
      </c>
      <c r="B1824" s="1" t="n">
        <v>43500</v>
      </c>
      <c r="C1824" s="1" t="n">
        <v>45212</v>
      </c>
      <c r="D1824" t="inlineStr">
        <is>
          <t>VÄSTRA GÖTALANDS LÄN</t>
        </is>
      </c>
      <c r="E1824" t="inlineStr">
        <is>
          <t>TIDAHOLM</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7674-2019</t>
        </is>
      </c>
      <c r="B1825" s="1" t="n">
        <v>43500</v>
      </c>
      <c r="C1825" s="1" t="n">
        <v>45212</v>
      </c>
      <c r="D1825" t="inlineStr">
        <is>
          <t>VÄSTRA GÖTALANDS LÄN</t>
        </is>
      </c>
      <c r="E1825" t="inlineStr">
        <is>
          <t>TRANEMO</t>
        </is>
      </c>
      <c r="F1825" t="inlineStr">
        <is>
          <t>Kyrkan</t>
        </is>
      </c>
      <c r="G1825" t="n">
        <v>2.2</v>
      </c>
      <c r="H1825" t="n">
        <v>0</v>
      </c>
      <c r="I1825" t="n">
        <v>0</v>
      </c>
      <c r="J1825" t="n">
        <v>0</v>
      </c>
      <c r="K1825" t="n">
        <v>0</v>
      </c>
      <c r="L1825" t="n">
        <v>0</v>
      </c>
      <c r="M1825" t="n">
        <v>0</v>
      </c>
      <c r="N1825" t="n">
        <v>0</v>
      </c>
      <c r="O1825" t="n">
        <v>0</v>
      </c>
      <c r="P1825" t="n">
        <v>0</v>
      </c>
      <c r="Q1825" t="n">
        <v>0</v>
      </c>
      <c r="R1825" s="2" t="inlineStr"/>
    </row>
    <row r="1826" ht="15" customHeight="1">
      <c r="A1826" t="inlineStr">
        <is>
          <t>A 8059-2019</t>
        </is>
      </c>
      <c r="B1826" s="1" t="n">
        <v>43501</v>
      </c>
      <c r="C1826" s="1" t="n">
        <v>45212</v>
      </c>
      <c r="D1826" t="inlineStr">
        <is>
          <t>VÄSTRA GÖTALANDS LÄN</t>
        </is>
      </c>
      <c r="E1826" t="inlineStr">
        <is>
          <t>SVENLJUNGA</t>
        </is>
      </c>
      <c r="G1826" t="n">
        <v>0.5</v>
      </c>
      <c r="H1826" t="n">
        <v>0</v>
      </c>
      <c r="I1826" t="n">
        <v>0</v>
      </c>
      <c r="J1826" t="n">
        <v>0</v>
      </c>
      <c r="K1826" t="n">
        <v>0</v>
      </c>
      <c r="L1826" t="n">
        <v>0</v>
      </c>
      <c r="M1826" t="n">
        <v>0</v>
      </c>
      <c r="N1826" t="n">
        <v>0</v>
      </c>
      <c r="O1826" t="n">
        <v>0</v>
      </c>
      <c r="P1826" t="n">
        <v>0</v>
      </c>
      <c r="Q1826" t="n">
        <v>0</v>
      </c>
      <c r="R1826" s="2" t="inlineStr"/>
    </row>
    <row r="1827" ht="15" customHeight="1">
      <c r="A1827" t="inlineStr">
        <is>
          <t>A 8135-2019</t>
        </is>
      </c>
      <c r="B1827" s="1" t="n">
        <v>43501</v>
      </c>
      <c r="C1827" s="1" t="n">
        <v>45212</v>
      </c>
      <c r="D1827" t="inlineStr">
        <is>
          <t>VÄSTRA GÖTALANDS LÄN</t>
        </is>
      </c>
      <c r="E1827" t="inlineStr">
        <is>
          <t>GÖTEBORG</t>
        </is>
      </c>
      <c r="G1827" t="n">
        <v>13.7</v>
      </c>
      <c r="H1827" t="n">
        <v>0</v>
      </c>
      <c r="I1827" t="n">
        <v>0</v>
      </c>
      <c r="J1827" t="n">
        <v>0</v>
      </c>
      <c r="K1827" t="n">
        <v>0</v>
      </c>
      <c r="L1827" t="n">
        <v>0</v>
      </c>
      <c r="M1827" t="n">
        <v>0</v>
      </c>
      <c r="N1827" t="n">
        <v>0</v>
      </c>
      <c r="O1827" t="n">
        <v>0</v>
      </c>
      <c r="P1827" t="n">
        <v>0</v>
      </c>
      <c r="Q1827" t="n">
        <v>0</v>
      </c>
      <c r="R1827" s="2" t="inlineStr"/>
    </row>
    <row r="1828" ht="15" customHeight="1">
      <c r="A1828" t="inlineStr">
        <is>
          <t>A 8724-2019</t>
        </is>
      </c>
      <c r="B1828" s="1" t="n">
        <v>43501</v>
      </c>
      <c r="C1828" s="1" t="n">
        <v>45212</v>
      </c>
      <c r="D1828" t="inlineStr">
        <is>
          <t>VÄSTRA GÖTALANDS LÄN</t>
        </is>
      </c>
      <c r="E1828" t="inlineStr">
        <is>
          <t>LIDKÖPING</t>
        </is>
      </c>
      <c r="G1828" t="n">
        <v>5.9</v>
      </c>
      <c r="H1828" t="n">
        <v>0</v>
      </c>
      <c r="I1828" t="n">
        <v>0</v>
      </c>
      <c r="J1828" t="n">
        <v>0</v>
      </c>
      <c r="K1828" t="n">
        <v>0</v>
      </c>
      <c r="L1828" t="n">
        <v>0</v>
      </c>
      <c r="M1828" t="n">
        <v>0</v>
      </c>
      <c r="N1828" t="n">
        <v>0</v>
      </c>
      <c r="O1828" t="n">
        <v>0</v>
      </c>
      <c r="P1828" t="n">
        <v>0</v>
      </c>
      <c r="Q1828" t="n">
        <v>0</v>
      </c>
      <c r="R1828" s="2" t="inlineStr"/>
    </row>
    <row r="1829" ht="15" customHeight="1">
      <c r="A1829" t="inlineStr">
        <is>
          <t>A 8183-2019</t>
        </is>
      </c>
      <c r="B1829" s="1" t="n">
        <v>43501</v>
      </c>
      <c r="C1829" s="1" t="n">
        <v>45212</v>
      </c>
      <c r="D1829" t="inlineStr">
        <is>
          <t>VÄSTRA GÖTALANDS LÄN</t>
        </is>
      </c>
      <c r="E1829" t="inlineStr">
        <is>
          <t>ULRICEHAMN</t>
        </is>
      </c>
      <c r="G1829" t="n">
        <v>0.8</v>
      </c>
      <c r="H1829" t="n">
        <v>0</v>
      </c>
      <c r="I1829" t="n">
        <v>0</v>
      </c>
      <c r="J1829" t="n">
        <v>0</v>
      </c>
      <c r="K1829" t="n">
        <v>0</v>
      </c>
      <c r="L1829" t="n">
        <v>0</v>
      </c>
      <c r="M1829" t="n">
        <v>0</v>
      </c>
      <c r="N1829" t="n">
        <v>0</v>
      </c>
      <c r="O1829" t="n">
        <v>0</v>
      </c>
      <c r="P1829" t="n">
        <v>0</v>
      </c>
      <c r="Q1829" t="n">
        <v>0</v>
      </c>
      <c r="R1829" s="2" t="inlineStr"/>
    </row>
    <row r="1830" ht="15" customHeight="1">
      <c r="A1830" t="inlineStr">
        <is>
          <t>A 8703-2019</t>
        </is>
      </c>
      <c r="B1830" s="1" t="n">
        <v>43501</v>
      </c>
      <c r="C1830" s="1" t="n">
        <v>45212</v>
      </c>
      <c r="D1830" t="inlineStr">
        <is>
          <t>VÄSTRA GÖTALANDS LÄN</t>
        </is>
      </c>
      <c r="E1830" t="inlineStr">
        <is>
          <t>MUNKEDAL</t>
        </is>
      </c>
      <c r="G1830" t="n">
        <v>1</v>
      </c>
      <c r="H1830" t="n">
        <v>0</v>
      </c>
      <c r="I1830" t="n">
        <v>0</v>
      </c>
      <c r="J1830" t="n">
        <v>0</v>
      </c>
      <c r="K1830" t="n">
        <v>0</v>
      </c>
      <c r="L1830" t="n">
        <v>0</v>
      </c>
      <c r="M1830" t="n">
        <v>0</v>
      </c>
      <c r="N1830" t="n">
        <v>0</v>
      </c>
      <c r="O1830" t="n">
        <v>0</v>
      </c>
      <c r="P1830" t="n">
        <v>0</v>
      </c>
      <c r="Q1830" t="n">
        <v>0</v>
      </c>
      <c r="R1830" s="2" t="inlineStr"/>
    </row>
    <row r="1831" ht="15" customHeight="1">
      <c r="A1831" t="inlineStr">
        <is>
          <t>A 8748-2019</t>
        </is>
      </c>
      <c r="B1831" s="1" t="n">
        <v>43501</v>
      </c>
      <c r="C1831" s="1" t="n">
        <v>45212</v>
      </c>
      <c r="D1831" t="inlineStr">
        <is>
          <t>VÄSTRA GÖTALANDS LÄN</t>
        </is>
      </c>
      <c r="E1831" t="inlineStr">
        <is>
          <t>VARA</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7962-2019</t>
        </is>
      </c>
      <c r="B1832" s="1" t="n">
        <v>43501</v>
      </c>
      <c r="C1832" s="1" t="n">
        <v>45212</v>
      </c>
      <c r="D1832" t="inlineStr">
        <is>
          <t>VÄSTRA GÖTALANDS LÄN</t>
        </is>
      </c>
      <c r="E1832" t="inlineStr">
        <is>
          <t>BOLLEBYGD</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8060-2019</t>
        </is>
      </c>
      <c r="B1833" s="1" t="n">
        <v>43501</v>
      </c>
      <c r="C1833" s="1" t="n">
        <v>45212</v>
      </c>
      <c r="D1833" t="inlineStr">
        <is>
          <t>VÄSTRA GÖTALANDS LÄN</t>
        </is>
      </c>
      <c r="E1833" t="inlineStr">
        <is>
          <t>SVENLJUNGA</t>
        </is>
      </c>
      <c r="G1833" t="n">
        <v>2.3</v>
      </c>
      <c r="H1833" t="n">
        <v>0</v>
      </c>
      <c r="I1833" t="n">
        <v>0</v>
      </c>
      <c r="J1833" t="n">
        <v>0</v>
      </c>
      <c r="K1833" t="n">
        <v>0</v>
      </c>
      <c r="L1833" t="n">
        <v>0</v>
      </c>
      <c r="M1833" t="n">
        <v>0</v>
      </c>
      <c r="N1833" t="n">
        <v>0</v>
      </c>
      <c r="O1833" t="n">
        <v>0</v>
      </c>
      <c r="P1833" t="n">
        <v>0</v>
      </c>
      <c r="Q1833" t="n">
        <v>0</v>
      </c>
      <c r="R1833" s="2" t="inlineStr"/>
    </row>
    <row r="1834" ht="15" customHeight="1">
      <c r="A1834" t="inlineStr">
        <is>
          <t>A 8231-2019</t>
        </is>
      </c>
      <c r="B1834" s="1" t="n">
        <v>43501</v>
      </c>
      <c r="C1834" s="1" t="n">
        <v>45212</v>
      </c>
      <c r="D1834" t="inlineStr">
        <is>
          <t>VÄSTRA GÖTALANDS LÄN</t>
        </is>
      </c>
      <c r="E1834" t="inlineStr">
        <is>
          <t>UDDEVALLA</t>
        </is>
      </c>
      <c r="G1834" t="n">
        <v>0.6</v>
      </c>
      <c r="H1834" t="n">
        <v>0</v>
      </c>
      <c r="I1834" t="n">
        <v>0</v>
      </c>
      <c r="J1834" t="n">
        <v>0</v>
      </c>
      <c r="K1834" t="n">
        <v>0</v>
      </c>
      <c r="L1834" t="n">
        <v>0</v>
      </c>
      <c r="M1834" t="n">
        <v>0</v>
      </c>
      <c r="N1834" t="n">
        <v>0</v>
      </c>
      <c r="O1834" t="n">
        <v>0</v>
      </c>
      <c r="P1834" t="n">
        <v>0</v>
      </c>
      <c r="Q1834" t="n">
        <v>0</v>
      </c>
      <c r="R1834" s="2" t="inlineStr"/>
    </row>
    <row r="1835" ht="15" customHeight="1">
      <c r="A1835" t="inlineStr">
        <is>
          <t>A 8262-2019</t>
        </is>
      </c>
      <c r="B1835" s="1" t="n">
        <v>43501</v>
      </c>
      <c r="C1835" s="1" t="n">
        <v>45212</v>
      </c>
      <c r="D1835" t="inlineStr">
        <is>
          <t>VÄSTRA GÖTALANDS LÄN</t>
        </is>
      </c>
      <c r="E1835" t="inlineStr">
        <is>
          <t>TRANEMO</t>
        </is>
      </c>
      <c r="G1835" t="n">
        <v>0.7</v>
      </c>
      <c r="H1835" t="n">
        <v>0</v>
      </c>
      <c r="I1835" t="n">
        <v>0</v>
      </c>
      <c r="J1835" t="n">
        <v>0</v>
      </c>
      <c r="K1835" t="n">
        <v>0</v>
      </c>
      <c r="L1835" t="n">
        <v>0</v>
      </c>
      <c r="M1835" t="n">
        <v>0</v>
      </c>
      <c r="N1835" t="n">
        <v>0</v>
      </c>
      <c r="O1835" t="n">
        <v>0</v>
      </c>
      <c r="P1835" t="n">
        <v>0</v>
      </c>
      <c r="Q1835" t="n">
        <v>0</v>
      </c>
      <c r="R1835" s="2" t="inlineStr"/>
    </row>
    <row r="1836" ht="15" customHeight="1">
      <c r="A1836" t="inlineStr">
        <is>
          <t>A 8438-2019</t>
        </is>
      </c>
      <c r="B1836" s="1" t="n">
        <v>43502</v>
      </c>
      <c r="C1836" s="1" t="n">
        <v>45212</v>
      </c>
      <c r="D1836" t="inlineStr">
        <is>
          <t>VÄSTRA GÖTALANDS LÄN</t>
        </is>
      </c>
      <c r="E1836" t="inlineStr">
        <is>
          <t>MARK</t>
        </is>
      </c>
      <c r="G1836" t="n">
        <v>0.8</v>
      </c>
      <c r="H1836" t="n">
        <v>0</v>
      </c>
      <c r="I1836" t="n">
        <v>0</v>
      </c>
      <c r="J1836" t="n">
        <v>0</v>
      </c>
      <c r="K1836" t="n">
        <v>0</v>
      </c>
      <c r="L1836" t="n">
        <v>0</v>
      </c>
      <c r="M1836" t="n">
        <v>0</v>
      </c>
      <c r="N1836" t="n">
        <v>0</v>
      </c>
      <c r="O1836" t="n">
        <v>0</v>
      </c>
      <c r="P1836" t="n">
        <v>0</v>
      </c>
      <c r="Q1836" t="n">
        <v>0</v>
      </c>
      <c r="R1836" s="2" t="inlineStr"/>
    </row>
    <row r="1837" ht="15" customHeight="1">
      <c r="A1837" t="inlineStr">
        <is>
          <t>A 8531-2019</t>
        </is>
      </c>
      <c r="B1837" s="1" t="n">
        <v>43502</v>
      </c>
      <c r="C1837" s="1" t="n">
        <v>45212</v>
      </c>
      <c r="D1837" t="inlineStr">
        <is>
          <t>VÄSTRA GÖTALANDS LÄN</t>
        </is>
      </c>
      <c r="E1837" t="inlineStr">
        <is>
          <t>VÄNERSBORG</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8405-2019</t>
        </is>
      </c>
      <c r="B1838" s="1" t="n">
        <v>43502</v>
      </c>
      <c r="C1838" s="1" t="n">
        <v>45212</v>
      </c>
      <c r="D1838" t="inlineStr">
        <is>
          <t>VÄSTRA GÖTALANDS LÄN</t>
        </is>
      </c>
      <c r="E1838" t="inlineStr">
        <is>
          <t>ÅMÅL</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8415-2019</t>
        </is>
      </c>
      <c r="B1839" s="1" t="n">
        <v>43502</v>
      </c>
      <c r="C1839" s="1" t="n">
        <v>45212</v>
      </c>
      <c r="D1839" t="inlineStr">
        <is>
          <t>VÄSTRA GÖTALANDS LÄN</t>
        </is>
      </c>
      <c r="E1839" t="inlineStr">
        <is>
          <t>ÅMÅL</t>
        </is>
      </c>
      <c r="G1839" t="n">
        <v>3.1</v>
      </c>
      <c r="H1839" t="n">
        <v>0</v>
      </c>
      <c r="I1839" t="n">
        <v>0</v>
      </c>
      <c r="J1839" t="n">
        <v>0</v>
      </c>
      <c r="K1839" t="n">
        <v>0</v>
      </c>
      <c r="L1839" t="n">
        <v>0</v>
      </c>
      <c r="M1839" t="n">
        <v>0</v>
      </c>
      <c r="N1839" t="n">
        <v>0</v>
      </c>
      <c r="O1839" t="n">
        <v>0</v>
      </c>
      <c r="P1839" t="n">
        <v>0</v>
      </c>
      <c r="Q1839" t="n">
        <v>0</v>
      </c>
      <c r="R1839" s="2" t="inlineStr"/>
    </row>
    <row r="1840" ht="15" customHeight="1">
      <c r="A1840" t="inlineStr">
        <is>
          <t>A 8421-2019</t>
        </is>
      </c>
      <c r="B1840" s="1" t="n">
        <v>43502</v>
      </c>
      <c r="C1840" s="1" t="n">
        <v>45212</v>
      </c>
      <c r="D1840" t="inlineStr">
        <is>
          <t>VÄSTRA GÖTALANDS LÄN</t>
        </is>
      </c>
      <c r="E1840" t="inlineStr">
        <is>
          <t>BORÅS</t>
        </is>
      </c>
      <c r="G1840" t="n">
        <v>4.1</v>
      </c>
      <c r="H1840" t="n">
        <v>0</v>
      </c>
      <c r="I1840" t="n">
        <v>0</v>
      </c>
      <c r="J1840" t="n">
        <v>0</v>
      </c>
      <c r="K1840" t="n">
        <v>0</v>
      </c>
      <c r="L1840" t="n">
        <v>0</v>
      </c>
      <c r="M1840" t="n">
        <v>0</v>
      </c>
      <c r="N1840" t="n">
        <v>0</v>
      </c>
      <c r="O1840" t="n">
        <v>0</v>
      </c>
      <c r="P1840" t="n">
        <v>0</v>
      </c>
      <c r="Q1840" t="n">
        <v>0</v>
      </c>
      <c r="R1840" s="2" t="inlineStr"/>
    </row>
    <row r="1841" ht="15" customHeight="1">
      <c r="A1841" t="inlineStr">
        <is>
          <t>A 8432-2019</t>
        </is>
      </c>
      <c r="B1841" s="1" t="n">
        <v>43502</v>
      </c>
      <c r="C1841" s="1" t="n">
        <v>45212</v>
      </c>
      <c r="D1841" t="inlineStr">
        <is>
          <t>VÄSTRA GÖTALANDS LÄN</t>
        </is>
      </c>
      <c r="E1841" t="inlineStr">
        <is>
          <t>MARK</t>
        </is>
      </c>
      <c r="G1841" t="n">
        <v>2.3</v>
      </c>
      <c r="H1841" t="n">
        <v>0</v>
      </c>
      <c r="I1841" t="n">
        <v>0</v>
      </c>
      <c r="J1841" t="n">
        <v>0</v>
      </c>
      <c r="K1841" t="n">
        <v>0</v>
      </c>
      <c r="L1841" t="n">
        <v>0</v>
      </c>
      <c r="M1841" t="n">
        <v>0</v>
      </c>
      <c r="N1841" t="n">
        <v>0</v>
      </c>
      <c r="O1841" t="n">
        <v>0</v>
      </c>
      <c r="P1841" t="n">
        <v>0</v>
      </c>
      <c r="Q1841" t="n">
        <v>0</v>
      </c>
      <c r="R1841" s="2" t="inlineStr"/>
    </row>
    <row r="1842" ht="15" customHeight="1">
      <c r="A1842" t="inlineStr">
        <is>
          <t>A 8868-2019</t>
        </is>
      </c>
      <c r="B1842" s="1" t="n">
        <v>43502</v>
      </c>
      <c r="C1842" s="1" t="n">
        <v>45212</v>
      </c>
      <c r="D1842" t="inlineStr">
        <is>
          <t>VÄSTRA GÖTALANDS LÄN</t>
        </is>
      </c>
      <c r="E1842" t="inlineStr">
        <is>
          <t>GÖTENE</t>
        </is>
      </c>
      <c r="G1842" t="n">
        <v>3.4</v>
      </c>
      <c r="H1842" t="n">
        <v>0</v>
      </c>
      <c r="I1842" t="n">
        <v>0</v>
      </c>
      <c r="J1842" t="n">
        <v>0</v>
      </c>
      <c r="K1842" t="n">
        <v>0</v>
      </c>
      <c r="L1842" t="n">
        <v>0</v>
      </c>
      <c r="M1842" t="n">
        <v>0</v>
      </c>
      <c r="N1842" t="n">
        <v>0</v>
      </c>
      <c r="O1842" t="n">
        <v>0</v>
      </c>
      <c r="P1842" t="n">
        <v>0</v>
      </c>
      <c r="Q1842" t="n">
        <v>0</v>
      </c>
      <c r="R1842" s="2" t="inlineStr"/>
    </row>
    <row r="1843" ht="15" customHeight="1">
      <c r="A1843" t="inlineStr">
        <is>
          <t>A 8332-2019</t>
        </is>
      </c>
      <c r="B1843" s="1" t="n">
        <v>43502</v>
      </c>
      <c r="C1843" s="1" t="n">
        <v>45212</v>
      </c>
      <c r="D1843" t="inlineStr">
        <is>
          <t>VÄSTRA GÖTALANDS LÄN</t>
        </is>
      </c>
      <c r="E1843" t="inlineStr">
        <is>
          <t>TANUM</t>
        </is>
      </c>
      <c r="G1843" t="n">
        <v>0.9</v>
      </c>
      <c r="H1843" t="n">
        <v>0</v>
      </c>
      <c r="I1843" t="n">
        <v>0</v>
      </c>
      <c r="J1843" t="n">
        <v>0</v>
      </c>
      <c r="K1843" t="n">
        <v>0</v>
      </c>
      <c r="L1843" t="n">
        <v>0</v>
      </c>
      <c r="M1843" t="n">
        <v>0</v>
      </c>
      <c r="N1843" t="n">
        <v>0</v>
      </c>
      <c r="O1843" t="n">
        <v>0</v>
      </c>
      <c r="P1843" t="n">
        <v>0</v>
      </c>
      <c r="Q1843" t="n">
        <v>0</v>
      </c>
      <c r="R1843" s="2" t="inlineStr"/>
    </row>
    <row r="1844" ht="15" customHeight="1">
      <c r="A1844" t="inlineStr">
        <is>
          <t>A 8384-2019</t>
        </is>
      </c>
      <c r="B1844" s="1" t="n">
        <v>43502</v>
      </c>
      <c r="C1844" s="1" t="n">
        <v>45212</v>
      </c>
      <c r="D1844" t="inlineStr">
        <is>
          <t>VÄSTRA GÖTALANDS LÄN</t>
        </is>
      </c>
      <c r="E1844" t="inlineStr">
        <is>
          <t>TANUM</t>
        </is>
      </c>
      <c r="G1844" t="n">
        <v>3.4</v>
      </c>
      <c r="H1844" t="n">
        <v>0</v>
      </c>
      <c r="I1844" t="n">
        <v>0</v>
      </c>
      <c r="J1844" t="n">
        <v>0</v>
      </c>
      <c r="K1844" t="n">
        <v>0</v>
      </c>
      <c r="L1844" t="n">
        <v>0</v>
      </c>
      <c r="M1844" t="n">
        <v>0</v>
      </c>
      <c r="N1844" t="n">
        <v>0</v>
      </c>
      <c r="O1844" t="n">
        <v>0</v>
      </c>
      <c r="P1844" t="n">
        <v>0</v>
      </c>
      <c r="Q1844" t="n">
        <v>0</v>
      </c>
      <c r="R1844" s="2" t="inlineStr"/>
    </row>
    <row r="1845" ht="15" customHeight="1">
      <c r="A1845" t="inlineStr">
        <is>
          <t>A 8395-2019</t>
        </is>
      </c>
      <c r="B1845" s="1" t="n">
        <v>43502</v>
      </c>
      <c r="C1845" s="1" t="n">
        <v>45212</v>
      </c>
      <c r="D1845" t="inlineStr">
        <is>
          <t>VÄSTRA GÖTALANDS LÄN</t>
        </is>
      </c>
      <c r="E1845" t="inlineStr">
        <is>
          <t>FALKÖPING</t>
        </is>
      </c>
      <c r="G1845" t="n">
        <v>1.5</v>
      </c>
      <c r="H1845" t="n">
        <v>0</v>
      </c>
      <c r="I1845" t="n">
        <v>0</v>
      </c>
      <c r="J1845" t="n">
        <v>0</v>
      </c>
      <c r="K1845" t="n">
        <v>0</v>
      </c>
      <c r="L1845" t="n">
        <v>0</v>
      </c>
      <c r="M1845" t="n">
        <v>0</v>
      </c>
      <c r="N1845" t="n">
        <v>0</v>
      </c>
      <c r="O1845" t="n">
        <v>0</v>
      </c>
      <c r="P1845" t="n">
        <v>0</v>
      </c>
      <c r="Q1845" t="n">
        <v>0</v>
      </c>
      <c r="R1845" s="2" t="inlineStr"/>
    </row>
    <row r="1846" ht="15" customHeight="1">
      <c r="A1846" t="inlineStr">
        <is>
          <t>A 8411-2019</t>
        </is>
      </c>
      <c r="B1846" s="1" t="n">
        <v>43502</v>
      </c>
      <c r="C1846" s="1" t="n">
        <v>45212</v>
      </c>
      <c r="D1846" t="inlineStr">
        <is>
          <t>VÄSTRA GÖTALANDS LÄN</t>
        </is>
      </c>
      <c r="E1846" t="inlineStr">
        <is>
          <t>FALKÖPING</t>
        </is>
      </c>
      <c r="G1846" t="n">
        <v>5.6</v>
      </c>
      <c r="H1846" t="n">
        <v>0</v>
      </c>
      <c r="I1846" t="n">
        <v>0</v>
      </c>
      <c r="J1846" t="n">
        <v>0</v>
      </c>
      <c r="K1846" t="n">
        <v>0</v>
      </c>
      <c r="L1846" t="n">
        <v>0</v>
      </c>
      <c r="M1846" t="n">
        <v>0</v>
      </c>
      <c r="N1846" t="n">
        <v>0</v>
      </c>
      <c r="O1846" t="n">
        <v>0</v>
      </c>
      <c r="P1846" t="n">
        <v>0</v>
      </c>
      <c r="Q1846" t="n">
        <v>0</v>
      </c>
      <c r="R1846" s="2" t="inlineStr"/>
    </row>
    <row r="1847" ht="15" customHeight="1">
      <c r="A1847" t="inlineStr">
        <is>
          <t>A 8863-2019</t>
        </is>
      </c>
      <c r="B1847" s="1" t="n">
        <v>43502</v>
      </c>
      <c r="C1847" s="1" t="n">
        <v>45212</v>
      </c>
      <c r="D1847" t="inlineStr">
        <is>
          <t>VÄSTRA GÖTALANDS LÄN</t>
        </is>
      </c>
      <c r="E1847" t="inlineStr">
        <is>
          <t>VÄNERSBORG</t>
        </is>
      </c>
      <c r="G1847" t="n">
        <v>4.2</v>
      </c>
      <c r="H1847" t="n">
        <v>0</v>
      </c>
      <c r="I1847" t="n">
        <v>0</v>
      </c>
      <c r="J1847" t="n">
        <v>0</v>
      </c>
      <c r="K1847" t="n">
        <v>0</v>
      </c>
      <c r="L1847" t="n">
        <v>0</v>
      </c>
      <c r="M1847" t="n">
        <v>0</v>
      </c>
      <c r="N1847" t="n">
        <v>0</v>
      </c>
      <c r="O1847" t="n">
        <v>0</v>
      </c>
      <c r="P1847" t="n">
        <v>0</v>
      </c>
      <c r="Q1847" t="n">
        <v>0</v>
      </c>
      <c r="R1847" s="2" t="inlineStr"/>
    </row>
    <row r="1848" ht="15" customHeight="1">
      <c r="A1848" t="inlineStr">
        <is>
          <t>A 8360-2019</t>
        </is>
      </c>
      <c r="B1848" s="1" t="n">
        <v>43502</v>
      </c>
      <c r="C1848" s="1" t="n">
        <v>45212</v>
      </c>
      <c r="D1848" t="inlineStr">
        <is>
          <t>VÄSTRA GÖTALANDS LÄN</t>
        </is>
      </c>
      <c r="E1848" t="inlineStr">
        <is>
          <t>STRÖMSTAD</t>
        </is>
      </c>
      <c r="G1848" t="n">
        <v>1.2</v>
      </c>
      <c r="H1848" t="n">
        <v>0</v>
      </c>
      <c r="I1848" t="n">
        <v>0</v>
      </c>
      <c r="J1848" t="n">
        <v>0</v>
      </c>
      <c r="K1848" t="n">
        <v>0</v>
      </c>
      <c r="L1848" t="n">
        <v>0</v>
      </c>
      <c r="M1848" t="n">
        <v>0</v>
      </c>
      <c r="N1848" t="n">
        <v>0</v>
      </c>
      <c r="O1848" t="n">
        <v>0</v>
      </c>
      <c r="P1848" t="n">
        <v>0</v>
      </c>
      <c r="Q1848" t="n">
        <v>0</v>
      </c>
      <c r="R1848" s="2" t="inlineStr"/>
    </row>
    <row r="1849" ht="15" customHeight="1">
      <c r="A1849" t="inlineStr">
        <is>
          <t>A 8764-2019</t>
        </is>
      </c>
      <c r="B1849" s="1" t="n">
        <v>43502</v>
      </c>
      <c r="C1849" s="1" t="n">
        <v>45212</v>
      </c>
      <c r="D1849" t="inlineStr">
        <is>
          <t>VÄSTRA GÖTALANDS LÄN</t>
        </is>
      </c>
      <c r="E1849" t="inlineStr">
        <is>
          <t>GÖTENE</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8828-2019</t>
        </is>
      </c>
      <c r="B1850" s="1" t="n">
        <v>43502</v>
      </c>
      <c r="C1850" s="1" t="n">
        <v>45212</v>
      </c>
      <c r="D1850" t="inlineStr">
        <is>
          <t>VÄSTRA GÖTALANDS LÄN</t>
        </is>
      </c>
      <c r="E1850" t="inlineStr">
        <is>
          <t>VÄNERSBORG</t>
        </is>
      </c>
      <c r="G1850" t="n">
        <v>1.2</v>
      </c>
      <c r="H1850" t="n">
        <v>0</v>
      </c>
      <c r="I1850" t="n">
        <v>0</v>
      </c>
      <c r="J1850" t="n">
        <v>0</v>
      </c>
      <c r="K1850" t="n">
        <v>0</v>
      </c>
      <c r="L1850" t="n">
        <v>0</v>
      </c>
      <c r="M1850" t="n">
        <v>0</v>
      </c>
      <c r="N1850" t="n">
        <v>0</v>
      </c>
      <c r="O1850" t="n">
        <v>0</v>
      </c>
      <c r="P1850" t="n">
        <v>0</v>
      </c>
      <c r="Q1850" t="n">
        <v>0</v>
      </c>
      <c r="R1850" s="2" t="inlineStr"/>
    </row>
    <row r="1851" ht="15" customHeight="1">
      <c r="A1851" t="inlineStr">
        <is>
          <t>A 8656-2019</t>
        </is>
      </c>
      <c r="B1851" s="1" t="n">
        <v>43503</v>
      </c>
      <c r="C1851" s="1" t="n">
        <v>45212</v>
      </c>
      <c r="D1851" t="inlineStr">
        <is>
          <t>VÄSTRA GÖTALANDS LÄN</t>
        </is>
      </c>
      <c r="E1851" t="inlineStr">
        <is>
          <t>TJÖRN</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8740-2019</t>
        </is>
      </c>
      <c r="B1852" s="1" t="n">
        <v>43503</v>
      </c>
      <c r="C1852" s="1" t="n">
        <v>45212</v>
      </c>
      <c r="D1852" t="inlineStr">
        <is>
          <t>VÄSTRA GÖTALANDS LÄN</t>
        </is>
      </c>
      <c r="E1852" t="inlineStr">
        <is>
          <t>TJÖRN</t>
        </is>
      </c>
      <c r="G1852" t="n">
        <v>0.4</v>
      </c>
      <c r="H1852" t="n">
        <v>0</v>
      </c>
      <c r="I1852" t="n">
        <v>0</v>
      </c>
      <c r="J1852" t="n">
        <v>0</v>
      </c>
      <c r="K1852" t="n">
        <v>0</v>
      </c>
      <c r="L1852" t="n">
        <v>0</v>
      </c>
      <c r="M1852" t="n">
        <v>0</v>
      </c>
      <c r="N1852" t="n">
        <v>0</v>
      </c>
      <c r="O1852" t="n">
        <v>0</v>
      </c>
      <c r="P1852" t="n">
        <v>0</v>
      </c>
      <c r="Q1852" t="n">
        <v>0</v>
      </c>
      <c r="R1852" s="2" t="inlineStr"/>
    </row>
    <row r="1853" ht="15" customHeight="1">
      <c r="A1853" t="inlineStr">
        <is>
          <t>A 8963-2019</t>
        </is>
      </c>
      <c r="B1853" s="1" t="n">
        <v>43503</v>
      </c>
      <c r="C1853" s="1" t="n">
        <v>45212</v>
      </c>
      <c r="D1853" t="inlineStr">
        <is>
          <t>VÄSTRA GÖTALANDS LÄN</t>
        </is>
      </c>
      <c r="E1853" t="inlineStr">
        <is>
          <t>VARA</t>
        </is>
      </c>
      <c r="G1853" t="n">
        <v>4.9</v>
      </c>
      <c r="H1853" t="n">
        <v>0</v>
      </c>
      <c r="I1853" t="n">
        <v>0</v>
      </c>
      <c r="J1853" t="n">
        <v>0</v>
      </c>
      <c r="K1853" t="n">
        <v>0</v>
      </c>
      <c r="L1853" t="n">
        <v>0</v>
      </c>
      <c r="M1853" t="n">
        <v>0</v>
      </c>
      <c r="N1853" t="n">
        <v>0</v>
      </c>
      <c r="O1853" t="n">
        <v>0</v>
      </c>
      <c r="P1853" t="n">
        <v>0</v>
      </c>
      <c r="Q1853" t="n">
        <v>0</v>
      </c>
      <c r="R1853" s="2" t="inlineStr"/>
    </row>
    <row r="1854" ht="15" customHeight="1">
      <c r="A1854" t="inlineStr">
        <is>
          <t>A 8672-2019</t>
        </is>
      </c>
      <c r="B1854" s="1" t="n">
        <v>43503</v>
      </c>
      <c r="C1854" s="1" t="n">
        <v>45212</v>
      </c>
      <c r="D1854" t="inlineStr">
        <is>
          <t>VÄSTRA GÖTALANDS LÄN</t>
        </is>
      </c>
      <c r="E1854" t="inlineStr">
        <is>
          <t>ORUST</t>
        </is>
      </c>
      <c r="G1854" t="n">
        <v>10.6</v>
      </c>
      <c r="H1854" t="n">
        <v>0</v>
      </c>
      <c r="I1854" t="n">
        <v>0</v>
      </c>
      <c r="J1854" t="n">
        <v>0</v>
      </c>
      <c r="K1854" t="n">
        <v>0</v>
      </c>
      <c r="L1854" t="n">
        <v>0</v>
      </c>
      <c r="M1854" t="n">
        <v>0</v>
      </c>
      <c r="N1854" t="n">
        <v>0</v>
      </c>
      <c r="O1854" t="n">
        <v>0</v>
      </c>
      <c r="P1854" t="n">
        <v>0</v>
      </c>
      <c r="Q1854" t="n">
        <v>0</v>
      </c>
      <c r="R1854" s="2" t="inlineStr"/>
    </row>
    <row r="1855" ht="15" customHeight="1">
      <c r="A1855" t="inlineStr">
        <is>
          <t>A 8659-2019</t>
        </is>
      </c>
      <c r="B1855" s="1" t="n">
        <v>43503</v>
      </c>
      <c r="C1855" s="1" t="n">
        <v>45212</v>
      </c>
      <c r="D1855" t="inlineStr">
        <is>
          <t>VÄSTRA GÖTALANDS LÄN</t>
        </is>
      </c>
      <c r="E1855" t="inlineStr">
        <is>
          <t>TJÖRN</t>
        </is>
      </c>
      <c r="G1855" t="n">
        <v>6.9</v>
      </c>
      <c r="H1855" t="n">
        <v>0</v>
      </c>
      <c r="I1855" t="n">
        <v>0</v>
      </c>
      <c r="J1855" t="n">
        <v>0</v>
      </c>
      <c r="K1855" t="n">
        <v>0</v>
      </c>
      <c r="L1855" t="n">
        <v>0</v>
      </c>
      <c r="M1855" t="n">
        <v>0</v>
      </c>
      <c r="N1855" t="n">
        <v>0</v>
      </c>
      <c r="O1855" t="n">
        <v>0</v>
      </c>
      <c r="P1855" t="n">
        <v>0</v>
      </c>
      <c r="Q1855" t="n">
        <v>0</v>
      </c>
      <c r="R1855" s="2" t="inlineStr"/>
    </row>
    <row r="1856" ht="15" customHeight="1">
      <c r="A1856" t="inlineStr">
        <is>
          <t>A 8597-2019</t>
        </is>
      </c>
      <c r="B1856" s="1" t="n">
        <v>43503</v>
      </c>
      <c r="C1856" s="1" t="n">
        <v>45212</v>
      </c>
      <c r="D1856" t="inlineStr">
        <is>
          <t>VÄSTRA GÖTALANDS LÄN</t>
        </is>
      </c>
      <c r="E1856" t="inlineStr">
        <is>
          <t>TJÖRN</t>
        </is>
      </c>
      <c r="G1856" t="n">
        <v>13</v>
      </c>
      <c r="H1856" t="n">
        <v>0</v>
      </c>
      <c r="I1856" t="n">
        <v>0</v>
      </c>
      <c r="J1856" t="n">
        <v>0</v>
      </c>
      <c r="K1856" t="n">
        <v>0</v>
      </c>
      <c r="L1856" t="n">
        <v>0</v>
      </c>
      <c r="M1856" t="n">
        <v>0</v>
      </c>
      <c r="N1856" t="n">
        <v>0</v>
      </c>
      <c r="O1856" t="n">
        <v>0</v>
      </c>
      <c r="P1856" t="n">
        <v>0</v>
      </c>
      <c r="Q1856" t="n">
        <v>0</v>
      </c>
      <c r="R1856" s="2" t="inlineStr"/>
    </row>
    <row r="1857" ht="15" customHeight="1">
      <c r="A1857" t="inlineStr">
        <is>
          <t>A 8646-2019</t>
        </is>
      </c>
      <c r="B1857" s="1" t="n">
        <v>43503</v>
      </c>
      <c r="C1857" s="1" t="n">
        <v>45212</v>
      </c>
      <c r="D1857" t="inlineStr">
        <is>
          <t>VÄSTRA GÖTALANDS LÄN</t>
        </is>
      </c>
      <c r="E1857" t="inlineStr">
        <is>
          <t>DALS-ED</t>
        </is>
      </c>
      <c r="F1857" t="inlineStr">
        <is>
          <t>Övriga Aktiebolag</t>
        </is>
      </c>
      <c r="G1857" t="n">
        <v>14.8</v>
      </c>
      <c r="H1857" t="n">
        <v>0</v>
      </c>
      <c r="I1857" t="n">
        <v>0</v>
      </c>
      <c r="J1857" t="n">
        <v>0</v>
      </c>
      <c r="K1857" t="n">
        <v>0</v>
      </c>
      <c r="L1857" t="n">
        <v>0</v>
      </c>
      <c r="M1857" t="n">
        <v>0</v>
      </c>
      <c r="N1857" t="n">
        <v>0</v>
      </c>
      <c r="O1857" t="n">
        <v>0</v>
      </c>
      <c r="P1857" t="n">
        <v>0</v>
      </c>
      <c r="Q1857" t="n">
        <v>0</v>
      </c>
      <c r="R1857" s="2" t="inlineStr"/>
    </row>
    <row r="1858" ht="15" customHeight="1">
      <c r="A1858" t="inlineStr">
        <is>
          <t>A 8683-2019</t>
        </is>
      </c>
      <c r="B1858" s="1" t="n">
        <v>43503</v>
      </c>
      <c r="C1858" s="1" t="n">
        <v>45212</v>
      </c>
      <c r="D1858" t="inlineStr">
        <is>
          <t>VÄSTRA GÖTALANDS LÄN</t>
        </is>
      </c>
      <c r="E1858" t="inlineStr">
        <is>
          <t>FÄRGELANDA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8789-2019</t>
        </is>
      </c>
      <c r="B1859" s="1" t="n">
        <v>43503</v>
      </c>
      <c r="C1859" s="1" t="n">
        <v>45212</v>
      </c>
      <c r="D1859" t="inlineStr">
        <is>
          <t>VÄSTRA GÖTALANDS LÄN</t>
        </is>
      </c>
      <c r="E1859" t="inlineStr">
        <is>
          <t>MARIESTAD</t>
        </is>
      </c>
      <c r="G1859" t="n">
        <v>1.1</v>
      </c>
      <c r="H1859" t="n">
        <v>0</v>
      </c>
      <c r="I1859" t="n">
        <v>0</v>
      </c>
      <c r="J1859" t="n">
        <v>0</v>
      </c>
      <c r="K1859" t="n">
        <v>0</v>
      </c>
      <c r="L1859" t="n">
        <v>0</v>
      </c>
      <c r="M1859" t="n">
        <v>0</v>
      </c>
      <c r="N1859" t="n">
        <v>0</v>
      </c>
      <c r="O1859" t="n">
        <v>0</v>
      </c>
      <c r="P1859" t="n">
        <v>0</v>
      </c>
      <c r="Q1859" t="n">
        <v>0</v>
      </c>
      <c r="R1859" s="2" t="inlineStr"/>
    </row>
    <row r="1860" ht="15" customHeight="1">
      <c r="A1860" t="inlineStr">
        <is>
          <t>A 8824-2019</t>
        </is>
      </c>
      <c r="B1860" s="1" t="n">
        <v>43503</v>
      </c>
      <c r="C1860" s="1" t="n">
        <v>45212</v>
      </c>
      <c r="D1860" t="inlineStr">
        <is>
          <t>VÄSTRA GÖTALANDS LÄN</t>
        </is>
      </c>
      <c r="E1860" t="inlineStr">
        <is>
          <t>HERRLJUNGA</t>
        </is>
      </c>
      <c r="G1860" t="n">
        <v>3.1</v>
      </c>
      <c r="H1860" t="n">
        <v>0</v>
      </c>
      <c r="I1860" t="n">
        <v>0</v>
      </c>
      <c r="J1860" t="n">
        <v>0</v>
      </c>
      <c r="K1860" t="n">
        <v>0</v>
      </c>
      <c r="L1860" t="n">
        <v>0</v>
      </c>
      <c r="M1860" t="n">
        <v>0</v>
      </c>
      <c r="N1860" t="n">
        <v>0</v>
      </c>
      <c r="O1860" t="n">
        <v>0</v>
      </c>
      <c r="P1860" t="n">
        <v>0</v>
      </c>
      <c r="Q1860" t="n">
        <v>0</v>
      </c>
      <c r="R1860" s="2" t="inlineStr"/>
    </row>
    <row r="1861" ht="15" customHeight="1">
      <c r="A1861" t="inlineStr">
        <is>
          <t>A 9032-2019</t>
        </is>
      </c>
      <c r="B1861" s="1" t="n">
        <v>43504</v>
      </c>
      <c r="C1861" s="1" t="n">
        <v>45212</v>
      </c>
      <c r="D1861" t="inlineStr">
        <is>
          <t>VÄSTRA GÖTALANDS LÄN</t>
        </is>
      </c>
      <c r="E1861" t="inlineStr">
        <is>
          <t>TÖREBODA</t>
        </is>
      </c>
      <c r="G1861" t="n">
        <v>2.1</v>
      </c>
      <c r="H1861" t="n">
        <v>0</v>
      </c>
      <c r="I1861" t="n">
        <v>0</v>
      </c>
      <c r="J1861" t="n">
        <v>0</v>
      </c>
      <c r="K1861" t="n">
        <v>0</v>
      </c>
      <c r="L1861" t="n">
        <v>0</v>
      </c>
      <c r="M1861" t="n">
        <v>0</v>
      </c>
      <c r="N1861" t="n">
        <v>0</v>
      </c>
      <c r="O1861" t="n">
        <v>0</v>
      </c>
      <c r="P1861" t="n">
        <v>0</v>
      </c>
      <c r="Q1861" t="n">
        <v>0</v>
      </c>
      <c r="R1861" s="2" t="inlineStr"/>
    </row>
    <row r="1862" ht="15" customHeight="1">
      <c r="A1862" t="inlineStr">
        <is>
          <t>A 9232-2019</t>
        </is>
      </c>
      <c r="B1862" s="1" t="n">
        <v>43504</v>
      </c>
      <c r="C1862" s="1" t="n">
        <v>45212</v>
      </c>
      <c r="D1862" t="inlineStr">
        <is>
          <t>VÄSTRA GÖTALANDS LÄN</t>
        </is>
      </c>
      <c r="E1862" t="inlineStr">
        <is>
          <t>TANUM</t>
        </is>
      </c>
      <c r="G1862" t="n">
        <v>2.6</v>
      </c>
      <c r="H1862" t="n">
        <v>0</v>
      </c>
      <c r="I1862" t="n">
        <v>0</v>
      </c>
      <c r="J1862" t="n">
        <v>0</v>
      </c>
      <c r="K1862" t="n">
        <v>0</v>
      </c>
      <c r="L1862" t="n">
        <v>0</v>
      </c>
      <c r="M1862" t="n">
        <v>0</v>
      </c>
      <c r="N1862" t="n">
        <v>0</v>
      </c>
      <c r="O1862" t="n">
        <v>0</v>
      </c>
      <c r="P1862" t="n">
        <v>0</v>
      </c>
      <c r="Q1862" t="n">
        <v>0</v>
      </c>
      <c r="R1862" s="2" t="inlineStr"/>
    </row>
    <row r="1863" ht="15" customHeight="1">
      <c r="A1863" t="inlineStr">
        <is>
          <t>A 9053-2019</t>
        </is>
      </c>
      <c r="B1863" s="1" t="n">
        <v>43504</v>
      </c>
      <c r="C1863" s="1" t="n">
        <v>45212</v>
      </c>
      <c r="D1863" t="inlineStr">
        <is>
          <t>VÄSTRA GÖTALANDS LÄN</t>
        </is>
      </c>
      <c r="E1863" t="inlineStr">
        <is>
          <t>GULLSPÅNG</t>
        </is>
      </c>
      <c r="G1863" t="n">
        <v>1.8</v>
      </c>
      <c r="H1863" t="n">
        <v>0</v>
      </c>
      <c r="I1863" t="n">
        <v>0</v>
      </c>
      <c r="J1863" t="n">
        <v>0</v>
      </c>
      <c r="K1863" t="n">
        <v>0</v>
      </c>
      <c r="L1863" t="n">
        <v>0</v>
      </c>
      <c r="M1863" t="n">
        <v>0</v>
      </c>
      <c r="N1863" t="n">
        <v>0</v>
      </c>
      <c r="O1863" t="n">
        <v>0</v>
      </c>
      <c r="P1863" t="n">
        <v>0</v>
      </c>
      <c r="Q1863" t="n">
        <v>0</v>
      </c>
      <c r="R1863" s="2" t="inlineStr"/>
    </row>
    <row r="1864" ht="15" customHeight="1">
      <c r="A1864" t="inlineStr">
        <is>
          <t>A 9145-2019</t>
        </is>
      </c>
      <c r="B1864" s="1" t="n">
        <v>43504</v>
      </c>
      <c r="C1864" s="1" t="n">
        <v>45212</v>
      </c>
      <c r="D1864" t="inlineStr">
        <is>
          <t>VÄSTRA GÖTALANDS LÄN</t>
        </is>
      </c>
      <c r="E1864" t="inlineStr">
        <is>
          <t>BOLLEBYGD</t>
        </is>
      </c>
      <c r="G1864" t="n">
        <v>0.9</v>
      </c>
      <c r="H1864" t="n">
        <v>0</v>
      </c>
      <c r="I1864" t="n">
        <v>0</v>
      </c>
      <c r="J1864" t="n">
        <v>0</v>
      </c>
      <c r="K1864" t="n">
        <v>0</v>
      </c>
      <c r="L1864" t="n">
        <v>0</v>
      </c>
      <c r="M1864" t="n">
        <v>0</v>
      </c>
      <c r="N1864" t="n">
        <v>0</v>
      </c>
      <c r="O1864" t="n">
        <v>0</v>
      </c>
      <c r="P1864" t="n">
        <v>0</v>
      </c>
      <c r="Q1864" t="n">
        <v>0</v>
      </c>
      <c r="R1864" s="2" t="inlineStr"/>
    </row>
    <row r="1865" ht="15" customHeight="1">
      <c r="A1865" t="inlineStr">
        <is>
          <t>A 9282-2019</t>
        </is>
      </c>
      <c r="B1865" s="1" t="n">
        <v>43504</v>
      </c>
      <c r="C1865" s="1" t="n">
        <v>45212</v>
      </c>
      <c r="D1865" t="inlineStr">
        <is>
          <t>VÄSTRA GÖTALANDS LÄN</t>
        </is>
      </c>
      <c r="E1865" t="inlineStr">
        <is>
          <t>ULRICEHAMN</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9066-2019</t>
        </is>
      </c>
      <c r="B1866" s="1" t="n">
        <v>43504</v>
      </c>
      <c r="C1866" s="1" t="n">
        <v>45212</v>
      </c>
      <c r="D1866" t="inlineStr">
        <is>
          <t>VÄSTRA GÖTALANDS LÄN</t>
        </is>
      </c>
      <c r="E1866" t="inlineStr">
        <is>
          <t>ÅMÅL</t>
        </is>
      </c>
      <c r="G1866" t="n">
        <v>9</v>
      </c>
      <c r="H1866" t="n">
        <v>0</v>
      </c>
      <c r="I1866" t="n">
        <v>0</v>
      </c>
      <c r="J1866" t="n">
        <v>0</v>
      </c>
      <c r="K1866" t="n">
        <v>0</v>
      </c>
      <c r="L1866" t="n">
        <v>0</v>
      </c>
      <c r="M1866" t="n">
        <v>0</v>
      </c>
      <c r="N1866" t="n">
        <v>0</v>
      </c>
      <c r="O1866" t="n">
        <v>0</v>
      </c>
      <c r="P1866" t="n">
        <v>0</v>
      </c>
      <c r="Q1866" t="n">
        <v>0</v>
      </c>
      <c r="R1866" s="2" t="inlineStr"/>
    </row>
    <row r="1867" ht="15" customHeight="1">
      <c r="A1867" t="inlineStr">
        <is>
          <t>A 9188-2019</t>
        </is>
      </c>
      <c r="B1867" s="1" t="n">
        <v>43505</v>
      </c>
      <c r="C1867" s="1" t="n">
        <v>45212</v>
      </c>
      <c r="D1867" t="inlineStr">
        <is>
          <t>VÄSTRA GÖTALANDS LÄN</t>
        </is>
      </c>
      <c r="E1867" t="inlineStr">
        <is>
          <t>ALE</t>
        </is>
      </c>
      <c r="G1867" t="n">
        <v>4</v>
      </c>
      <c r="H1867" t="n">
        <v>0</v>
      </c>
      <c r="I1867" t="n">
        <v>0</v>
      </c>
      <c r="J1867" t="n">
        <v>0</v>
      </c>
      <c r="K1867" t="n">
        <v>0</v>
      </c>
      <c r="L1867" t="n">
        <v>0</v>
      </c>
      <c r="M1867" t="n">
        <v>0</v>
      </c>
      <c r="N1867" t="n">
        <v>0</v>
      </c>
      <c r="O1867" t="n">
        <v>0</v>
      </c>
      <c r="P1867" t="n">
        <v>0</v>
      </c>
      <c r="Q1867" t="n">
        <v>0</v>
      </c>
      <c r="R1867" s="2" t="inlineStr"/>
    </row>
    <row r="1868" ht="15" customHeight="1">
      <c r="A1868" t="inlineStr">
        <is>
          <t>A 9204-2019</t>
        </is>
      </c>
      <c r="B1868" s="1" t="n">
        <v>43506</v>
      </c>
      <c r="C1868" s="1" t="n">
        <v>45212</v>
      </c>
      <c r="D1868" t="inlineStr">
        <is>
          <t>VÄSTRA GÖTALANDS LÄN</t>
        </is>
      </c>
      <c r="E1868" t="inlineStr">
        <is>
          <t>STRÖMSTAD</t>
        </is>
      </c>
      <c r="G1868" t="n">
        <v>2.5</v>
      </c>
      <c r="H1868" t="n">
        <v>0</v>
      </c>
      <c r="I1868" t="n">
        <v>0</v>
      </c>
      <c r="J1868" t="n">
        <v>0</v>
      </c>
      <c r="K1868" t="n">
        <v>0</v>
      </c>
      <c r="L1868" t="n">
        <v>0</v>
      </c>
      <c r="M1868" t="n">
        <v>0</v>
      </c>
      <c r="N1868" t="n">
        <v>0</v>
      </c>
      <c r="O1868" t="n">
        <v>0</v>
      </c>
      <c r="P1868" t="n">
        <v>0</v>
      </c>
      <c r="Q1868" t="n">
        <v>0</v>
      </c>
      <c r="R1868" s="2" t="inlineStr"/>
    </row>
    <row r="1869" ht="15" customHeight="1">
      <c r="A1869" t="inlineStr">
        <is>
          <t>A 9208-2019</t>
        </is>
      </c>
      <c r="B1869" s="1" t="n">
        <v>43506</v>
      </c>
      <c r="C1869" s="1" t="n">
        <v>45212</v>
      </c>
      <c r="D1869" t="inlineStr">
        <is>
          <t>VÄSTRA GÖTALANDS LÄN</t>
        </is>
      </c>
      <c r="E1869" t="inlineStr">
        <is>
          <t>STRÖMSTAD</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9202-2019</t>
        </is>
      </c>
      <c r="B1870" s="1" t="n">
        <v>43506</v>
      </c>
      <c r="C1870" s="1" t="n">
        <v>45212</v>
      </c>
      <c r="D1870" t="inlineStr">
        <is>
          <t>VÄSTRA GÖTALANDS LÄN</t>
        </is>
      </c>
      <c r="E1870" t="inlineStr">
        <is>
          <t>STRÖMSTAD</t>
        </is>
      </c>
      <c r="G1870" t="n">
        <v>5</v>
      </c>
      <c r="H1870" t="n">
        <v>0</v>
      </c>
      <c r="I1870" t="n">
        <v>0</v>
      </c>
      <c r="J1870" t="n">
        <v>0</v>
      </c>
      <c r="K1870" t="n">
        <v>0</v>
      </c>
      <c r="L1870" t="n">
        <v>0</v>
      </c>
      <c r="M1870" t="n">
        <v>0</v>
      </c>
      <c r="N1870" t="n">
        <v>0</v>
      </c>
      <c r="O1870" t="n">
        <v>0</v>
      </c>
      <c r="P1870" t="n">
        <v>0</v>
      </c>
      <c r="Q1870" t="n">
        <v>0</v>
      </c>
      <c r="R1870" s="2" t="inlineStr"/>
    </row>
    <row r="1871" ht="15" customHeight="1">
      <c r="A1871" t="inlineStr">
        <is>
          <t>A 9339-2019</t>
        </is>
      </c>
      <c r="B1871" s="1" t="n">
        <v>43507</v>
      </c>
      <c r="C1871" s="1" t="n">
        <v>45212</v>
      </c>
      <c r="D1871" t="inlineStr">
        <is>
          <t>VÄSTRA GÖTALANDS LÄN</t>
        </is>
      </c>
      <c r="E1871" t="inlineStr">
        <is>
          <t>ULRICEHAMN</t>
        </is>
      </c>
      <c r="G1871" t="n">
        <v>1.2</v>
      </c>
      <c r="H1871" t="n">
        <v>0</v>
      </c>
      <c r="I1871" t="n">
        <v>0</v>
      </c>
      <c r="J1871" t="n">
        <v>0</v>
      </c>
      <c r="K1871" t="n">
        <v>0</v>
      </c>
      <c r="L1871" t="n">
        <v>0</v>
      </c>
      <c r="M1871" t="n">
        <v>0</v>
      </c>
      <c r="N1871" t="n">
        <v>0</v>
      </c>
      <c r="O1871" t="n">
        <v>0</v>
      </c>
      <c r="P1871" t="n">
        <v>0</v>
      </c>
      <c r="Q1871" t="n">
        <v>0</v>
      </c>
      <c r="R1871" s="2" t="inlineStr"/>
    </row>
    <row r="1872" ht="15" customHeight="1">
      <c r="A1872" t="inlineStr">
        <is>
          <t>A 9345-2019</t>
        </is>
      </c>
      <c r="B1872" s="1" t="n">
        <v>43507</v>
      </c>
      <c r="C1872" s="1" t="n">
        <v>45212</v>
      </c>
      <c r="D1872" t="inlineStr">
        <is>
          <t>VÄSTRA GÖTALANDS LÄN</t>
        </is>
      </c>
      <c r="E1872" t="inlineStr">
        <is>
          <t>ULRICEHAMN</t>
        </is>
      </c>
      <c r="G1872" t="n">
        <v>1.6</v>
      </c>
      <c r="H1872" t="n">
        <v>0</v>
      </c>
      <c r="I1872" t="n">
        <v>0</v>
      </c>
      <c r="J1872" t="n">
        <v>0</v>
      </c>
      <c r="K1872" t="n">
        <v>0</v>
      </c>
      <c r="L1872" t="n">
        <v>0</v>
      </c>
      <c r="M1872" t="n">
        <v>0</v>
      </c>
      <c r="N1872" t="n">
        <v>0</v>
      </c>
      <c r="O1872" t="n">
        <v>0</v>
      </c>
      <c r="P1872" t="n">
        <v>0</v>
      </c>
      <c r="Q1872" t="n">
        <v>0</v>
      </c>
      <c r="R1872" s="2" t="inlineStr"/>
    </row>
    <row r="1873" ht="15" customHeight="1">
      <c r="A1873" t="inlineStr">
        <is>
          <t>A 9268-2019</t>
        </is>
      </c>
      <c r="B1873" s="1" t="n">
        <v>43507</v>
      </c>
      <c r="C1873" s="1" t="n">
        <v>45212</v>
      </c>
      <c r="D1873" t="inlineStr">
        <is>
          <t>VÄSTRA GÖTALANDS LÄN</t>
        </is>
      </c>
      <c r="E1873" t="inlineStr">
        <is>
          <t>ULRICEHAMN</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9443-2019</t>
        </is>
      </c>
      <c r="B1874" s="1" t="n">
        <v>43507</v>
      </c>
      <c r="C1874" s="1" t="n">
        <v>45212</v>
      </c>
      <c r="D1874" t="inlineStr">
        <is>
          <t>VÄSTRA GÖTALANDS LÄN</t>
        </is>
      </c>
      <c r="E1874" t="inlineStr">
        <is>
          <t>KARLSBORG</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9298-2019</t>
        </is>
      </c>
      <c r="B1875" s="1" t="n">
        <v>43507</v>
      </c>
      <c r="C1875" s="1" t="n">
        <v>45212</v>
      </c>
      <c r="D1875" t="inlineStr">
        <is>
          <t>VÄSTRA GÖTALANDS LÄN</t>
        </is>
      </c>
      <c r="E1875" t="inlineStr">
        <is>
          <t>DALS-ED</t>
        </is>
      </c>
      <c r="G1875" t="n">
        <v>3.3</v>
      </c>
      <c r="H1875" t="n">
        <v>0</v>
      </c>
      <c r="I1875" t="n">
        <v>0</v>
      </c>
      <c r="J1875" t="n">
        <v>0</v>
      </c>
      <c r="K1875" t="n">
        <v>0</v>
      </c>
      <c r="L1875" t="n">
        <v>0</v>
      </c>
      <c r="M1875" t="n">
        <v>0</v>
      </c>
      <c r="N1875" t="n">
        <v>0</v>
      </c>
      <c r="O1875" t="n">
        <v>0</v>
      </c>
      <c r="P1875" t="n">
        <v>0</v>
      </c>
      <c r="Q1875" t="n">
        <v>0</v>
      </c>
      <c r="R1875" s="2" t="inlineStr"/>
    </row>
    <row r="1876" ht="15" customHeight="1">
      <c r="A1876" t="inlineStr">
        <is>
          <t>A 9308-2019</t>
        </is>
      </c>
      <c r="B1876" s="1" t="n">
        <v>43507</v>
      </c>
      <c r="C1876" s="1" t="n">
        <v>45212</v>
      </c>
      <c r="D1876" t="inlineStr">
        <is>
          <t>VÄSTRA GÖTALANDS LÄN</t>
        </is>
      </c>
      <c r="E1876" t="inlineStr">
        <is>
          <t>DALS-ED</t>
        </is>
      </c>
      <c r="G1876" t="n">
        <v>15.6</v>
      </c>
      <c r="H1876" t="n">
        <v>0</v>
      </c>
      <c r="I1876" t="n">
        <v>0</v>
      </c>
      <c r="J1876" t="n">
        <v>0</v>
      </c>
      <c r="K1876" t="n">
        <v>0</v>
      </c>
      <c r="L1876" t="n">
        <v>0</v>
      </c>
      <c r="M1876" t="n">
        <v>0</v>
      </c>
      <c r="N1876" t="n">
        <v>0</v>
      </c>
      <c r="O1876" t="n">
        <v>0</v>
      </c>
      <c r="P1876" t="n">
        <v>0</v>
      </c>
      <c r="Q1876" t="n">
        <v>0</v>
      </c>
      <c r="R1876" s="2" t="inlineStr"/>
    </row>
    <row r="1877" ht="15" customHeight="1">
      <c r="A1877" t="inlineStr">
        <is>
          <t>A 9321-2019</t>
        </is>
      </c>
      <c r="B1877" s="1" t="n">
        <v>43507</v>
      </c>
      <c r="C1877" s="1" t="n">
        <v>45212</v>
      </c>
      <c r="D1877" t="inlineStr">
        <is>
          <t>VÄSTRA GÖTALANDS LÄN</t>
        </is>
      </c>
      <c r="E1877" t="inlineStr">
        <is>
          <t>MARIESTAD</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9372-2019</t>
        </is>
      </c>
      <c r="B1878" s="1" t="n">
        <v>43507</v>
      </c>
      <c r="C1878" s="1" t="n">
        <v>45212</v>
      </c>
      <c r="D1878" t="inlineStr">
        <is>
          <t>VÄSTRA GÖTALANDS LÄN</t>
        </is>
      </c>
      <c r="E1878" t="inlineStr">
        <is>
          <t>GULLSPÅNG</t>
        </is>
      </c>
      <c r="G1878" t="n">
        <v>3.3</v>
      </c>
      <c r="H1878" t="n">
        <v>0</v>
      </c>
      <c r="I1878" t="n">
        <v>0</v>
      </c>
      <c r="J1878" t="n">
        <v>0</v>
      </c>
      <c r="K1878" t="n">
        <v>0</v>
      </c>
      <c r="L1878" t="n">
        <v>0</v>
      </c>
      <c r="M1878" t="n">
        <v>0</v>
      </c>
      <c r="N1878" t="n">
        <v>0</v>
      </c>
      <c r="O1878" t="n">
        <v>0</v>
      </c>
      <c r="P1878" t="n">
        <v>0</v>
      </c>
      <c r="Q1878" t="n">
        <v>0</v>
      </c>
      <c r="R1878" s="2" t="inlineStr"/>
    </row>
    <row r="1879" ht="15" customHeight="1">
      <c r="A1879" t="inlineStr">
        <is>
          <t>A 9252-2019</t>
        </is>
      </c>
      <c r="B1879" s="1" t="n">
        <v>43507</v>
      </c>
      <c r="C1879" s="1" t="n">
        <v>45212</v>
      </c>
      <c r="D1879" t="inlineStr">
        <is>
          <t>VÄSTRA GÖTALANDS LÄN</t>
        </is>
      </c>
      <c r="E1879" t="inlineStr">
        <is>
          <t>TRANEMO</t>
        </is>
      </c>
      <c r="F1879" t="inlineStr">
        <is>
          <t>Sveaskog</t>
        </is>
      </c>
      <c r="G1879" t="n">
        <v>0.6</v>
      </c>
      <c r="H1879" t="n">
        <v>0</v>
      </c>
      <c r="I1879" t="n">
        <v>0</v>
      </c>
      <c r="J1879" t="n">
        <v>0</v>
      </c>
      <c r="K1879" t="n">
        <v>0</v>
      </c>
      <c r="L1879" t="n">
        <v>0</v>
      </c>
      <c r="M1879" t="n">
        <v>0</v>
      </c>
      <c r="N1879" t="n">
        <v>0</v>
      </c>
      <c r="O1879" t="n">
        <v>0</v>
      </c>
      <c r="P1879" t="n">
        <v>0</v>
      </c>
      <c r="Q1879" t="n">
        <v>0</v>
      </c>
      <c r="R1879" s="2" t="inlineStr"/>
    </row>
    <row r="1880" ht="15" customHeight="1">
      <c r="A1880" t="inlineStr">
        <is>
          <t>A 9470-2019</t>
        </is>
      </c>
      <c r="B1880" s="1" t="n">
        <v>43507</v>
      </c>
      <c r="C1880" s="1" t="n">
        <v>45212</v>
      </c>
      <c r="D1880" t="inlineStr">
        <is>
          <t>VÄSTRA GÖTALANDS LÄN</t>
        </is>
      </c>
      <c r="E1880" t="inlineStr">
        <is>
          <t>VÅRGÅRDA</t>
        </is>
      </c>
      <c r="G1880" t="n">
        <v>2.6</v>
      </c>
      <c r="H1880" t="n">
        <v>0</v>
      </c>
      <c r="I1880" t="n">
        <v>0</v>
      </c>
      <c r="J1880" t="n">
        <v>0</v>
      </c>
      <c r="K1880" t="n">
        <v>0</v>
      </c>
      <c r="L1880" t="n">
        <v>0</v>
      </c>
      <c r="M1880" t="n">
        <v>0</v>
      </c>
      <c r="N1880" t="n">
        <v>0</v>
      </c>
      <c r="O1880" t="n">
        <v>0</v>
      </c>
      <c r="P1880" t="n">
        <v>0</v>
      </c>
      <c r="Q1880" t="n">
        <v>0</v>
      </c>
      <c r="R1880" s="2" t="inlineStr"/>
    </row>
    <row r="1881" ht="15" customHeight="1">
      <c r="A1881" t="inlineStr">
        <is>
          <t>A 9647-2019</t>
        </is>
      </c>
      <c r="B1881" s="1" t="n">
        <v>43508</v>
      </c>
      <c r="C1881" s="1" t="n">
        <v>45212</v>
      </c>
      <c r="D1881" t="inlineStr">
        <is>
          <t>VÄSTRA GÖTALANDS LÄN</t>
        </is>
      </c>
      <c r="E1881" t="inlineStr">
        <is>
          <t>UDDEVALLA</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9707-2019</t>
        </is>
      </c>
      <c r="B1882" s="1" t="n">
        <v>43508</v>
      </c>
      <c r="C1882" s="1" t="n">
        <v>45212</v>
      </c>
      <c r="D1882" t="inlineStr">
        <is>
          <t>VÄSTRA GÖTALANDS LÄN</t>
        </is>
      </c>
      <c r="E1882" t="inlineStr">
        <is>
          <t>BENGTSFORS</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9570-2019</t>
        </is>
      </c>
      <c r="B1883" s="1" t="n">
        <v>43508</v>
      </c>
      <c r="C1883" s="1" t="n">
        <v>45212</v>
      </c>
      <c r="D1883" t="inlineStr">
        <is>
          <t>VÄSTRA GÖTALANDS LÄN</t>
        </is>
      </c>
      <c r="E1883" t="inlineStr">
        <is>
          <t>BORÅS</t>
        </is>
      </c>
      <c r="G1883" t="n">
        <v>4.3</v>
      </c>
      <c r="H1883" t="n">
        <v>0</v>
      </c>
      <c r="I1883" t="n">
        <v>0</v>
      </c>
      <c r="J1883" t="n">
        <v>0</v>
      </c>
      <c r="K1883" t="n">
        <v>0</v>
      </c>
      <c r="L1883" t="n">
        <v>0</v>
      </c>
      <c r="M1883" t="n">
        <v>0</v>
      </c>
      <c r="N1883" t="n">
        <v>0</v>
      </c>
      <c r="O1883" t="n">
        <v>0</v>
      </c>
      <c r="P1883" t="n">
        <v>0</v>
      </c>
      <c r="Q1883" t="n">
        <v>0</v>
      </c>
      <c r="R1883" s="2" t="inlineStr"/>
    </row>
    <row r="1884" ht="15" customHeight="1">
      <c r="A1884" t="inlineStr">
        <is>
          <t>A 9694-2019</t>
        </is>
      </c>
      <c r="B1884" s="1" t="n">
        <v>43508</v>
      </c>
      <c r="C1884" s="1" t="n">
        <v>45212</v>
      </c>
      <c r="D1884" t="inlineStr">
        <is>
          <t>VÄSTRA GÖTALANDS LÄN</t>
        </is>
      </c>
      <c r="E1884" t="inlineStr">
        <is>
          <t>BENGTSFORS</t>
        </is>
      </c>
      <c r="G1884" t="n">
        <v>4.5</v>
      </c>
      <c r="H1884" t="n">
        <v>0</v>
      </c>
      <c r="I1884" t="n">
        <v>0</v>
      </c>
      <c r="J1884" t="n">
        <v>0</v>
      </c>
      <c r="K1884" t="n">
        <v>0</v>
      </c>
      <c r="L1884" t="n">
        <v>0</v>
      </c>
      <c r="M1884" t="n">
        <v>0</v>
      </c>
      <c r="N1884" t="n">
        <v>0</v>
      </c>
      <c r="O1884" t="n">
        <v>0</v>
      </c>
      <c r="P1884" t="n">
        <v>0</v>
      </c>
      <c r="Q1884" t="n">
        <v>0</v>
      </c>
      <c r="R1884" s="2" t="inlineStr"/>
    </row>
    <row r="1885" ht="15" customHeight="1">
      <c r="A1885" t="inlineStr">
        <is>
          <t>A 9782-2019</t>
        </is>
      </c>
      <c r="B1885" s="1" t="n">
        <v>43509</v>
      </c>
      <c r="C1885" s="1" t="n">
        <v>45212</v>
      </c>
      <c r="D1885" t="inlineStr">
        <is>
          <t>VÄSTRA GÖTALANDS LÄN</t>
        </is>
      </c>
      <c r="E1885" t="inlineStr">
        <is>
          <t>TÖREBODA</t>
        </is>
      </c>
      <c r="G1885" t="n">
        <v>0.9</v>
      </c>
      <c r="H1885" t="n">
        <v>0</v>
      </c>
      <c r="I1885" t="n">
        <v>0</v>
      </c>
      <c r="J1885" t="n">
        <v>0</v>
      </c>
      <c r="K1885" t="n">
        <v>0</v>
      </c>
      <c r="L1885" t="n">
        <v>0</v>
      </c>
      <c r="M1885" t="n">
        <v>0</v>
      </c>
      <c r="N1885" t="n">
        <v>0</v>
      </c>
      <c r="O1885" t="n">
        <v>0</v>
      </c>
      <c r="P1885" t="n">
        <v>0</v>
      </c>
      <c r="Q1885" t="n">
        <v>0</v>
      </c>
      <c r="R1885" s="2" t="inlineStr"/>
    </row>
    <row r="1886" ht="15" customHeight="1">
      <c r="A1886" t="inlineStr">
        <is>
          <t>A 9908-2019</t>
        </is>
      </c>
      <c r="B1886" s="1" t="n">
        <v>43509</v>
      </c>
      <c r="C1886" s="1" t="n">
        <v>45212</v>
      </c>
      <c r="D1886" t="inlineStr">
        <is>
          <t>VÄSTRA GÖTALANDS LÄN</t>
        </is>
      </c>
      <c r="E1886" t="inlineStr">
        <is>
          <t>STENUNGSUND</t>
        </is>
      </c>
      <c r="G1886" t="n">
        <v>2.4</v>
      </c>
      <c r="H1886" t="n">
        <v>0</v>
      </c>
      <c r="I1886" t="n">
        <v>0</v>
      </c>
      <c r="J1886" t="n">
        <v>0</v>
      </c>
      <c r="K1886" t="n">
        <v>0</v>
      </c>
      <c r="L1886" t="n">
        <v>0</v>
      </c>
      <c r="M1886" t="n">
        <v>0</v>
      </c>
      <c r="N1886" t="n">
        <v>0</v>
      </c>
      <c r="O1886" t="n">
        <v>0</v>
      </c>
      <c r="P1886" t="n">
        <v>0</v>
      </c>
      <c r="Q1886" t="n">
        <v>0</v>
      </c>
      <c r="R1886" s="2" t="inlineStr"/>
    </row>
    <row r="1887" ht="15" customHeight="1">
      <c r="A1887" t="inlineStr">
        <is>
          <t>A 9770-2019</t>
        </is>
      </c>
      <c r="B1887" s="1" t="n">
        <v>43509</v>
      </c>
      <c r="C1887" s="1" t="n">
        <v>45212</v>
      </c>
      <c r="D1887" t="inlineStr">
        <is>
          <t>VÄSTRA GÖTALANDS LÄN</t>
        </is>
      </c>
      <c r="E1887" t="inlineStr">
        <is>
          <t>MARIESTAD</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9825-2019</t>
        </is>
      </c>
      <c r="B1888" s="1" t="n">
        <v>43509</v>
      </c>
      <c r="C1888" s="1" t="n">
        <v>45212</v>
      </c>
      <c r="D1888" t="inlineStr">
        <is>
          <t>VÄSTRA GÖTALANDS LÄN</t>
        </is>
      </c>
      <c r="E1888" t="inlineStr">
        <is>
          <t>FALKÖPING</t>
        </is>
      </c>
      <c r="G1888" t="n">
        <v>3.5</v>
      </c>
      <c r="H1888" t="n">
        <v>0</v>
      </c>
      <c r="I1888" t="n">
        <v>0</v>
      </c>
      <c r="J1888" t="n">
        <v>0</v>
      </c>
      <c r="K1888" t="n">
        <v>0</v>
      </c>
      <c r="L1888" t="n">
        <v>0</v>
      </c>
      <c r="M1888" t="n">
        <v>0</v>
      </c>
      <c r="N1888" t="n">
        <v>0</v>
      </c>
      <c r="O1888" t="n">
        <v>0</v>
      </c>
      <c r="P1888" t="n">
        <v>0</v>
      </c>
      <c r="Q1888" t="n">
        <v>0</v>
      </c>
      <c r="R1888" s="2" t="inlineStr"/>
    </row>
    <row r="1889" ht="15" customHeight="1">
      <c r="A1889" t="inlineStr">
        <is>
          <t>A 9900-2019</t>
        </is>
      </c>
      <c r="B1889" s="1" t="n">
        <v>43509</v>
      </c>
      <c r="C1889" s="1" t="n">
        <v>45212</v>
      </c>
      <c r="D1889" t="inlineStr">
        <is>
          <t>VÄSTRA GÖTALANDS LÄN</t>
        </is>
      </c>
      <c r="E1889" t="inlineStr">
        <is>
          <t>MARIESTAD</t>
        </is>
      </c>
      <c r="G1889" t="n">
        <v>2.6</v>
      </c>
      <c r="H1889" t="n">
        <v>0</v>
      </c>
      <c r="I1889" t="n">
        <v>0</v>
      </c>
      <c r="J1889" t="n">
        <v>0</v>
      </c>
      <c r="K1889" t="n">
        <v>0</v>
      </c>
      <c r="L1889" t="n">
        <v>0</v>
      </c>
      <c r="M1889" t="n">
        <v>0</v>
      </c>
      <c r="N1889" t="n">
        <v>0</v>
      </c>
      <c r="O1889" t="n">
        <v>0</v>
      </c>
      <c r="P1889" t="n">
        <v>0</v>
      </c>
      <c r="Q1889" t="n">
        <v>0</v>
      </c>
      <c r="R1889" s="2" t="inlineStr"/>
    </row>
    <row r="1890" ht="15" customHeight="1">
      <c r="A1890" t="inlineStr">
        <is>
          <t>A 9810-2019</t>
        </is>
      </c>
      <c r="B1890" s="1" t="n">
        <v>43509</v>
      </c>
      <c r="C1890" s="1" t="n">
        <v>45212</v>
      </c>
      <c r="D1890" t="inlineStr">
        <is>
          <t>VÄSTRA GÖTALANDS LÄN</t>
        </is>
      </c>
      <c r="E1890" t="inlineStr">
        <is>
          <t>KARLSBORG</t>
        </is>
      </c>
      <c r="G1890" t="n">
        <v>0.6</v>
      </c>
      <c r="H1890" t="n">
        <v>0</v>
      </c>
      <c r="I1890" t="n">
        <v>0</v>
      </c>
      <c r="J1890" t="n">
        <v>0</v>
      </c>
      <c r="K1890" t="n">
        <v>0</v>
      </c>
      <c r="L1890" t="n">
        <v>0</v>
      </c>
      <c r="M1890" t="n">
        <v>0</v>
      </c>
      <c r="N1890" t="n">
        <v>0</v>
      </c>
      <c r="O1890" t="n">
        <v>0</v>
      </c>
      <c r="P1890" t="n">
        <v>0</v>
      </c>
      <c r="Q1890" t="n">
        <v>0</v>
      </c>
      <c r="R1890" s="2" t="inlineStr"/>
    </row>
    <row r="1891" ht="15" customHeight="1">
      <c r="A1891" t="inlineStr">
        <is>
          <t>A 9932-2019</t>
        </is>
      </c>
      <c r="B1891" s="1" t="n">
        <v>43509</v>
      </c>
      <c r="C1891" s="1" t="n">
        <v>45212</v>
      </c>
      <c r="D1891" t="inlineStr">
        <is>
          <t>VÄSTRA GÖTALANDS LÄN</t>
        </is>
      </c>
      <c r="E1891" t="inlineStr">
        <is>
          <t>ORUST</t>
        </is>
      </c>
      <c r="F1891" t="inlineStr">
        <is>
          <t>Kommuner</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9775-2019</t>
        </is>
      </c>
      <c r="B1892" s="1" t="n">
        <v>43509</v>
      </c>
      <c r="C1892" s="1" t="n">
        <v>45212</v>
      </c>
      <c r="D1892" t="inlineStr">
        <is>
          <t>VÄSTRA GÖTALANDS LÄN</t>
        </is>
      </c>
      <c r="E1892" t="inlineStr">
        <is>
          <t>KARLSBORG</t>
        </is>
      </c>
      <c r="G1892" t="n">
        <v>7.5</v>
      </c>
      <c r="H1892" t="n">
        <v>0</v>
      </c>
      <c r="I1892" t="n">
        <v>0</v>
      </c>
      <c r="J1892" t="n">
        <v>0</v>
      </c>
      <c r="K1892" t="n">
        <v>0</v>
      </c>
      <c r="L1892" t="n">
        <v>0</v>
      </c>
      <c r="M1892" t="n">
        <v>0</v>
      </c>
      <c r="N1892" t="n">
        <v>0</v>
      </c>
      <c r="O1892" t="n">
        <v>0</v>
      </c>
      <c r="P1892" t="n">
        <v>0</v>
      </c>
      <c r="Q1892" t="n">
        <v>0</v>
      </c>
      <c r="R1892" s="2" t="inlineStr"/>
    </row>
    <row r="1893" ht="15" customHeight="1">
      <c r="A1893" t="inlineStr">
        <is>
          <t>A 9796-2019</t>
        </is>
      </c>
      <c r="B1893" s="1" t="n">
        <v>43509</v>
      </c>
      <c r="C1893" s="1" t="n">
        <v>45212</v>
      </c>
      <c r="D1893" t="inlineStr">
        <is>
          <t>VÄSTRA GÖTALANDS LÄN</t>
        </is>
      </c>
      <c r="E1893" t="inlineStr">
        <is>
          <t>FALKÖPING</t>
        </is>
      </c>
      <c r="G1893" t="n">
        <v>7.2</v>
      </c>
      <c r="H1893" t="n">
        <v>0</v>
      </c>
      <c r="I1893" t="n">
        <v>0</v>
      </c>
      <c r="J1893" t="n">
        <v>0</v>
      </c>
      <c r="K1893" t="n">
        <v>0</v>
      </c>
      <c r="L1893" t="n">
        <v>0</v>
      </c>
      <c r="M1893" t="n">
        <v>0</v>
      </c>
      <c r="N1893" t="n">
        <v>0</v>
      </c>
      <c r="O1893" t="n">
        <v>0</v>
      </c>
      <c r="P1893" t="n">
        <v>0</v>
      </c>
      <c r="Q1893" t="n">
        <v>0</v>
      </c>
      <c r="R1893" s="2" t="inlineStr"/>
    </row>
    <row r="1894" ht="15" customHeight="1">
      <c r="A1894" t="inlineStr">
        <is>
          <t>A 9823-2019</t>
        </is>
      </c>
      <c r="B1894" s="1" t="n">
        <v>43509</v>
      </c>
      <c r="C1894" s="1" t="n">
        <v>45212</v>
      </c>
      <c r="D1894" t="inlineStr">
        <is>
          <t>VÄSTRA GÖTALANDS LÄN</t>
        </is>
      </c>
      <c r="E1894" t="inlineStr">
        <is>
          <t>STRÖMSTAD</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9914-2019</t>
        </is>
      </c>
      <c r="B1895" s="1" t="n">
        <v>43509</v>
      </c>
      <c r="C1895" s="1" t="n">
        <v>45212</v>
      </c>
      <c r="D1895" t="inlineStr">
        <is>
          <t>VÄSTRA GÖTALANDS LÄN</t>
        </is>
      </c>
      <c r="E1895" t="inlineStr">
        <is>
          <t>STENUNGSUND</t>
        </is>
      </c>
      <c r="G1895" t="n">
        <v>2.5</v>
      </c>
      <c r="H1895" t="n">
        <v>0</v>
      </c>
      <c r="I1895" t="n">
        <v>0</v>
      </c>
      <c r="J1895" t="n">
        <v>0</v>
      </c>
      <c r="K1895" t="n">
        <v>0</v>
      </c>
      <c r="L1895" t="n">
        <v>0</v>
      </c>
      <c r="M1895" t="n">
        <v>0</v>
      </c>
      <c r="N1895" t="n">
        <v>0</v>
      </c>
      <c r="O1895" t="n">
        <v>0</v>
      </c>
      <c r="P1895" t="n">
        <v>0</v>
      </c>
      <c r="Q1895" t="n">
        <v>0</v>
      </c>
      <c r="R1895" s="2" t="inlineStr"/>
    </row>
    <row r="1896" ht="15" customHeight="1">
      <c r="A1896" t="inlineStr">
        <is>
          <t>A 10058-2019</t>
        </is>
      </c>
      <c r="B1896" s="1" t="n">
        <v>43510</v>
      </c>
      <c r="C1896" s="1" t="n">
        <v>45212</v>
      </c>
      <c r="D1896" t="inlineStr">
        <is>
          <t>VÄSTRA GÖTALANDS LÄN</t>
        </is>
      </c>
      <c r="E1896" t="inlineStr">
        <is>
          <t>MUNKEDAL</t>
        </is>
      </c>
      <c r="G1896" t="n">
        <v>2.3</v>
      </c>
      <c r="H1896" t="n">
        <v>0</v>
      </c>
      <c r="I1896" t="n">
        <v>0</v>
      </c>
      <c r="J1896" t="n">
        <v>0</v>
      </c>
      <c r="K1896" t="n">
        <v>0</v>
      </c>
      <c r="L1896" t="n">
        <v>0</v>
      </c>
      <c r="M1896" t="n">
        <v>0</v>
      </c>
      <c r="N1896" t="n">
        <v>0</v>
      </c>
      <c r="O1896" t="n">
        <v>0</v>
      </c>
      <c r="P1896" t="n">
        <v>0</v>
      </c>
      <c r="Q1896" t="n">
        <v>0</v>
      </c>
      <c r="R1896" s="2" t="inlineStr"/>
    </row>
    <row r="1897" ht="15" customHeight="1">
      <c r="A1897" t="inlineStr">
        <is>
          <t>A 10070-2019</t>
        </is>
      </c>
      <c r="B1897" s="1" t="n">
        <v>43510</v>
      </c>
      <c r="C1897" s="1" t="n">
        <v>45212</v>
      </c>
      <c r="D1897" t="inlineStr">
        <is>
          <t>VÄSTRA GÖTALANDS LÄN</t>
        </is>
      </c>
      <c r="E1897" t="inlineStr">
        <is>
          <t>TRANEMO</t>
        </is>
      </c>
      <c r="G1897" t="n">
        <v>1.4</v>
      </c>
      <c r="H1897" t="n">
        <v>0</v>
      </c>
      <c r="I1897" t="n">
        <v>0</v>
      </c>
      <c r="J1897" t="n">
        <v>0</v>
      </c>
      <c r="K1897" t="n">
        <v>0</v>
      </c>
      <c r="L1897" t="n">
        <v>0</v>
      </c>
      <c r="M1897" t="n">
        <v>0</v>
      </c>
      <c r="N1897" t="n">
        <v>0</v>
      </c>
      <c r="O1897" t="n">
        <v>0</v>
      </c>
      <c r="P1897" t="n">
        <v>0</v>
      </c>
      <c r="Q1897" t="n">
        <v>0</v>
      </c>
      <c r="R1897" s="2" t="inlineStr"/>
    </row>
    <row r="1898" ht="15" customHeight="1">
      <c r="A1898" t="inlineStr">
        <is>
          <t>A 10221-2019</t>
        </is>
      </c>
      <c r="B1898" s="1" t="n">
        <v>43510</v>
      </c>
      <c r="C1898" s="1" t="n">
        <v>45212</v>
      </c>
      <c r="D1898" t="inlineStr">
        <is>
          <t>VÄSTRA GÖTALANDS LÄN</t>
        </is>
      </c>
      <c r="E1898" t="inlineStr">
        <is>
          <t>SKARA</t>
        </is>
      </c>
      <c r="G1898" t="n">
        <v>0.4</v>
      </c>
      <c r="H1898" t="n">
        <v>0</v>
      </c>
      <c r="I1898" t="n">
        <v>0</v>
      </c>
      <c r="J1898" t="n">
        <v>0</v>
      </c>
      <c r="K1898" t="n">
        <v>0</v>
      </c>
      <c r="L1898" t="n">
        <v>0</v>
      </c>
      <c r="M1898" t="n">
        <v>0</v>
      </c>
      <c r="N1898" t="n">
        <v>0</v>
      </c>
      <c r="O1898" t="n">
        <v>0</v>
      </c>
      <c r="P1898" t="n">
        <v>0</v>
      </c>
      <c r="Q1898" t="n">
        <v>0</v>
      </c>
      <c r="R1898" s="2" t="inlineStr"/>
    </row>
    <row r="1899" ht="15" customHeight="1">
      <c r="A1899" t="inlineStr">
        <is>
          <t>A 10235-2019</t>
        </is>
      </c>
      <c r="B1899" s="1" t="n">
        <v>43510</v>
      </c>
      <c r="C1899" s="1" t="n">
        <v>45212</v>
      </c>
      <c r="D1899" t="inlineStr">
        <is>
          <t>VÄSTRA GÖTALANDS LÄN</t>
        </is>
      </c>
      <c r="E1899" t="inlineStr">
        <is>
          <t>FÄRGELANDA</t>
        </is>
      </c>
      <c r="G1899" t="n">
        <v>0.7</v>
      </c>
      <c r="H1899" t="n">
        <v>0</v>
      </c>
      <c r="I1899" t="n">
        <v>0</v>
      </c>
      <c r="J1899" t="n">
        <v>0</v>
      </c>
      <c r="K1899" t="n">
        <v>0</v>
      </c>
      <c r="L1899" t="n">
        <v>0</v>
      </c>
      <c r="M1899" t="n">
        <v>0</v>
      </c>
      <c r="N1899" t="n">
        <v>0</v>
      </c>
      <c r="O1899" t="n">
        <v>0</v>
      </c>
      <c r="P1899" t="n">
        <v>0</v>
      </c>
      <c r="Q1899" t="n">
        <v>0</v>
      </c>
      <c r="R1899" s="2" t="inlineStr"/>
    </row>
    <row r="1900" ht="15" customHeight="1">
      <c r="A1900" t="inlineStr">
        <is>
          <t>A 10048-2019</t>
        </is>
      </c>
      <c r="B1900" s="1" t="n">
        <v>43510</v>
      </c>
      <c r="C1900" s="1" t="n">
        <v>45212</v>
      </c>
      <c r="D1900" t="inlineStr">
        <is>
          <t>VÄSTRA GÖTALANDS LÄN</t>
        </is>
      </c>
      <c r="E1900" t="inlineStr">
        <is>
          <t>LYSEKIL</t>
        </is>
      </c>
      <c r="G1900" t="n">
        <v>1.8</v>
      </c>
      <c r="H1900" t="n">
        <v>0</v>
      </c>
      <c r="I1900" t="n">
        <v>0</v>
      </c>
      <c r="J1900" t="n">
        <v>0</v>
      </c>
      <c r="K1900" t="n">
        <v>0</v>
      </c>
      <c r="L1900" t="n">
        <v>0</v>
      </c>
      <c r="M1900" t="n">
        <v>0</v>
      </c>
      <c r="N1900" t="n">
        <v>0</v>
      </c>
      <c r="O1900" t="n">
        <v>0</v>
      </c>
      <c r="P1900" t="n">
        <v>0</v>
      </c>
      <c r="Q1900" t="n">
        <v>0</v>
      </c>
      <c r="R1900" s="2" t="inlineStr"/>
    </row>
    <row r="1901" ht="15" customHeight="1">
      <c r="A1901" t="inlineStr">
        <is>
          <t>A 10124-2019</t>
        </is>
      </c>
      <c r="B1901" s="1" t="n">
        <v>43510</v>
      </c>
      <c r="C1901" s="1" t="n">
        <v>45212</v>
      </c>
      <c r="D1901" t="inlineStr">
        <is>
          <t>VÄSTRA GÖTALANDS LÄN</t>
        </is>
      </c>
      <c r="E1901" t="inlineStr">
        <is>
          <t>ULRICEHAMN</t>
        </is>
      </c>
      <c r="G1901" t="n">
        <v>7.7</v>
      </c>
      <c r="H1901" t="n">
        <v>0</v>
      </c>
      <c r="I1901" t="n">
        <v>0</v>
      </c>
      <c r="J1901" t="n">
        <v>0</v>
      </c>
      <c r="K1901" t="n">
        <v>0</v>
      </c>
      <c r="L1901" t="n">
        <v>0</v>
      </c>
      <c r="M1901" t="n">
        <v>0</v>
      </c>
      <c r="N1901" t="n">
        <v>0</v>
      </c>
      <c r="O1901" t="n">
        <v>0</v>
      </c>
      <c r="P1901" t="n">
        <v>0</v>
      </c>
      <c r="Q1901" t="n">
        <v>0</v>
      </c>
      <c r="R1901" s="2" t="inlineStr"/>
    </row>
    <row r="1902" ht="15" customHeight="1">
      <c r="A1902" t="inlineStr">
        <is>
          <t>A 10002-2019</t>
        </is>
      </c>
      <c r="B1902" s="1" t="n">
        <v>43510</v>
      </c>
      <c r="C1902" s="1" t="n">
        <v>45212</v>
      </c>
      <c r="D1902" t="inlineStr">
        <is>
          <t>VÄSTRA GÖTALANDS LÄN</t>
        </is>
      </c>
      <c r="E1902" t="inlineStr">
        <is>
          <t>SKÖVDE</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10045-2019</t>
        </is>
      </c>
      <c r="B1903" s="1" t="n">
        <v>43510</v>
      </c>
      <c r="C1903" s="1" t="n">
        <v>45212</v>
      </c>
      <c r="D1903" t="inlineStr">
        <is>
          <t>VÄSTRA GÖTALANDS LÄN</t>
        </is>
      </c>
      <c r="E1903" t="inlineStr">
        <is>
          <t>LYSEKIL</t>
        </is>
      </c>
      <c r="G1903" t="n">
        <v>4.1</v>
      </c>
      <c r="H1903" t="n">
        <v>0</v>
      </c>
      <c r="I1903" t="n">
        <v>0</v>
      </c>
      <c r="J1903" t="n">
        <v>0</v>
      </c>
      <c r="K1903" t="n">
        <v>0</v>
      </c>
      <c r="L1903" t="n">
        <v>0</v>
      </c>
      <c r="M1903" t="n">
        <v>0</v>
      </c>
      <c r="N1903" t="n">
        <v>0</v>
      </c>
      <c r="O1903" t="n">
        <v>0</v>
      </c>
      <c r="P1903" t="n">
        <v>0</v>
      </c>
      <c r="Q1903" t="n">
        <v>0</v>
      </c>
      <c r="R1903" s="2" t="inlineStr"/>
    </row>
    <row r="1904" ht="15" customHeight="1">
      <c r="A1904" t="inlineStr">
        <is>
          <t>A 10056-2019</t>
        </is>
      </c>
      <c r="B1904" s="1" t="n">
        <v>43510</v>
      </c>
      <c r="C1904" s="1" t="n">
        <v>45212</v>
      </c>
      <c r="D1904" t="inlineStr">
        <is>
          <t>VÄSTRA GÖTALANDS LÄN</t>
        </is>
      </c>
      <c r="E1904" t="inlineStr">
        <is>
          <t>MUNKEDAL</t>
        </is>
      </c>
      <c r="G1904" t="n">
        <v>3.4</v>
      </c>
      <c r="H1904" t="n">
        <v>0</v>
      </c>
      <c r="I1904" t="n">
        <v>0</v>
      </c>
      <c r="J1904" t="n">
        <v>0</v>
      </c>
      <c r="K1904" t="n">
        <v>0</v>
      </c>
      <c r="L1904" t="n">
        <v>0</v>
      </c>
      <c r="M1904" t="n">
        <v>0</v>
      </c>
      <c r="N1904" t="n">
        <v>0</v>
      </c>
      <c r="O1904" t="n">
        <v>0</v>
      </c>
      <c r="P1904" t="n">
        <v>0</v>
      </c>
      <c r="Q1904" t="n">
        <v>0</v>
      </c>
      <c r="R1904" s="2" t="inlineStr"/>
    </row>
    <row r="1905" ht="15" customHeight="1">
      <c r="A1905" t="inlineStr">
        <is>
          <t>A 10156-2019</t>
        </is>
      </c>
      <c r="B1905" s="1" t="n">
        <v>43510</v>
      </c>
      <c r="C1905" s="1" t="n">
        <v>45212</v>
      </c>
      <c r="D1905" t="inlineStr">
        <is>
          <t>VÄSTRA GÖTALANDS LÄN</t>
        </is>
      </c>
      <c r="E1905" t="inlineStr">
        <is>
          <t>ULRICEHAMN</t>
        </is>
      </c>
      <c r="G1905" t="n">
        <v>4.6</v>
      </c>
      <c r="H1905" t="n">
        <v>0</v>
      </c>
      <c r="I1905" t="n">
        <v>0</v>
      </c>
      <c r="J1905" t="n">
        <v>0</v>
      </c>
      <c r="K1905" t="n">
        <v>0</v>
      </c>
      <c r="L1905" t="n">
        <v>0</v>
      </c>
      <c r="M1905" t="n">
        <v>0</v>
      </c>
      <c r="N1905" t="n">
        <v>0</v>
      </c>
      <c r="O1905" t="n">
        <v>0</v>
      </c>
      <c r="P1905" t="n">
        <v>0</v>
      </c>
      <c r="Q1905" t="n">
        <v>0</v>
      </c>
      <c r="R1905" s="2" t="inlineStr"/>
    </row>
    <row r="1906" ht="15" customHeight="1">
      <c r="A1906" t="inlineStr">
        <is>
          <t>A 10166-2019</t>
        </is>
      </c>
      <c r="B1906" s="1" t="n">
        <v>43510</v>
      </c>
      <c r="C1906" s="1" t="n">
        <v>45212</v>
      </c>
      <c r="D1906" t="inlineStr">
        <is>
          <t>VÄSTRA GÖTALANDS LÄN</t>
        </is>
      </c>
      <c r="E1906" t="inlineStr">
        <is>
          <t>HERRLJUNGA</t>
        </is>
      </c>
      <c r="G1906" t="n">
        <v>3.6</v>
      </c>
      <c r="H1906" t="n">
        <v>0</v>
      </c>
      <c r="I1906" t="n">
        <v>0</v>
      </c>
      <c r="J1906" t="n">
        <v>0</v>
      </c>
      <c r="K1906" t="n">
        <v>0</v>
      </c>
      <c r="L1906" t="n">
        <v>0</v>
      </c>
      <c r="M1906" t="n">
        <v>0</v>
      </c>
      <c r="N1906" t="n">
        <v>0</v>
      </c>
      <c r="O1906" t="n">
        <v>0</v>
      </c>
      <c r="P1906" t="n">
        <v>0</v>
      </c>
      <c r="Q1906" t="n">
        <v>0</v>
      </c>
      <c r="R1906" s="2" t="inlineStr"/>
    </row>
    <row r="1907" ht="15" customHeight="1">
      <c r="A1907" t="inlineStr">
        <is>
          <t>A 10218-2019</t>
        </is>
      </c>
      <c r="B1907" s="1" t="n">
        <v>43510</v>
      </c>
      <c r="C1907" s="1" t="n">
        <v>45212</v>
      </c>
      <c r="D1907" t="inlineStr">
        <is>
          <t>VÄSTRA GÖTALANDS LÄN</t>
        </is>
      </c>
      <c r="E1907" t="inlineStr">
        <is>
          <t>SKARA</t>
        </is>
      </c>
      <c r="G1907" t="n">
        <v>0.7</v>
      </c>
      <c r="H1907" t="n">
        <v>0</v>
      </c>
      <c r="I1907" t="n">
        <v>0</v>
      </c>
      <c r="J1907" t="n">
        <v>0</v>
      </c>
      <c r="K1907" t="n">
        <v>0</v>
      </c>
      <c r="L1907" t="n">
        <v>0</v>
      </c>
      <c r="M1907" t="n">
        <v>0</v>
      </c>
      <c r="N1907" t="n">
        <v>0</v>
      </c>
      <c r="O1907" t="n">
        <v>0</v>
      </c>
      <c r="P1907" t="n">
        <v>0</v>
      </c>
      <c r="Q1907" t="n">
        <v>0</v>
      </c>
      <c r="R1907" s="2" t="inlineStr"/>
    </row>
    <row r="1908" ht="15" customHeight="1">
      <c r="A1908" t="inlineStr">
        <is>
          <t>A 10291-2019</t>
        </is>
      </c>
      <c r="B1908" s="1" t="n">
        <v>43511</v>
      </c>
      <c r="C1908" s="1" t="n">
        <v>45212</v>
      </c>
      <c r="D1908" t="inlineStr">
        <is>
          <t>VÄSTRA GÖTALANDS LÄN</t>
        </is>
      </c>
      <c r="E1908" t="inlineStr">
        <is>
          <t>ÅMÅL</t>
        </is>
      </c>
      <c r="G1908" t="n">
        <v>6.8</v>
      </c>
      <c r="H1908" t="n">
        <v>0</v>
      </c>
      <c r="I1908" t="n">
        <v>0</v>
      </c>
      <c r="J1908" t="n">
        <v>0</v>
      </c>
      <c r="K1908" t="n">
        <v>0</v>
      </c>
      <c r="L1908" t="n">
        <v>0</v>
      </c>
      <c r="M1908" t="n">
        <v>0</v>
      </c>
      <c r="N1908" t="n">
        <v>0</v>
      </c>
      <c r="O1908" t="n">
        <v>0</v>
      </c>
      <c r="P1908" t="n">
        <v>0</v>
      </c>
      <c r="Q1908" t="n">
        <v>0</v>
      </c>
      <c r="R1908" s="2" t="inlineStr"/>
    </row>
    <row r="1909" ht="15" customHeight="1">
      <c r="A1909" t="inlineStr">
        <is>
          <t>A 10303-2019</t>
        </is>
      </c>
      <c r="B1909" s="1" t="n">
        <v>43511</v>
      </c>
      <c r="C1909" s="1" t="n">
        <v>45212</v>
      </c>
      <c r="D1909" t="inlineStr">
        <is>
          <t>VÄSTRA GÖTALANDS LÄN</t>
        </is>
      </c>
      <c r="E1909" t="inlineStr">
        <is>
          <t>MARIESTAD</t>
        </is>
      </c>
      <c r="F1909" t="inlineStr">
        <is>
          <t>Sveaskog</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10317-2019</t>
        </is>
      </c>
      <c r="B1910" s="1" t="n">
        <v>43511</v>
      </c>
      <c r="C1910" s="1" t="n">
        <v>45212</v>
      </c>
      <c r="D1910" t="inlineStr">
        <is>
          <t>VÄSTRA GÖTALANDS LÄN</t>
        </is>
      </c>
      <c r="E1910" t="inlineStr">
        <is>
          <t>SVENLJUNGA</t>
        </is>
      </c>
      <c r="G1910" t="n">
        <v>1.9</v>
      </c>
      <c r="H1910" t="n">
        <v>0</v>
      </c>
      <c r="I1910" t="n">
        <v>0</v>
      </c>
      <c r="J1910" t="n">
        <v>0</v>
      </c>
      <c r="K1910" t="n">
        <v>0</v>
      </c>
      <c r="L1910" t="n">
        <v>0</v>
      </c>
      <c r="M1910" t="n">
        <v>0</v>
      </c>
      <c r="N1910" t="n">
        <v>0</v>
      </c>
      <c r="O1910" t="n">
        <v>0</v>
      </c>
      <c r="P1910" t="n">
        <v>0</v>
      </c>
      <c r="Q1910" t="n">
        <v>0</v>
      </c>
      <c r="R1910" s="2" t="inlineStr"/>
    </row>
    <row r="1911" ht="15" customHeight="1">
      <c r="A1911" t="inlineStr">
        <is>
          <t>A 10410-2019</t>
        </is>
      </c>
      <c r="B1911" s="1" t="n">
        <v>43511</v>
      </c>
      <c r="C1911" s="1" t="n">
        <v>45212</v>
      </c>
      <c r="D1911" t="inlineStr">
        <is>
          <t>VÄSTRA GÖTALANDS LÄN</t>
        </is>
      </c>
      <c r="E1911" t="inlineStr">
        <is>
          <t>MELLERUD</t>
        </is>
      </c>
      <c r="G1911" t="n">
        <v>2.3</v>
      </c>
      <c r="H1911" t="n">
        <v>0</v>
      </c>
      <c r="I1911" t="n">
        <v>0</v>
      </c>
      <c r="J1911" t="n">
        <v>0</v>
      </c>
      <c r="K1911" t="n">
        <v>0</v>
      </c>
      <c r="L1911" t="n">
        <v>0</v>
      </c>
      <c r="M1911" t="n">
        <v>0</v>
      </c>
      <c r="N1911" t="n">
        <v>0</v>
      </c>
      <c r="O1911" t="n">
        <v>0</v>
      </c>
      <c r="P1911" t="n">
        <v>0</v>
      </c>
      <c r="Q1911" t="n">
        <v>0</v>
      </c>
      <c r="R1911" s="2" t="inlineStr"/>
    </row>
    <row r="1912" ht="15" customHeight="1">
      <c r="A1912" t="inlineStr">
        <is>
          <t>A 10299-2019</t>
        </is>
      </c>
      <c r="B1912" s="1" t="n">
        <v>43511</v>
      </c>
      <c r="C1912" s="1" t="n">
        <v>45212</v>
      </c>
      <c r="D1912" t="inlineStr">
        <is>
          <t>VÄSTRA GÖTALANDS LÄN</t>
        </is>
      </c>
      <c r="E1912" t="inlineStr">
        <is>
          <t>MARIESTAD</t>
        </is>
      </c>
      <c r="F1912" t="inlineStr">
        <is>
          <t>Sveaskog</t>
        </is>
      </c>
      <c r="G1912" t="n">
        <v>1</v>
      </c>
      <c r="H1912" t="n">
        <v>0</v>
      </c>
      <c r="I1912" t="n">
        <v>0</v>
      </c>
      <c r="J1912" t="n">
        <v>0</v>
      </c>
      <c r="K1912" t="n">
        <v>0</v>
      </c>
      <c r="L1912" t="n">
        <v>0</v>
      </c>
      <c r="M1912" t="n">
        <v>0</v>
      </c>
      <c r="N1912" t="n">
        <v>0</v>
      </c>
      <c r="O1912" t="n">
        <v>0</v>
      </c>
      <c r="P1912" t="n">
        <v>0</v>
      </c>
      <c r="Q1912" t="n">
        <v>0</v>
      </c>
      <c r="R1912" s="2" t="inlineStr"/>
    </row>
    <row r="1913" ht="15" customHeight="1">
      <c r="A1913" t="inlineStr">
        <is>
          <t>A 10423-2019</t>
        </is>
      </c>
      <c r="B1913" s="1" t="n">
        <v>43511</v>
      </c>
      <c r="C1913" s="1" t="n">
        <v>45212</v>
      </c>
      <c r="D1913" t="inlineStr">
        <is>
          <t>VÄSTRA GÖTALANDS LÄN</t>
        </is>
      </c>
      <c r="E1913" t="inlineStr">
        <is>
          <t>MELLERUD</t>
        </is>
      </c>
      <c r="G1913" t="n">
        <v>1.5</v>
      </c>
      <c r="H1913" t="n">
        <v>0</v>
      </c>
      <c r="I1913" t="n">
        <v>0</v>
      </c>
      <c r="J1913" t="n">
        <v>0</v>
      </c>
      <c r="K1913" t="n">
        <v>0</v>
      </c>
      <c r="L1913" t="n">
        <v>0</v>
      </c>
      <c r="M1913" t="n">
        <v>0</v>
      </c>
      <c r="N1913" t="n">
        <v>0</v>
      </c>
      <c r="O1913" t="n">
        <v>0</v>
      </c>
      <c r="P1913" t="n">
        <v>0</v>
      </c>
      <c r="Q1913" t="n">
        <v>0</v>
      </c>
      <c r="R1913" s="2" t="inlineStr"/>
    </row>
    <row r="1914" ht="15" customHeight="1">
      <c r="A1914" t="inlineStr">
        <is>
          <t>A 10290-2019</t>
        </is>
      </c>
      <c r="B1914" s="1" t="n">
        <v>43511</v>
      </c>
      <c r="C1914" s="1" t="n">
        <v>45212</v>
      </c>
      <c r="D1914" t="inlineStr">
        <is>
          <t>VÄSTRA GÖTALANDS LÄN</t>
        </is>
      </c>
      <c r="E1914" t="inlineStr">
        <is>
          <t>FÄRGELANDA</t>
        </is>
      </c>
      <c r="G1914" t="n">
        <v>2.8</v>
      </c>
      <c r="H1914" t="n">
        <v>0</v>
      </c>
      <c r="I1914" t="n">
        <v>0</v>
      </c>
      <c r="J1914" t="n">
        <v>0</v>
      </c>
      <c r="K1914" t="n">
        <v>0</v>
      </c>
      <c r="L1914" t="n">
        <v>0</v>
      </c>
      <c r="M1914" t="n">
        <v>0</v>
      </c>
      <c r="N1914" t="n">
        <v>0</v>
      </c>
      <c r="O1914" t="n">
        <v>0</v>
      </c>
      <c r="P1914" t="n">
        <v>0</v>
      </c>
      <c r="Q1914" t="n">
        <v>0</v>
      </c>
      <c r="R1914" s="2" t="inlineStr"/>
    </row>
    <row r="1915" ht="15" customHeight="1">
      <c r="A1915" t="inlineStr">
        <is>
          <t>A 10362-2019</t>
        </is>
      </c>
      <c r="B1915" s="1" t="n">
        <v>43511</v>
      </c>
      <c r="C1915" s="1" t="n">
        <v>45212</v>
      </c>
      <c r="D1915" t="inlineStr">
        <is>
          <t>VÄSTRA GÖTALANDS LÄN</t>
        </is>
      </c>
      <c r="E1915" t="inlineStr">
        <is>
          <t>UDDEVALLA</t>
        </is>
      </c>
      <c r="G1915" t="n">
        <v>3.6</v>
      </c>
      <c r="H1915" t="n">
        <v>0</v>
      </c>
      <c r="I1915" t="n">
        <v>0</v>
      </c>
      <c r="J1915" t="n">
        <v>0</v>
      </c>
      <c r="K1915" t="n">
        <v>0</v>
      </c>
      <c r="L1915" t="n">
        <v>0</v>
      </c>
      <c r="M1915" t="n">
        <v>0</v>
      </c>
      <c r="N1915" t="n">
        <v>0</v>
      </c>
      <c r="O1915" t="n">
        <v>0</v>
      </c>
      <c r="P1915" t="n">
        <v>0</v>
      </c>
      <c r="Q1915" t="n">
        <v>0</v>
      </c>
      <c r="R1915" s="2" t="inlineStr"/>
    </row>
    <row r="1916" ht="15" customHeight="1">
      <c r="A1916" t="inlineStr">
        <is>
          <t>A 10474-2019</t>
        </is>
      </c>
      <c r="B1916" s="1" t="n">
        <v>43511</v>
      </c>
      <c r="C1916" s="1" t="n">
        <v>45212</v>
      </c>
      <c r="D1916" t="inlineStr">
        <is>
          <t>VÄSTRA GÖTALANDS LÄN</t>
        </is>
      </c>
      <c r="E1916" t="inlineStr">
        <is>
          <t>MARK</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10403-2019</t>
        </is>
      </c>
      <c r="B1917" s="1" t="n">
        <v>43511</v>
      </c>
      <c r="C1917" s="1" t="n">
        <v>45212</v>
      </c>
      <c r="D1917" t="inlineStr">
        <is>
          <t>VÄSTRA GÖTALANDS LÄN</t>
        </is>
      </c>
      <c r="E1917" t="inlineStr">
        <is>
          <t>TÖREBODA</t>
        </is>
      </c>
      <c r="F1917" t="inlineStr">
        <is>
          <t>Övriga statliga verk och myndigheter</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10473-2019</t>
        </is>
      </c>
      <c r="B1918" s="1" t="n">
        <v>43511</v>
      </c>
      <c r="C1918" s="1" t="n">
        <v>45212</v>
      </c>
      <c r="D1918" t="inlineStr">
        <is>
          <t>VÄSTRA GÖTALANDS LÄN</t>
        </is>
      </c>
      <c r="E1918" t="inlineStr">
        <is>
          <t>MARK</t>
        </is>
      </c>
      <c r="G1918" t="n">
        <v>2.8</v>
      </c>
      <c r="H1918" t="n">
        <v>0</v>
      </c>
      <c r="I1918" t="n">
        <v>0</v>
      </c>
      <c r="J1918" t="n">
        <v>0</v>
      </c>
      <c r="K1918" t="n">
        <v>0</v>
      </c>
      <c r="L1918" t="n">
        <v>0</v>
      </c>
      <c r="M1918" t="n">
        <v>0</v>
      </c>
      <c r="N1918" t="n">
        <v>0</v>
      </c>
      <c r="O1918" t="n">
        <v>0</v>
      </c>
      <c r="P1918" t="n">
        <v>0</v>
      </c>
      <c r="Q1918" t="n">
        <v>0</v>
      </c>
      <c r="R1918" s="2" t="inlineStr"/>
    </row>
    <row r="1919" ht="15" customHeight="1">
      <c r="A1919" t="inlineStr">
        <is>
          <t>A 10516-2019</t>
        </is>
      </c>
      <c r="B1919" s="1" t="n">
        <v>43514</v>
      </c>
      <c r="C1919" s="1" t="n">
        <v>45212</v>
      </c>
      <c r="D1919" t="inlineStr">
        <is>
          <t>VÄSTRA GÖTALANDS LÄN</t>
        </is>
      </c>
      <c r="E1919" t="inlineStr">
        <is>
          <t>MARIESTAD</t>
        </is>
      </c>
      <c r="F1919" t="inlineStr">
        <is>
          <t>Sveaskog</t>
        </is>
      </c>
      <c r="G1919" t="n">
        <v>2</v>
      </c>
      <c r="H1919" t="n">
        <v>0</v>
      </c>
      <c r="I1919" t="n">
        <v>0</v>
      </c>
      <c r="J1919" t="n">
        <v>0</v>
      </c>
      <c r="K1919" t="n">
        <v>0</v>
      </c>
      <c r="L1919" t="n">
        <v>0</v>
      </c>
      <c r="M1919" t="n">
        <v>0</v>
      </c>
      <c r="N1919" t="n">
        <v>0</v>
      </c>
      <c r="O1919" t="n">
        <v>0</v>
      </c>
      <c r="P1919" t="n">
        <v>0</v>
      </c>
      <c r="Q1919" t="n">
        <v>0</v>
      </c>
      <c r="R1919" s="2" t="inlineStr"/>
    </row>
    <row r="1920" ht="15" customHeight="1">
      <c r="A1920" t="inlineStr">
        <is>
          <t>A 10737-2019</t>
        </is>
      </c>
      <c r="B1920" s="1" t="n">
        <v>43514</v>
      </c>
      <c r="C1920" s="1" t="n">
        <v>45212</v>
      </c>
      <c r="D1920" t="inlineStr">
        <is>
          <t>VÄSTRA GÖTALANDS LÄN</t>
        </is>
      </c>
      <c r="E1920" t="inlineStr">
        <is>
          <t>SKARA</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10827-2019</t>
        </is>
      </c>
      <c r="B1921" s="1" t="n">
        <v>43514</v>
      </c>
      <c r="C1921" s="1" t="n">
        <v>45212</v>
      </c>
      <c r="D1921" t="inlineStr">
        <is>
          <t>VÄSTRA GÖTALANDS LÄN</t>
        </is>
      </c>
      <c r="E1921" t="inlineStr">
        <is>
          <t>FALKÖPING</t>
        </is>
      </c>
      <c r="G1921" t="n">
        <v>3</v>
      </c>
      <c r="H1921" t="n">
        <v>0</v>
      </c>
      <c r="I1921" t="n">
        <v>0</v>
      </c>
      <c r="J1921" t="n">
        <v>0</v>
      </c>
      <c r="K1921" t="n">
        <v>0</v>
      </c>
      <c r="L1921" t="n">
        <v>0</v>
      </c>
      <c r="M1921" t="n">
        <v>0</v>
      </c>
      <c r="N1921" t="n">
        <v>0</v>
      </c>
      <c r="O1921" t="n">
        <v>0</v>
      </c>
      <c r="P1921" t="n">
        <v>0</v>
      </c>
      <c r="Q1921" t="n">
        <v>0</v>
      </c>
      <c r="R1921" s="2" t="inlineStr"/>
    </row>
    <row r="1922" ht="15" customHeight="1">
      <c r="A1922" t="inlineStr">
        <is>
          <t>A 10515-2019</t>
        </is>
      </c>
      <c r="B1922" s="1" t="n">
        <v>43514</v>
      </c>
      <c r="C1922" s="1" t="n">
        <v>45212</v>
      </c>
      <c r="D1922" t="inlineStr">
        <is>
          <t>VÄSTRA GÖTALANDS LÄN</t>
        </is>
      </c>
      <c r="E1922" t="inlineStr">
        <is>
          <t>MARIESTAD</t>
        </is>
      </c>
      <c r="F1922" t="inlineStr">
        <is>
          <t>Sveaskog</t>
        </is>
      </c>
      <c r="G1922" t="n">
        <v>2.1</v>
      </c>
      <c r="H1922" t="n">
        <v>0</v>
      </c>
      <c r="I1922" t="n">
        <v>0</v>
      </c>
      <c r="J1922" t="n">
        <v>0</v>
      </c>
      <c r="K1922" t="n">
        <v>0</v>
      </c>
      <c r="L1922" t="n">
        <v>0</v>
      </c>
      <c r="M1922" t="n">
        <v>0</v>
      </c>
      <c r="N1922" t="n">
        <v>0</v>
      </c>
      <c r="O1922" t="n">
        <v>0</v>
      </c>
      <c r="P1922" t="n">
        <v>0</v>
      </c>
      <c r="Q1922" t="n">
        <v>0</v>
      </c>
      <c r="R1922" s="2" t="inlineStr"/>
    </row>
    <row r="1923" ht="15" customHeight="1">
      <c r="A1923" t="inlineStr">
        <is>
          <t>A 10650-2019</t>
        </is>
      </c>
      <c r="B1923" s="1" t="n">
        <v>43514</v>
      </c>
      <c r="C1923" s="1" t="n">
        <v>45212</v>
      </c>
      <c r="D1923" t="inlineStr">
        <is>
          <t>VÄSTRA GÖTALANDS LÄN</t>
        </is>
      </c>
      <c r="E1923" t="inlineStr">
        <is>
          <t>MELLERUD</t>
        </is>
      </c>
      <c r="G1923" t="n">
        <v>2</v>
      </c>
      <c r="H1923" t="n">
        <v>0</v>
      </c>
      <c r="I1923" t="n">
        <v>0</v>
      </c>
      <c r="J1923" t="n">
        <v>0</v>
      </c>
      <c r="K1923" t="n">
        <v>0</v>
      </c>
      <c r="L1923" t="n">
        <v>0</v>
      </c>
      <c r="M1923" t="n">
        <v>0</v>
      </c>
      <c r="N1923" t="n">
        <v>0</v>
      </c>
      <c r="O1923" t="n">
        <v>0</v>
      </c>
      <c r="P1923" t="n">
        <v>0</v>
      </c>
      <c r="Q1923" t="n">
        <v>0</v>
      </c>
      <c r="R1923" s="2" t="inlineStr"/>
    </row>
    <row r="1924" ht="15" customHeight="1">
      <c r="A1924" t="inlineStr">
        <is>
          <t>A 10725-2019</t>
        </is>
      </c>
      <c r="B1924" s="1" t="n">
        <v>43514</v>
      </c>
      <c r="C1924" s="1" t="n">
        <v>45212</v>
      </c>
      <c r="D1924" t="inlineStr">
        <is>
          <t>VÄSTRA GÖTALANDS LÄN</t>
        </is>
      </c>
      <c r="E1924" t="inlineStr">
        <is>
          <t>TROLLHÄTTAN</t>
        </is>
      </c>
      <c r="F1924" t="inlineStr">
        <is>
          <t>Kommuner</t>
        </is>
      </c>
      <c r="G1924" t="n">
        <v>2.7</v>
      </c>
      <c r="H1924" t="n">
        <v>0</v>
      </c>
      <c r="I1924" t="n">
        <v>0</v>
      </c>
      <c r="J1924" t="n">
        <v>0</v>
      </c>
      <c r="K1924" t="n">
        <v>0</v>
      </c>
      <c r="L1924" t="n">
        <v>0</v>
      </c>
      <c r="M1924" t="n">
        <v>0</v>
      </c>
      <c r="N1924" t="n">
        <v>0</v>
      </c>
      <c r="O1924" t="n">
        <v>0</v>
      </c>
      <c r="P1924" t="n">
        <v>0</v>
      </c>
      <c r="Q1924" t="n">
        <v>0</v>
      </c>
      <c r="R1924" s="2" t="inlineStr"/>
    </row>
    <row r="1925" ht="15" customHeight="1">
      <c r="A1925" t="inlineStr">
        <is>
          <t>A 10736-2019</t>
        </is>
      </c>
      <c r="B1925" s="1" t="n">
        <v>43514</v>
      </c>
      <c r="C1925" s="1" t="n">
        <v>45212</v>
      </c>
      <c r="D1925" t="inlineStr">
        <is>
          <t>VÄSTRA GÖTALANDS LÄN</t>
        </is>
      </c>
      <c r="E1925" t="inlineStr">
        <is>
          <t>TROLLHÄTTAN</t>
        </is>
      </c>
      <c r="F1925" t="inlineStr">
        <is>
          <t>Kommuner</t>
        </is>
      </c>
      <c r="G1925" t="n">
        <v>1.6</v>
      </c>
      <c r="H1925" t="n">
        <v>0</v>
      </c>
      <c r="I1925" t="n">
        <v>0</v>
      </c>
      <c r="J1925" t="n">
        <v>0</v>
      </c>
      <c r="K1925" t="n">
        <v>0</v>
      </c>
      <c r="L1925" t="n">
        <v>0</v>
      </c>
      <c r="M1925" t="n">
        <v>0</v>
      </c>
      <c r="N1925" t="n">
        <v>0</v>
      </c>
      <c r="O1925" t="n">
        <v>0</v>
      </c>
      <c r="P1925" t="n">
        <v>0</v>
      </c>
      <c r="Q1925" t="n">
        <v>0</v>
      </c>
      <c r="R1925" s="2" t="inlineStr"/>
    </row>
    <row r="1926" ht="15" customHeight="1">
      <c r="A1926" t="inlineStr">
        <is>
          <t>A 10882-2019</t>
        </is>
      </c>
      <c r="B1926" s="1" t="n">
        <v>43515</v>
      </c>
      <c r="C1926" s="1" t="n">
        <v>45212</v>
      </c>
      <c r="D1926" t="inlineStr">
        <is>
          <t>VÄSTRA GÖTALANDS LÄN</t>
        </is>
      </c>
      <c r="E1926" t="inlineStr">
        <is>
          <t>BORÅS</t>
        </is>
      </c>
      <c r="G1926" t="n">
        <v>5.4</v>
      </c>
      <c r="H1926" t="n">
        <v>0</v>
      </c>
      <c r="I1926" t="n">
        <v>0</v>
      </c>
      <c r="J1926" t="n">
        <v>0</v>
      </c>
      <c r="K1926" t="n">
        <v>0</v>
      </c>
      <c r="L1926" t="n">
        <v>0</v>
      </c>
      <c r="M1926" t="n">
        <v>0</v>
      </c>
      <c r="N1926" t="n">
        <v>0</v>
      </c>
      <c r="O1926" t="n">
        <v>0</v>
      </c>
      <c r="P1926" t="n">
        <v>0</v>
      </c>
      <c r="Q1926" t="n">
        <v>0</v>
      </c>
      <c r="R1926" s="2" t="inlineStr"/>
    </row>
    <row r="1927" ht="15" customHeight="1">
      <c r="A1927" t="inlineStr">
        <is>
          <t>A 10891-2019</t>
        </is>
      </c>
      <c r="B1927" s="1" t="n">
        <v>43515</v>
      </c>
      <c r="C1927" s="1" t="n">
        <v>45212</v>
      </c>
      <c r="D1927" t="inlineStr">
        <is>
          <t>VÄSTRA GÖTALANDS LÄN</t>
        </is>
      </c>
      <c r="E1927" t="inlineStr">
        <is>
          <t>BORÅS</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10888-2019</t>
        </is>
      </c>
      <c r="B1928" s="1" t="n">
        <v>43515</v>
      </c>
      <c r="C1928" s="1" t="n">
        <v>45212</v>
      </c>
      <c r="D1928" t="inlineStr">
        <is>
          <t>VÄSTRA GÖTALANDS LÄN</t>
        </is>
      </c>
      <c r="E1928" t="inlineStr">
        <is>
          <t>MARK</t>
        </is>
      </c>
      <c r="F1928" t="inlineStr">
        <is>
          <t>Sveaskog</t>
        </is>
      </c>
      <c r="G1928" t="n">
        <v>0.8</v>
      </c>
      <c r="H1928" t="n">
        <v>0</v>
      </c>
      <c r="I1928" t="n">
        <v>0</v>
      </c>
      <c r="J1928" t="n">
        <v>0</v>
      </c>
      <c r="K1928" t="n">
        <v>0</v>
      </c>
      <c r="L1928" t="n">
        <v>0</v>
      </c>
      <c r="M1928" t="n">
        <v>0</v>
      </c>
      <c r="N1928" t="n">
        <v>0</v>
      </c>
      <c r="O1928" t="n">
        <v>0</v>
      </c>
      <c r="P1928" t="n">
        <v>0</v>
      </c>
      <c r="Q1928" t="n">
        <v>0</v>
      </c>
      <c r="R1928" s="2" t="inlineStr"/>
    </row>
    <row r="1929" ht="15" customHeight="1">
      <c r="A1929" t="inlineStr">
        <is>
          <t>A 11025-2019</t>
        </is>
      </c>
      <c r="B1929" s="1" t="n">
        <v>43515</v>
      </c>
      <c r="C1929" s="1" t="n">
        <v>45212</v>
      </c>
      <c r="D1929" t="inlineStr">
        <is>
          <t>VÄSTRA GÖTALANDS LÄN</t>
        </is>
      </c>
      <c r="E1929" t="inlineStr">
        <is>
          <t>HERRLJUNGA</t>
        </is>
      </c>
      <c r="F1929" t="inlineStr">
        <is>
          <t>Sveaskog</t>
        </is>
      </c>
      <c r="G1929" t="n">
        <v>0.7</v>
      </c>
      <c r="H1929" t="n">
        <v>0</v>
      </c>
      <c r="I1929" t="n">
        <v>0</v>
      </c>
      <c r="J1929" t="n">
        <v>0</v>
      </c>
      <c r="K1929" t="n">
        <v>0</v>
      </c>
      <c r="L1929" t="n">
        <v>0</v>
      </c>
      <c r="M1929" t="n">
        <v>0</v>
      </c>
      <c r="N1929" t="n">
        <v>0</v>
      </c>
      <c r="O1929" t="n">
        <v>0</v>
      </c>
      <c r="P1929" t="n">
        <v>0</v>
      </c>
      <c r="Q1929" t="n">
        <v>0</v>
      </c>
      <c r="R1929" s="2" t="inlineStr"/>
    </row>
    <row r="1930" ht="15" customHeight="1">
      <c r="A1930" t="inlineStr">
        <is>
          <t>A 11035-2019</t>
        </is>
      </c>
      <c r="B1930" s="1" t="n">
        <v>43515</v>
      </c>
      <c r="C1930" s="1" t="n">
        <v>45212</v>
      </c>
      <c r="D1930" t="inlineStr">
        <is>
          <t>VÄSTRA GÖTALANDS LÄN</t>
        </is>
      </c>
      <c r="E1930" t="inlineStr">
        <is>
          <t>BORÅS</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10879-2019</t>
        </is>
      </c>
      <c r="B1931" s="1" t="n">
        <v>43515</v>
      </c>
      <c r="C1931" s="1" t="n">
        <v>45212</v>
      </c>
      <c r="D1931" t="inlineStr">
        <is>
          <t>VÄSTRA GÖTALANDS LÄN</t>
        </is>
      </c>
      <c r="E1931" t="inlineStr">
        <is>
          <t>MARK</t>
        </is>
      </c>
      <c r="F1931" t="inlineStr">
        <is>
          <t>Sveaskog</t>
        </is>
      </c>
      <c r="G1931" t="n">
        <v>1.5</v>
      </c>
      <c r="H1931" t="n">
        <v>0</v>
      </c>
      <c r="I1931" t="n">
        <v>0</v>
      </c>
      <c r="J1931" t="n">
        <v>0</v>
      </c>
      <c r="K1931" t="n">
        <v>0</v>
      </c>
      <c r="L1931" t="n">
        <v>0</v>
      </c>
      <c r="M1931" t="n">
        <v>0</v>
      </c>
      <c r="N1931" t="n">
        <v>0</v>
      </c>
      <c r="O1931" t="n">
        <v>0</v>
      </c>
      <c r="P1931" t="n">
        <v>0</v>
      </c>
      <c r="Q1931" t="n">
        <v>0</v>
      </c>
      <c r="R1931" s="2" t="inlineStr"/>
    </row>
    <row r="1932" ht="15" customHeight="1">
      <c r="A1932" t="inlineStr">
        <is>
          <t>A 10889-2019</t>
        </is>
      </c>
      <c r="B1932" s="1" t="n">
        <v>43515</v>
      </c>
      <c r="C1932" s="1" t="n">
        <v>45212</v>
      </c>
      <c r="D1932" t="inlineStr">
        <is>
          <t>VÄSTRA GÖTALANDS LÄN</t>
        </is>
      </c>
      <c r="E1932" t="inlineStr">
        <is>
          <t>MARK</t>
        </is>
      </c>
      <c r="F1932" t="inlineStr">
        <is>
          <t>Sveaskog</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10929-2019</t>
        </is>
      </c>
      <c r="B1933" s="1" t="n">
        <v>43515</v>
      </c>
      <c r="C1933" s="1" t="n">
        <v>45212</v>
      </c>
      <c r="D1933" t="inlineStr">
        <is>
          <t>VÄSTRA GÖTALANDS LÄN</t>
        </is>
      </c>
      <c r="E1933" t="inlineStr">
        <is>
          <t>TRANEMO</t>
        </is>
      </c>
      <c r="F1933" t="inlineStr">
        <is>
          <t>Sveaskog</t>
        </is>
      </c>
      <c r="G1933" t="n">
        <v>3.7</v>
      </c>
      <c r="H1933" t="n">
        <v>0</v>
      </c>
      <c r="I1933" t="n">
        <v>0</v>
      </c>
      <c r="J1933" t="n">
        <v>0</v>
      </c>
      <c r="K1933" t="n">
        <v>0</v>
      </c>
      <c r="L1933" t="n">
        <v>0</v>
      </c>
      <c r="M1933" t="n">
        <v>0</v>
      </c>
      <c r="N1933" t="n">
        <v>0</v>
      </c>
      <c r="O1933" t="n">
        <v>0</v>
      </c>
      <c r="P1933" t="n">
        <v>0</v>
      </c>
      <c r="Q1933" t="n">
        <v>0</v>
      </c>
      <c r="R1933" s="2" t="inlineStr"/>
    </row>
    <row r="1934" ht="15" customHeight="1">
      <c r="A1934" t="inlineStr">
        <is>
          <t>A 10950-2019</t>
        </is>
      </c>
      <c r="B1934" s="1" t="n">
        <v>43515</v>
      </c>
      <c r="C1934" s="1" t="n">
        <v>45212</v>
      </c>
      <c r="D1934" t="inlineStr">
        <is>
          <t>VÄSTRA GÖTALANDS LÄN</t>
        </is>
      </c>
      <c r="E1934" t="inlineStr">
        <is>
          <t>GÖTENE</t>
        </is>
      </c>
      <c r="G1934" t="n">
        <v>3.4</v>
      </c>
      <c r="H1934" t="n">
        <v>0</v>
      </c>
      <c r="I1934" t="n">
        <v>0</v>
      </c>
      <c r="J1934" t="n">
        <v>0</v>
      </c>
      <c r="K1934" t="n">
        <v>0</v>
      </c>
      <c r="L1934" t="n">
        <v>0</v>
      </c>
      <c r="M1934" t="n">
        <v>0</v>
      </c>
      <c r="N1934" t="n">
        <v>0</v>
      </c>
      <c r="O1934" t="n">
        <v>0</v>
      </c>
      <c r="P1934" t="n">
        <v>0</v>
      </c>
      <c r="Q1934" t="n">
        <v>0</v>
      </c>
      <c r="R1934" s="2" t="inlineStr"/>
    </row>
    <row r="1935" ht="15" customHeight="1">
      <c r="A1935" t="inlineStr">
        <is>
          <t>A 11012-2019</t>
        </is>
      </c>
      <c r="B1935" s="1" t="n">
        <v>43515</v>
      </c>
      <c r="C1935" s="1" t="n">
        <v>45212</v>
      </c>
      <c r="D1935" t="inlineStr">
        <is>
          <t>VÄSTRA GÖTALANDS LÄN</t>
        </is>
      </c>
      <c r="E1935" t="inlineStr">
        <is>
          <t>MARK</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11208-2019</t>
        </is>
      </c>
      <c r="B1936" s="1" t="n">
        <v>43516</v>
      </c>
      <c r="C1936" s="1" t="n">
        <v>45212</v>
      </c>
      <c r="D1936" t="inlineStr">
        <is>
          <t>VÄSTRA GÖTALANDS LÄN</t>
        </is>
      </c>
      <c r="E1936" t="inlineStr">
        <is>
          <t>DALS-ED</t>
        </is>
      </c>
      <c r="G1936" t="n">
        <v>2.4</v>
      </c>
      <c r="H1936" t="n">
        <v>0</v>
      </c>
      <c r="I1936" t="n">
        <v>0</v>
      </c>
      <c r="J1936" t="n">
        <v>0</v>
      </c>
      <c r="K1936" t="n">
        <v>0</v>
      </c>
      <c r="L1936" t="n">
        <v>0</v>
      </c>
      <c r="M1936" t="n">
        <v>0</v>
      </c>
      <c r="N1936" t="n">
        <v>0</v>
      </c>
      <c r="O1936" t="n">
        <v>0</v>
      </c>
      <c r="P1936" t="n">
        <v>0</v>
      </c>
      <c r="Q1936" t="n">
        <v>0</v>
      </c>
      <c r="R1936" s="2" t="inlineStr"/>
    </row>
    <row r="1937" ht="15" customHeight="1">
      <c r="A1937" t="inlineStr">
        <is>
          <t>A 11222-2019</t>
        </is>
      </c>
      <c r="B1937" s="1" t="n">
        <v>43516</v>
      </c>
      <c r="C1937" s="1" t="n">
        <v>45212</v>
      </c>
      <c r="D1937" t="inlineStr">
        <is>
          <t>VÄSTRA GÖTALANDS LÄN</t>
        </is>
      </c>
      <c r="E1937" t="inlineStr">
        <is>
          <t>SKARA</t>
        </is>
      </c>
      <c r="G1937" t="n">
        <v>6.7</v>
      </c>
      <c r="H1937" t="n">
        <v>0</v>
      </c>
      <c r="I1937" t="n">
        <v>0</v>
      </c>
      <c r="J1937" t="n">
        <v>0</v>
      </c>
      <c r="K1937" t="n">
        <v>0</v>
      </c>
      <c r="L1937" t="n">
        <v>0</v>
      </c>
      <c r="M1937" t="n">
        <v>0</v>
      </c>
      <c r="N1937" t="n">
        <v>0</v>
      </c>
      <c r="O1937" t="n">
        <v>0</v>
      </c>
      <c r="P1937" t="n">
        <v>0</v>
      </c>
      <c r="Q1937" t="n">
        <v>0</v>
      </c>
      <c r="R1937" s="2" t="inlineStr"/>
    </row>
    <row r="1938" ht="15" customHeight="1">
      <c r="A1938" t="inlineStr">
        <is>
          <t>A 11134-2019</t>
        </is>
      </c>
      <c r="B1938" s="1" t="n">
        <v>43516</v>
      </c>
      <c r="C1938" s="1" t="n">
        <v>45212</v>
      </c>
      <c r="D1938" t="inlineStr">
        <is>
          <t>VÄSTRA GÖTALANDS LÄN</t>
        </is>
      </c>
      <c r="E1938" t="inlineStr">
        <is>
          <t>MUNKEDAL</t>
        </is>
      </c>
      <c r="G1938" t="n">
        <v>1.7</v>
      </c>
      <c r="H1938" t="n">
        <v>0</v>
      </c>
      <c r="I1938" t="n">
        <v>0</v>
      </c>
      <c r="J1938" t="n">
        <v>0</v>
      </c>
      <c r="K1938" t="n">
        <v>0</v>
      </c>
      <c r="L1938" t="n">
        <v>0</v>
      </c>
      <c r="M1938" t="n">
        <v>0</v>
      </c>
      <c r="N1938" t="n">
        <v>0</v>
      </c>
      <c r="O1938" t="n">
        <v>0</v>
      </c>
      <c r="P1938" t="n">
        <v>0</v>
      </c>
      <c r="Q1938" t="n">
        <v>0</v>
      </c>
      <c r="R1938" s="2" t="inlineStr"/>
    </row>
    <row r="1939" ht="15" customHeight="1">
      <c r="A1939" t="inlineStr">
        <is>
          <t>A 11145-2019</t>
        </is>
      </c>
      <c r="B1939" s="1" t="n">
        <v>43516</v>
      </c>
      <c r="C1939" s="1" t="n">
        <v>45212</v>
      </c>
      <c r="D1939" t="inlineStr">
        <is>
          <t>VÄSTRA GÖTALANDS LÄN</t>
        </is>
      </c>
      <c r="E1939" t="inlineStr">
        <is>
          <t>FÄRGELANDA</t>
        </is>
      </c>
      <c r="G1939" t="n">
        <v>5</v>
      </c>
      <c r="H1939" t="n">
        <v>0</v>
      </c>
      <c r="I1939" t="n">
        <v>0</v>
      </c>
      <c r="J1939" t="n">
        <v>0</v>
      </c>
      <c r="K1939" t="n">
        <v>0</v>
      </c>
      <c r="L1939" t="n">
        <v>0</v>
      </c>
      <c r="M1939" t="n">
        <v>0</v>
      </c>
      <c r="N1939" t="n">
        <v>0</v>
      </c>
      <c r="O1939" t="n">
        <v>0</v>
      </c>
      <c r="P1939" t="n">
        <v>0</v>
      </c>
      <c r="Q1939" t="n">
        <v>0</v>
      </c>
      <c r="R1939" s="2" t="inlineStr"/>
    </row>
    <row r="1940" ht="15" customHeight="1">
      <c r="A1940" t="inlineStr">
        <is>
          <t>A 11292-2019</t>
        </is>
      </c>
      <c r="B1940" s="1" t="n">
        <v>43516</v>
      </c>
      <c r="C1940" s="1" t="n">
        <v>45212</v>
      </c>
      <c r="D1940" t="inlineStr">
        <is>
          <t>VÄSTRA GÖTALANDS LÄN</t>
        </is>
      </c>
      <c r="E1940" t="inlineStr">
        <is>
          <t>VARA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11296-2019</t>
        </is>
      </c>
      <c r="B1941" s="1" t="n">
        <v>43516</v>
      </c>
      <c r="C1941" s="1" t="n">
        <v>45212</v>
      </c>
      <c r="D1941" t="inlineStr">
        <is>
          <t>VÄSTRA GÖTALANDS LÄN</t>
        </is>
      </c>
      <c r="E1941" t="inlineStr">
        <is>
          <t>SKARA</t>
        </is>
      </c>
      <c r="G1941" t="n">
        <v>3.2</v>
      </c>
      <c r="H1941" t="n">
        <v>0</v>
      </c>
      <c r="I1941" t="n">
        <v>0</v>
      </c>
      <c r="J1941" t="n">
        <v>0</v>
      </c>
      <c r="K1941" t="n">
        <v>0</v>
      </c>
      <c r="L1941" t="n">
        <v>0</v>
      </c>
      <c r="M1941" t="n">
        <v>0</v>
      </c>
      <c r="N1941" t="n">
        <v>0</v>
      </c>
      <c r="O1941" t="n">
        <v>0</v>
      </c>
      <c r="P1941" t="n">
        <v>0</v>
      </c>
      <c r="Q1941" t="n">
        <v>0</v>
      </c>
      <c r="R1941" s="2" t="inlineStr"/>
    </row>
    <row r="1942" ht="15" customHeight="1">
      <c r="A1942" t="inlineStr">
        <is>
          <t>A 11185-2019</t>
        </is>
      </c>
      <c r="B1942" s="1" t="n">
        <v>43516</v>
      </c>
      <c r="C1942" s="1" t="n">
        <v>45212</v>
      </c>
      <c r="D1942" t="inlineStr">
        <is>
          <t>VÄSTRA GÖTALANDS LÄN</t>
        </is>
      </c>
      <c r="E1942" t="inlineStr">
        <is>
          <t>KARLSBORG</t>
        </is>
      </c>
      <c r="G1942" t="n">
        <v>1.1</v>
      </c>
      <c r="H1942" t="n">
        <v>0</v>
      </c>
      <c r="I1942" t="n">
        <v>0</v>
      </c>
      <c r="J1942" t="n">
        <v>0</v>
      </c>
      <c r="K1942" t="n">
        <v>0</v>
      </c>
      <c r="L1942" t="n">
        <v>0</v>
      </c>
      <c r="M1942" t="n">
        <v>0</v>
      </c>
      <c r="N1942" t="n">
        <v>0</v>
      </c>
      <c r="O1942" t="n">
        <v>0</v>
      </c>
      <c r="P1942" t="n">
        <v>0</v>
      </c>
      <c r="Q1942" t="n">
        <v>0</v>
      </c>
      <c r="R1942" s="2" t="inlineStr"/>
    </row>
    <row r="1943" ht="15" customHeight="1">
      <c r="A1943" t="inlineStr">
        <is>
          <t>A 11311-2019</t>
        </is>
      </c>
      <c r="B1943" s="1" t="n">
        <v>43517</v>
      </c>
      <c r="C1943" s="1" t="n">
        <v>45212</v>
      </c>
      <c r="D1943" t="inlineStr">
        <is>
          <t>VÄSTRA GÖTALANDS LÄN</t>
        </is>
      </c>
      <c r="E1943" t="inlineStr">
        <is>
          <t>VÄNERSBORG</t>
        </is>
      </c>
      <c r="G1943" t="n">
        <v>4.2</v>
      </c>
      <c r="H1943" t="n">
        <v>0</v>
      </c>
      <c r="I1943" t="n">
        <v>0</v>
      </c>
      <c r="J1943" t="n">
        <v>0</v>
      </c>
      <c r="K1943" t="n">
        <v>0</v>
      </c>
      <c r="L1943" t="n">
        <v>0</v>
      </c>
      <c r="M1943" t="n">
        <v>0</v>
      </c>
      <c r="N1943" t="n">
        <v>0</v>
      </c>
      <c r="O1943" t="n">
        <v>0</v>
      </c>
      <c r="P1943" t="n">
        <v>0</v>
      </c>
      <c r="Q1943" t="n">
        <v>0</v>
      </c>
      <c r="R1943" s="2" t="inlineStr"/>
    </row>
    <row r="1944" ht="15" customHeight="1">
      <c r="A1944" t="inlineStr">
        <is>
          <t>A 11358-2019</t>
        </is>
      </c>
      <c r="B1944" s="1" t="n">
        <v>43517</v>
      </c>
      <c r="C1944" s="1" t="n">
        <v>45212</v>
      </c>
      <c r="D1944" t="inlineStr">
        <is>
          <t>VÄSTRA GÖTALANDS LÄN</t>
        </is>
      </c>
      <c r="E1944" t="inlineStr">
        <is>
          <t>UDDEVALLA</t>
        </is>
      </c>
      <c r="G1944" t="n">
        <v>1.5</v>
      </c>
      <c r="H1944" t="n">
        <v>0</v>
      </c>
      <c r="I1944" t="n">
        <v>0</v>
      </c>
      <c r="J1944" t="n">
        <v>0</v>
      </c>
      <c r="K1944" t="n">
        <v>0</v>
      </c>
      <c r="L1944" t="n">
        <v>0</v>
      </c>
      <c r="M1944" t="n">
        <v>0</v>
      </c>
      <c r="N1944" t="n">
        <v>0</v>
      </c>
      <c r="O1944" t="n">
        <v>0</v>
      </c>
      <c r="P1944" t="n">
        <v>0</v>
      </c>
      <c r="Q1944" t="n">
        <v>0</v>
      </c>
      <c r="R1944" s="2" t="inlineStr"/>
    </row>
    <row r="1945" ht="15" customHeight="1">
      <c r="A1945" t="inlineStr">
        <is>
          <t>A 11390-2019</t>
        </is>
      </c>
      <c r="B1945" s="1" t="n">
        <v>43517</v>
      </c>
      <c r="C1945" s="1" t="n">
        <v>45212</v>
      </c>
      <c r="D1945" t="inlineStr">
        <is>
          <t>VÄSTRA GÖTALANDS LÄN</t>
        </is>
      </c>
      <c r="E1945" t="inlineStr">
        <is>
          <t>MARIESTAD</t>
        </is>
      </c>
      <c r="G1945" t="n">
        <v>4.3</v>
      </c>
      <c r="H1945" t="n">
        <v>0</v>
      </c>
      <c r="I1945" t="n">
        <v>0</v>
      </c>
      <c r="J1945" t="n">
        <v>0</v>
      </c>
      <c r="K1945" t="n">
        <v>0</v>
      </c>
      <c r="L1945" t="n">
        <v>0</v>
      </c>
      <c r="M1945" t="n">
        <v>0</v>
      </c>
      <c r="N1945" t="n">
        <v>0</v>
      </c>
      <c r="O1945" t="n">
        <v>0</v>
      </c>
      <c r="P1945" t="n">
        <v>0</v>
      </c>
      <c r="Q1945" t="n">
        <v>0</v>
      </c>
      <c r="R1945" s="2" t="inlineStr"/>
    </row>
    <row r="1946" ht="15" customHeight="1">
      <c r="A1946" t="inlineStr">
        <is>
          <t>A 11432-2019</t>
        </is>
      </c>
      <c r="B1946" s="1" t="n">
        <v>43517</v>
      </c>
      <c r="C1946" s="1" t="n">
        <v>45212</v>
      </c>
      <c r="D1946" t="inlineStr">
        <is>
          <t>VÄSTRA GÖTALANDS LÄN</t>
        </is>
      </c>
      <c r="E1946" t="inlineStr">
        <is>
          <t>BENGTSFORS</t>
        </is>
      </c>
      <c r="G1946" t="n">
        <v>3.6</v>
      </c>
      <c r="H1946" t="n">
        <v>0</v>
      </c>
      <c r="I1946" t="n">
        <v>0</v>
      </c>
      <c r="J1946" t="n">
        <v>0</v>
      </c>
      <c r="K1946" t="n">
        <v>0</v>
      </c>
      <c r="L1946" t="n">
        <v>0</v>
      </c>
      <c r="M1946" t="n">
        <v>0</v>
      </c>
      <c r="N1946" t="n">
        <v>0</v>
      </c>
      <c r="O1946" t="n">
        <v>0</v>
      </c>
      <c r="P1946" t="n">
        <v>0</v>
      </c>
      <c r="Q1946" t="n">
        <v>0</v>
      </c>
      <c r="R1946" s="2" t="inlineStr"/>
    </row>
    <row r="1947" ht="15" customHeight="1">
      <c r="A1947" t="inlineStr">
        <is>
          <t>A 11517-2019</t>
        </is>
      </c>
      <c r="B1947" s="1" t="n">
        <v>43517</v>
      </c>
      <c r="C1947" s="1" t="n">
        <v>45212</v>
      </c>
      <c r="D1947" t="inlineStr">
        <is>
          <t>VÄSTRA GÖTALANDS LÄN</t>
        </is>
      </c>
      <c r="E1947" t="inlineStr">
        <is>
          <t>ÅMÅL</t>
        </is>
      </c>
      <c r="G1947" t="n">
        <v>1.6</v>
      </c>
      <c r="H1947" t="n">
        <v>0</v>
      </c>
      <c r="I1947" t="n">
        <v>0</v>
      </c>
      <c r="J1947" t="n">
        <v>0</v>
      </c>
      <c r="K1947" t="n">
        <v>0</v>
      </c>
      <c r="L1947" t="n">
        <v>0</v>
      </c>
      <c r="M1947" t="n">
        <v>0</v>
      </c>
      <c r="N1947" t="n">
        <v>0</v>
      </c>
      <c r="O1947" t="n">
        <v>0</v>
      </c>
      <c r="P1947" t="n">
        <v>0</v>
      </c>
      <c r="Q1947" t="n">
        <v>0</v>
      </c>
      <c r="R1947" s="2" t="inlineStr"/>
    </row>
    <row r="1948" ht="15" customHeight="1">
      <c r="A1948" t="inlineStr">
        <is>
          <t>A 11523-2019</t>
        </is>
      </c>
      <c r="B1948" s="1" t="n">
        <v>43517</v>
      </c>
      <c r="C1948" s="1" t="n">
        <v>45212</v>
      </c>
      <c r="D1948" t="inlineStr">
        <is>
          <t>VÄSTRA GÖTALANDS LÄN</t>
        </is>
      </c>
      <c r="E1948" t="inlineStr">
        <is>
          <t>TÖREBODA</t>
        </is>
      </c>
      <c r="G1948" t="n">
        <v>4.6</v>
      </c>
      <c r="H1948" t="n">
        <v>0</v>
      </c>
      <c r="I1948" t="n">
        <v>0</v>
      </c>
      <c r="J1948" t="n">
        <v>0</v>
      </c>
      <c r="K1948" t="n">
        <v>0</v>
      </c>
      <c r="L1948" t="n">
        <v>0</v>
      </c>
      <c r="M1948" t="n">
        <v>0</v>
      </c>
      <c r="N1948" t="n">
        <v>0</v>
      </c>
      <c r="O1948" t="n">
        <v>0</v>
      </c>
      <c r="P1948" t="n">
        <v>0</v>
      </c>
      <c r="Q1948" t="n">
        <v>0</v>
      </c>
      <c r="R1948" s="2" t="inlineStr"/>
    </row>
    <row r="1949" ht="15" customHeight="1">
      <c r="A1949" t="inlineStr">
        <is>
          <t>A 11531-2019</t>
        </is>
      </c>
      <c r="B1949" s="1" t="n">
        <v>43517</v>
      </c>
      <c r="C1949" s="1" t="n">
        <v>45212</v>
      </c>
      <c r="D1949" t="inlineStr">
        <is>
          <t>VÄSTRA GÖTALANDS LÄN</t>
        </is>
      </c>
      <c r="E1949" t="inlineStr">
        <is>
          <t>MARIESTAD</t>
        </is>
      </c>
      <c r="G1949" t="n">
        <v>1.1</v>
      </c>
      <c r="H1949" t="n">
        <v>0</v>
      </c>
      <c r="I1949" t="n">
        <v>0</v>
      </c>
      <c r="J1949" t="n">
        <v>0</v>
      </c>
      <c r="K1949" t="n">
        <v>0</v>
      </c>
      <c r="L1949" t="n">
        <v>0</v>
      </c>
      <c r="M1949" t="n">
        <v>0</v>
      </c>
      <c r="N1949" t="n">
        <v>0</v>
      </c>
      <c r="O1949" t="n">
        <v>0</v>
      </c>
      <c r="P1949" t="n">
        <v>0</v>
      </c>
      <c r="Q1949" t="n">
        <v>0</v>
      </c>
      <c r="R1949" s="2" t="inlineStr"/>
    </row>
    <row r="1950" ht="15" customHeight="1">
      <c r="A1950" t="inlineStr">
        <is>
          <t>A 11317-2019</t>
        </is>
      </c>
      <c r="B1950" s="1" t="n">
        <v>43517</v>
      </c>
      <c r="C1950" s="1" t="n">
        <v>45212</v>
      </c>
      <c r="D1950" t="inlineStr">
        <is>
          <t>VÄSTRA GÖTALANDS LÄN</t>
        </is>
      </c>
      <c r="E1950" t="inlineStr">
        <is>
          <t>MELLERUD</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11509-2019</t>
        </is>
      </c>
      <c r="B1951" s="1" t="n">
        <v>43517</v>
      </c>
      <c r="C1951" s="1" t="n">
        <v>45212</v>
      </c>
      <c r="D1951" t="inlineStr">
        <is>
          <t>VÄSTRA GÖTALANDS LÄN</t>
        </is>
      </c>
      <c r="E1951" t="inlineStr">
        <is>
          <t>SKARA</t>
        </is>
      </c>
      <c r="G1951" t="n">
        <v>2.9</v>
      </c>
      <c r="H1951" t="n">
        <v>0</v>
      </c>
      <c r="I1951" t="n">
        <v>0</v>
      </c>
      <c r="J1951" t="n">
        <v>0</v>
      </c>
      <c r="K1951" t="n">
        <v>0</v>
      </c>
      <c r="L1951" t="n">
        <v>0</v>
      </c>
      <c r="M1951" t="n">
        <v>0</v>
      </c>
      <c r="N1951" t="n">
        <v>0</v>
      </c>
      <c r="O1951" t="n">
        <v>0</v>
      </c>
      <c r="P1951" t="n">
        <v>0</v>
      </c>
      <c r="Q1951" t="n">
        <v>0</v>
      </c>
      <c r="R1951" s="2" t="inlineStr"/>
    </row>
    <row r="1952" ht="15" customHeight="1">
      <c r="A1952" t="inlineStr">
        <is>
          <t>A 11524-2019</t>
        </is>
      </c>
      <c r="B1952" s="1" t="n">
        <v>43517</v>
      </c>
      <c r="C1952" s="1" t="n">
        <v>45212</v>
      </c>
      <c r="D1952" t="inlineStr">
        <is>
          <t>VÄSTRA GÖTALANDS LÄN</t>
        </is>
      </c>
      <c r="E1952" t="inlineStr">
        <is>
          <t>TÖREBODA</t>
        </is>
      </c>
      <c r="G1952" t="n">
        <v>4.5</v>
      </c>
      <c r="H1952" t="n">
        <v>0</v>
      </c>
      <c r="I1952" t="n">
        <v>0</v>
      </c>
      <c r="J1952" t="n">
        <v>0</v>
      </c>
      <c r="K1952" t="n">
        <v>0</v>
      </c>
      <c r="L1952" t="n">
        <v>0</v>
      </c>
      <c r="M1952" t="n">
        <v>0</v>
      </c>
      <c r="N1952" t="n">
        <v>0</v>
      </c>
      <c r="O1952" t="n">
        <v>0</v>
      </c>
      <c r="P1952" t="n">
        <v>0</v>
      </c>
      <c r="Q1952" t="n">
        <v>0</v>
      </c>
      <c r="R1952" s="2" t="inlineStr"/>
    </row>
    <row r="1953" ht="15" customHeight="1">
      <c r="A1953" t="inlineStr">
        <is>
          <t>A 11355-2019</t>
        </is>
      </c>
      <c r="B1953" s="1" t="n">
        <v>43517</v>
      </c>
      <c r="C1953" s="1" t="n">
        <v>45212</v>
      </c>
      <c r="D1953" t="inlineStr">
        <is>
          <t>VÄSTRA GÖTALANDS LÄN</t>
        </is>
      </c>
      <c r="E1953" t="inlineStr">
        <is>
          <t>MELLERUD</t>
        </is>
      </c>
      <c r="G1953" t="n">
        <v>1.8</v>
      </c>
      <c r="H1953" t="n">
        <v>0</v>
      </c>
      <c r="I1953" t="n">
        <v>0</v>
      </c>
      <c r="J1953" t="n">
        <v>0</v>
      </c>
      <c r="K1953" t="n">
        <v>0</v>
      </c>
      <c r="L1953" t="n">
        <v>0</v>
      </c>
      <c r="M1953" t="n">
        <v>0</v>
      </c>
      <c r="N1953" t="n">
        <v>0</v>
      </c>
      <c r="O1953" t="n">
        <v>0</v>
      </c>
      <c r="P1953" t="n">
        <v>0</v>
      </c>
      <c r="Q1953" t="n">
        <v>0</v>
      </c>
      <c r="R1953" s="2" t="inlineStr"/>
    </row>
    <row r="1954" ht="15" customHeight="1">
      <c r="A1954" t="inlineStr">
        <is>
          <t>A 11360-2019</t>
        </is>
      </c>
      <c r="B1954" s="1" t="n">
        <v>43517</v>
      </c>
      <c r="C1954" s="1" t="n">
        <v>45212</v>
      </c>
      <c r="D1954" t="inlineStr">
        <is>
          <t>VÄSTRA GÖTALANDS LÄN</t>
        </is>
      </c>
      <c r="E1954" t="inlineStr">
        <is>
          <t>MUNKEDAL</t>
        </is>
      </c>
      <c r="G1954" t="n">
        <v>3.3</v>
      </c>
      <c r="H1954" t="n">
        <v>0</v>
      </c>
      <c r="I1954" t="n">
        <v>0</v>
      </c>
      <c r="J1954" t="n">
        <v>0</v>
      </c>
      <c r="K1954" t="n">
        <v>0</v>
      </c>
      <c r="L1954" t="n">
        <v>0</v>
      </c>
      <c r="M1954" t="n">
        <v>0</v>
      </c>
      <c r="N1954" t="n">
        <v>0</v>
      </c>
      <c r="O1954" t="n">
        <v>0</v>
      </c>
      <c r="P1954" t="n">
        <v>0</v>
      </c>
      <c r="Q1954" t="n">
        <v>0</v>
      </c>
      <c r="R1954" s="2" t="inlineStr"/>
    </row>
    <row r="1955" ht="15" customHeight="1">
      <c r="A1955" t="inlineStr">
        <is>
          <t>A 11422-2019</t>
        </is>
      </c>
      <c r="B1955" s="1" t="n">
        <v>43517</v>
      </c>
      <c r="C1955" s="1" t="n">
        <v>45212</v>
      </c>
      <c r="D1955" t="inlineStr">
        <is>
          <t>VÄSTRA GÖTALANDS LÄN</t>
        </is>
      </c>
      <c r="E1955" t="inlineStr">
        <is>
          <t>UDDEVALLA</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11514-2019</t>
        </is>
      </c>
      <c r="B1956" s="1" t="n">
        <v>43517</v>
      </c>
      <c r="C1956" s="1" t="n">
        <v>45212</v>
      </c>
      <c r="D1956" t="inlineStr">
        <is>
          <t>VÄSTRA GÖTALANDS LÄN</t>
        </is>
      </c>
      <c r="E1956" t="inlineStr">
        <is>
          <t>SKÖVDE</t>
        </is>
      </c>
      <c r="G1956" t="n">
        <v>2.1</v>
      </c>
      <c r="H1956" t="n">
        <v>0</v>
      </c>
      <c r="I1956" t="n">
        <v>0</v>
      </c>
      <c r="J1956" t="n">
        <v>0</v>
      </c>
      <c r="K1956" t="n">
        <v>0</v>
      </c>
      <c r="L1956" t="n">
        <v>0</v>
      </c>
      <c r="M1956" t="n">
        <v>0</v>
      </c>
      <c r="N1956" t="n">
        <v>0</v>
      </c>
      <c r="O1956" t="n">
        <v>0</v>
      </c>
      <c r="P1956" t="n">
        <v>0</v>
      </c>
      <c r="Q1956" t="n">
        <v>0</v>
      </c>
      <c r="R1956" s="2" t="inlineStr"/>
    </row>
    <row r="1957" ht="15" customHeight="1">
      <c r="A1957" t="inlineStr">
        <is>
          <t>A 11528-2019</t>
        </is>
      </c>
      <c r="B1957" s="1" t="n">
        <v>43517</v>
      </c>
      <c r="C1957" s="1" t="n">
        <v>45212</v>
      </c>
      <c r="D1957" t="inlineStr">
        <is>
          <t>VÄSTRA GÖTALANDS LÄN</t>
        </is>
      </c>
      <c r="E1957" t="inlineStr">
        <is>
          <t>KARLSBORG</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11587-2019</t>
        </is>
      </c>
      <c r="B1958" s="1" t="n">
        <v>43517</v>
      </c>
      <c r="C1958" s="1" t="n">
        <v>45212</v>
      </c>
      <c r="D1958" t="inlineStr">
        <is>
          <t>VÄSTRA GÖTALANDS LÄN</t>
        </is>
      </c>
      <c r="E1958" t="inlineStr">
        <is>
          <t>ÅMÅL</t>
        </is>
      </c>
      <c r="F1958" t="inlineStr">
        <is>
          <t>Kommuner</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11340-2019</t>
        </is>
      </c>
      <c r="B1959" s="1" t="n">
        <v>43517</v>
      </c>
      <c r="C1959" s="1" t="n">
        <v>45212</v>
      </c>
      <c r="D1959" t="inlineStr">
        <is>
          <t>VÄSTRA GÖTALANDS LÄN</t>
        </is>
      </c>
      <c r="E1959" t="inlineStr">
        <is>
          <t>HJO</t>
        </is>
      </c>
      <c r="G1959" t="n">
        <v>3.7</v>
      </c>
      <c r="H1959" t="n">
        <v>0</v>
      </c>
      <c r="I1959" t="n">
        <v>0</v>
      </c>
      <c r="J1959" t="n">
        <v>0</v>
      </c>
      <c r="K1959" t="n">
        <v>0</v>
      </c>
      <c r="L1959" t="n">
        <v>0</v>
      </c>
      <c r="M1959" t="n">
        <v>0</v>
      </c>
      <c r="N1959" t="n">
        <v>0</v>
      </c>
      <c r="O1959" t="n">
        <v>0</v>
      </c>
      <c r="P1959" t="n">
        <v>0</v>
      </c>
      <c r="Q1959" t="n">
        <v>0</v>
      </c>
      <c r="R1959" s="2" t="inlineStr"/>
    </row>
    <row r="1960" ht="15" customHeight="1">
      <c r="A1960" t="inlineStr">
        <is>
          <t>A 11516-2019</t>
        </is>
      </c>
      <c r="B1960" s="1" t="n">
        <v>43517</v>
      </c>
      <c r="C1960" s="1" t="n">
        <v>45212</v>
      </c>
      <c r="D1960" t="inlineStr">
        <is>
          <t>VÄSTRA GÖTALANDS LÄN</t>
        </is>
      </c>
      <c r="E1960" t="inlineStr">
        <is>
          <t>MELLERUD</t>
        </is>
      </c>
      <c r="G1960" t="n">
        <v>3.2</v>
      </c>
      <c r="H1960" t="n">
        <v>0</v>
      </c>
      <c r="I1960" t="n">
        <v>0</v>
      </c>
      <c r="J1960" t="n">
        <v>0</v>
      </c>
      <c r="K1960" t="n">
        <v>0</v>
      </c>
      <c r="L1960" t="n">
        <v>0</v>
      </c>
      <c r="M1960" t="n">
        <v>0</v>
      </c>
      <c r="N1960" t="n">
        <v>0</v>
      </c>
      <c r="O1960" t="n">
        <v>0</v>
      </c>
      <c r="P1960" t="n">
        <v>0</v>
      </c>
      <c r="Q1960" t="n">
        <v>0</v>
      </c>
      <c r="R1960" s="2" t="inlineStr"/>
    </row>
    <row r="1961" ht="15" customHeight="1">
      <c r="A1961" t="inlineStr">
        <is>
          <t>A 11559-2019</t>
        </is>
      </c>
      <c r="B1961" s="1" t="n">
        <v>43517</v>
      </c>
      <c r="C1961" s="1" t="n">
        <v>45212</v>
      </c>
      <c r="D1961" t="inlineStr">
        <is>
          <t>VÄSTRA GÖTALANDS LÄN</t>
        </is>
      </c>
      <c r="E1961" t="inlineStr">
        <is>
          <t>LIDKÖPING</t>
        </is>
      </c>
      <c r="F1961" t="inlineStr">
        <is>
          <t>Kommuner</t>
        </is>
      </c>
      <c r="G1961" t="n">
        <v>1.7</v>
      </c>
      <c r="H1961" t="n">
        <v>0</v>
      </c>
      <c r="I1961" t="n">
        <v>0</v>
      </c>
      <c r="J1961" t="n">
        <v>0</v>
      </c>
      <c r="K1961" t="n">
        <v>0</v>
      </c>
      <c r="L1961" t="n">
        <v>0</v>
      </c>
      <c r="M1961" t="n">
        <v>0</v>
      </c>
      <c r="N1961" t="n">
        <v>0</v>
      </c>
      <c r="O1961" t="n">
        <v>0</v>
      </c>
      <c r="P1961" t="n">
        <v>0</v>
      </c>
      <c r="Q1961" t="n">
        <v>0</v>
      </c>
      <c r="R1961" s="2" t="inlineStr"/>
    </row>
    <row r="1962" ht="15" customHeight="1">
      <c r="A1962" t="inlineStr">
        <is>
          <t>A 11597-2019</t>
        </is>
      </c>
      <c r="B1962" s="1" t="n">
        <v>43517</v>
      </c>
      <c r="C1962" s="1" t="n">
        <v>45212</v>
      </c>
      <c r="D1962" t="inlineStr">
        <is>
          <t>VÄSTRA GÖTALANDS LÄN</t>
        </is>
      </c>
      <c r="E1962" t="inlineStr">
        <is>
          <t>TÖREBODA</t>
        </is>
      </c>
      <c r="G1962" t="n">
        <v>2.2</v>
      </c>
      <c r="H1962" t="n">
        <v>0</v>
      </c>
      <c r="I1962" t="n">
        <v>0</v>
      </c>
      <c r="J1962" t="n">
        <v>0</v>
      </c>
      <c r="K1962" t="n">
        <v>0</v>
      </c>
      <c r="L1962" t="n">
        <v>0</v>
      </c>
      <c r="M1962" t="n">
        <v>0</v>
      </c>
      <c r="N1962" t="n">
        <v>0</v>
      </c>
      <c r="O1962" t="n">
        <v>0</v>
      </c>
      <c r="P1962" t="n">
        <v>0</v>
      </c>
      <c r="Q1962" t="n">
        <v>0</v>
      </c>
      <c r="R1962" s="2" t="inlineStr"/>
    </row>
    <row r="1963" ht="15" customHeight="1">
      <c r="A1963" t="inlineStr">
        <is>
          <t>A 11676-2019</t>
        </is>
      </c>
      <c r="B1963" s="1" t="n">
        <v>43518</v>
      </c>
      <c r="C1963" s="1" t="n">
        <v>45212</v>
      </c>
      <c r="D1963" t="inlineStr">
        <is>
          <t>VÄSTRA GÖTALANDS LÄN</t>
        </is>
      </c>
      <c r="E1963" t="inlineStr">
        <is>
          <t>MARK</t>
        </is>
      </c>
      <c r="G1963" t="n">
        <v>0.7</v>
      </c>
      <c r="H1963" t="n">
        <v>0</v>
      </c>
      <c r="I1963" t="n">
        <v>0</v>
      </c>
      <c r="J1963" t="n">
        <v>0</v>
      </c>
      <c r="K1963" t="n">
        <v>0</v>
      </c>
      <c r="L1963" t="n">
        <v>0</v>
      </c>
      <c r="M1963" t="n">
        <v>0</v>
      </c>
      <c r="N1963" t="n">
        <v>0</v>
      </c>
      <c r="O1963" t="n">
        <v>0</v>
      </c>
      <c r="P1963" t="n">
        <v>0</v>
      </c>
      <c r="Q1963" t="n">
        <v>0</v>
      </c>
      <c r="R1963" s="2" t="inlineStr"/>
    </row>
    <row r="1964" ht="15" customHeight="1">
      <c r="A1964" t="inlineStr">
        <is>
          <t>A 11552-2019</t>
        </is>
      </c>
      <c r="B1964" s="1" t="n">
        <v>43518</v>
      </c>
      <c r="C1964" s="1" t="n">
        <v>45212</v>
      </c>
      <c r="D1964" t="inlineStr">
        <is>
          <t>VÄSTRA GÖTALANDS LÄN</t>
        </is>
      </c>
      <c r="E1964" t="inlineStr">
        <is>
          <t>FALKÖPING</t>
        </is>
      </c>
      <c r="G1964" t="n">
        <v>7.7</v>
      </c>
      <c r="H1964" t="n">
        <v>0</v>
      </c>
      <c r="I1964" t="n">
        <v>0</v>
      </c>
      <c r="J1964" t="n">
        <v>0</v>
      </c>
      <c r="K1964" t="n">
        <v>0</v>
      </c>
      <c r="L1964" t="n">
        <v>0</v>
      </c>
      <c r="M1964" t="n">
        <v>0</v>
      </c>
      <c r="N1964" t="n">
        <v>0</v>
      </c>
      <c r="O1964" t="n">
        <v>0</v>
      </c>
      <c r="P1964" t="n">
        <v>0</v>
      </c>
      <c r="Q1964" t="n">
        <v>0</v>
      </c>
      <c r="R1964" s="2" t="inlineStr"/>
    </row>
    <row r="1965" ht="15" customHeight="1">
      <c r="A1965" t="inlineStr">
        <is>
          <t>A 11667-2019</t>
        </is>
      </c>
      <c r="B1965" s="1" t="n">
        <v>43518</v>
      </c>
      <c r="C1965" s="1" t="n">
        <v>45212</v>
      </c>
      <c r="D1965" t="inlineStr">
        <is>
          <t>VÄSTRA GÖTALANDS LÄN</t>
        </is>
      </c>
      <c r="E1965" t="inlineStr">
        <is>
          <t>MUNKEDAL</t>
        </is>
      </c>
      <c r="G1965" t="n">
        <v>3.3</v>
      </c>
      <c r="H1965" t="n">
        <v>0</v>
      </c>
      <c r="I1965" t="n">
        <v>0</v>
      </c>
      <c r="J1965" t="n">
        <v>0</v>
      </c>
      <c r="K1965" t="n">
        <v>0</v>
      </c>
      <c r="L1965" t="n">
        <v>0</v>
      </c>
      <c r="M1965" t="n">
        <v>0</v>
      </c>
      <c r="N1965" t="n">
        <v>0</v>
      </c>
      <c r="O1965" t="n">
        <v>0</v>
      </c>
      <c r="P1965" t="n">
        <v>0</v>
      </c>
      <c r="Q1965" t="n">
        <v>0</v>
      </c>
      <c r="R1965" s="2" t="inlineStr"/>
    </row>
    <row r="1966" ht="15" customHeight="1">
      <c r="A1966" t="inlineStr">
        <is>
          <t>A 11680-2019</t>
        </is>
      </c>
      <c r="B1966" s="1" t="n">
        <v>43518</v>
      </c>
      <c r="C1966" s="1" t="n">
        <v>45212</v>
      </c>
      <c r="D1966" t="inlineStr">
        <is>
          <t>VÄSTRA GÖTALANDS LÄN</t>
        </is>
      </c>
      <c r="E1966" t="inlineStr">
        <is>
          <t>MARK</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11558-2019</t>
        </is>
      </c>
      <c r="B1967" s="1" t="n">
        <v>43518</v>
      </c>
      <c r="C1967" s="1" t="n">
        <v>45212</v>
      </c>
      <c r="D1967" t="inlineStr">
        <is>
          <t>VÄSTRA GÖTALANDS LÄN</t>
        </is>
      </c>
      <c r="E1967" t="inlineStr">
        <is>
          <t>VARA</t>
        </is>
      </c>
      <c r="G1967" t="n">
        <v>3.1</v>
      </c>
      <c r="H1967" t="n">
        <v>0</v>
      </c>
      <c r="I1967" t="n">
        <v>0</v>
      </c>
      <c r="J1967" t="n">
        <v>0</v>
      </c>
      <c r="K1967" t="n">
        <v>0</v>
      </c>
      <c r="L1967" t="n">
        <v>0</v>
      </c>
      <c r="M1967" t="n">
        <v>0</v>
      </c>
      <c r="N1967" t="n">
        <v>0</v>
      </c>
      <c r="O1967" t="n">
        <v>0</v>
      </c>
      <c r="P1967" t="n">
        <v>0</v>
      </c>
      <c r="Q1967" t="n">
        <v>0</v>
      </c>
      <c r="R1967" s="2" t="inlineStr"/>
    </row>
    <row r="1968" ht="15" customHeight="1">
      <c r="A1968" t="inlineStr">
        <is>
          <t>A 11598-2019</t>
        </is>
      </c>
      <c r="B1968" s="1" t="n">
        <v>43518</v>
      </c>
      <c r="C1968" s="1" t="n">
        <v>45212</v>
      </c>
      <c r="D1968" t="inlineStr">
        <is>
          <t>VÄSTRA GÖTALANDS LÄN</t>
        </is>
      </c>
      <c r="E1968" t="inlineStr">
        <is>
          <t>ALINGSÅS</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11683-2019</t>
        </is>
      </c>
      <c r="B1969" s="1" t="n">
        <v>43518</v>
      </c>
      <c r="C1969" s="1" t="n">
        <v>45212</v>
      </c>
      <c r="D1969" t="inlineStr">
        <is>
          <t>VÄSTRA GÖTALANDS LÄN</t>
        </is>
      </c>
      <c r="E1969" t="inlineStr">
        <is>
          <t>TJÖRN</t>
        </is>
      </c>
      <c r="G1969" t="n">
        <v>1.6</v>
      </c>
      <c r="H1969" t="n">
        <v>0</v>
      </c>
      <c r="I1969" t="n">
        <v>0</v>
      </c>
      <c r="J1969" t="n">
        <v>0</v>
      </c>
      <c r="K1969" t="n">
        <v>0</v>
      </c>
      <c r="L1969" t="n">
        <v>0</v>
      </c>
      <c r="M1969" t="n">
        <v>0</v>
      </c>
      <c r="N1969" t="n">
        <v>0</v>
      </c>
      <c r="O1969" t="n">
        <v>0</v>
      </c>
      <c r="P1969" t="n">
        <v>0</v>
      </c>
      <c r="Q1969" t="n">
        <v>0</v>
      </c>
      <c r="R1969" s="2" t="inlineStr"/>
    </row>
    <row r="1970" ht="15" customHeight="1">
      <c r="A1970" t="inlineStr">
        <is>
          <t>A 11569-2019</t>
        </is>
      </c>
      <c r="B1970" s="1" t="n">
        <v>43518</v>
      </c>
      <c r="C1970" s="1" t="n">
        <v>45212</v>
      </c>
      <c r="D1970" t="inlineStr">
        <is>
          <t>VÄSTRA GÖTALANDS LÄN</t>
        </is>
      </c>
      <c r="E1970" t="inlineStr">
        <is>
          <t>VARA</t>
        </is>
      </c>
      <c r="G1970" t="n">
        <v>9.5</v>
      </c>
      <c r="H1970" t="n">
        <v>0</v>
      </c>
      <c r="I1970" t="n">
        <v>0</v>
      </c>
      <c r="J1970" t="n">
        <v>0</v>
      </c>
      <c r="K1970" t="n">
        <v>0</v>
      </c>
      <c r="L1970" t="n">
        <v>0</v>
      </c>
      <c r="M1970" t="n">
        <v>0</v>
      </c>
      <c r="N1970" t="n">
        <v>0</v>
      </c>
      <c r="O1970" t="n">
        <v>0</v>
      </c>
      <c r="P1970" t="n">
        <v>0</v>
      </c>
      <c r="Q1970" t="n">
        <v>0</v>
      </c>
      <c r="R1970" s="2" t="inlineStr"/>
    </row>
    <row r="1971" ht="15" customHeight="1">
      <c r="A1971" t="inlineStr">
        <is>
          <t>A 11678-2019</t>
        </is>
      </c>
      <c r="B1971" s="1" t="n">
        <v>43518</v>
      </c>
      <c r="C1971" s="1" t="n">
        <v>45212</v>
      </c>
      <c r="D1971" t="inlineStr">
        <is>
          <t>VÄSTRA GÖTALANDS LÄN</t>
        </is>
      </c>
      <c r="E1971" t="inlineStr">
        <is>
          <t>MARK</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11832-2019</t>
        </is>
      </c>
      <c r="B1972" s="1" t="n">
        <v>43519</v>
      </c>
      <c r="C1972" s="1" t="n">
        <v>45212</v>
      </c>
      <c r="D1972" t="inlineStr">
        <is>
          <t>VÄSTRA GÖTALANDS LÄN</t>
        </is>
      </c>
      <c r="E1972" t="inlineStr">
        <is>
          <t>TANUM</t>
        </is>
      </c>
      <c r="G1972" t="n">
        <v>7.7</v>
      </c>
      <c r="H1972" t="n">
        <v>0</v>
      </c>
      <c r="I1972" t="n">
        <v>0</v>
      </c>
      <c r="J1972" t="n">
        <v>0</v>
      </c>
      <c r="K1972" t="n">
        <v>0</v>
      </c>
      <c r="L1972" t="n">
        <v>0</v>
      </c>
      <c r="M1972" t="n">
        <v>0</v>
      </c>
      <c r="N1972" t="n">
        <v>0</v>
      </c>
      <c r="O1972" t="n">
        <v>0</v>
      </c>
      <c r="P1972" t="n">
        <v>0</v>
      </c>
      <c r="Q1972" t="n">
        <v>0</v>
      </c>
      <c r="R1972" s="2" t="inlineStr"/>
    </row>
    <row r="1973" ht="15" customHeight="1">
      <c r="A1973" t="inlineStr">
        <is>
          <t>A 11827-2019</t>
        </is>
      </c>
      <c r="B1973" s="1" t="n">
        <v>43519</v>
      </c>
      <c r="C1973" s="1" t="n">
        <v>45212</v>
      </c>
      <c r="D1973" t="inlineStr">
        <is>
          <t>VÄSTRA GÖTALANDS LÄN</t>
        </is>
      </c>
      <c r="E1973" t="inlineStr">
        <is>
          <t>TJÖRN</t>
        </is>
      </c>
      <c r="G1973" t="n">
        <v>1.9</v>
      </c>
      <c r="H1973" t="n">
        <v>0</v>
      </c>
      <c r="I1973" t="n">
        <v>0</v>
      </c>
      <c r="J1973" t="n">
        <v>0</v>
      </c>
      <c r="K1973" t="n">
        <v>0</v>
      </c>
      <c r="L1973" t="n">
        <v>0</v>
      </c>
      <c r="M1973" t="n">
        <v>0</v>
      </c>
      <c r="N1973" t="n">
        <v>0</v>
      </c>
      <c r="O1973" t="n">
        <v>0</v>
      </c>
      <c r="P1973" t="n">
        <v>0</v>
      </c>
      <c r="Q1973" t="n">
        <v>0</v>
      </c>
      <c r="R1973" s="2" t="inlineStr"/>
    </row>
    <row r="1974" ht="15" customHeight="1">
      <c r="A1974" t="inlineStr">
        <is>
          <t>A 11811-2019</t>
        </is>
      </c>
      <c r="B1974" s="1" t="n">
        <v>43519</v>
      </c>
      <c r="C1974" s="1" t="n">
        <v>45212</v>
      </c>
      <c r="D1974" t="inlineStr">
        <is>
          <t>VÄSTRA GÖTALANDS LÄN</t>
        </is>
      </c>
      <c r="E1974" t="inlineStr">
        <is>
          <t>TANUM</t>
        </is>
      </c>
      <c r="G1974" t="n">
        <v>0.7</v>
      </c>
      <c r="H1974" t="n">
        <v>0</v>
      </c>
      <c r="I1974" t="n">
        <v>0</v>
      </c>
      <c r="J1974" t="n">
        <v>0</v>
      </c>
      <c r="K1974" t="n">
        <v>0</v>
      </c>
      <c r="L1974" t="n">
        <v>0</v>
      </c>
      <c r="M1974" t="n">
        <v>0</v>
      </c>
      <c r="N1974" t="n">
        <v>0</v>
      </c>
      <c r="O1974" t="n">
        <v>0</v>
      </c>
      <c r="P1974" t="n">
        <v>0</v>
      </c>
      <c r="Q1974" t="n">
        <v>0</v>
      </c>
      <c r="R1974" s="2" t="inlineStr"/>
    </row>
    <row r="1975" ht="15" customHeight="1">
      <c r="A1975" t="inlineStr">
        <is>
          <t>A 11864-2019</t>
        </is>
      </c>
      <c r="B1975" s="1" t="n">
        <v>43521</v>
      </c>
      <c r="C1975" s="1" t="n">
        <v>45212</v>
      </c>
      <c r="D1975" t="inlineStr">
        <is>
          <t>VÄSTRA GÖTALANDS LÄN</t>
        </is>
      </c>
      <c r="E1975" t="inlineStr">
        <is>
          <t>FÄRGELANDA</t>
        </is>
      </c>
      <c r="F1975" t="inlineStr">
        <is>
          <t>Kommuner</t>
        </is>
      </c>
      <c r="G1975" t="n">
        <v>1.5</v>
      </c>
      <c r="H1975" t="n">
        <v>0</v>
      </c>
      <c r="I1975" t="n">
        <v>0</v>
      </c>
      <c r="J1975" t="n">
        <v>0</v>
      </c>
      <c r="K1975" t="n">
        <v>0</v>
      </c>
      <c r="L1975" t="n">
        <v>0</v>
      </c>
      <c r="M1975" t="n">
        <v>0</v>
      </c>
      <c r="N1975" t="n">
        <v>0</v>
      </c>
      <c r="O1975" t="n">
        <v>0</v>
      </c>
      <c r="P1975" t="n">
        <v>0</v>
      </c>
      <c r="Q1975" t="n">
        <v>0</v>
      </c>
      <c r="R1975" s="2" t="inlineStr"/>
    </row>
    <row r="1976" ht="15" customHeight="1">
      <c r="A1976" t="inlineStr">
        <is>
          <t>A 11901-2019</t>
        </is>
      </c>
      <c r="B1976" s="1" t="n">
        <v>43521</v>
      </c>
      <c r="C1976" s="1" t="n">
        <v>45212</v>
      </c>
      <c r="D1976" t="inlineStr">
        <is>
          <t>VÄSTRA GÖTALANDS LÄN</t>
        </is>
      </c>
      <c r="E1976" t="inlineStr">
        <is>
          <t>MARK</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11945-2019</t>
        </is>
      </c>
      <c r="B1977" s="1" t="n">
        <v>43521</v>
      </c>
      <c r="C1977" s="1" t="n">
        <v>45212</v>
      </c>
      <c r="D1977" t="inlineStr">
        <is>
          <t>VÄSTRA GÖTALANDS LÄN</t>
        </is>
      </c>
      <c r="E1977" t="inlineStr">
        <is>
          <t>ESSUNGA</t>
        </is>
      </c>
      <c r="G1977" t="n">
        <v>3.6</v>
      </c>
      <c r="H1977" t="n">
        <v>0</v>
      </c>
      <c r="I1977" t="n">
        <v>0</v>
      </c>
      <c r="J1977" t="n">
        <v>0</v>
      </c>
      <c r="K1977" t="n">
        <v>0</v>
      </c>
      <c r="L1977" t="n">
        <v>0</v>
      </c>
      <c r="M1977" t="n">
        <v>0</v>
      </c>
      <c r="N1977" t="n">
        <v>0</v>
      </c>
      <c r="O1977" t="n">
        <v>0</v>
      </c>
      <c r="P1977" t="n">
        <v>0</v>
      </c>
      <c r="Q1977" t="n">
        <v>0</v>
      </c>
      <c r="R1977" s="2" t="inlineStr"/>
    </row>
    <row r="1978" ht="15" customHeight="1">
      <c r="A1978" t="inlineStr">
        <is>
          <t>A 12147-2019</t>
        </is>
      </c>
      <c r="B1978" s="1" t="n">
        <v>43521</v>
      </c>
      <c r="C1978" s="1" t="n">
        <v>45212</v>
      </c>
      <c r="D1978" t="inlineStr">
        <is>
          <t>VÄSTRA GÖTALANDS LÄN</t>
        </is>
      </c>
      <c r="E1978" t="inlineStr">
        <is>
          <t>TÖREBODA</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11858-2019</t>
        </is>
      </c>
      <c r="B1979" s="1" t="n">
        <v>43521</v>
      </c>
      <c r="C1979" s="1" t="n">
        <v>45212</v>
      </c>
      <c r="D1979" t="inlineStr">
        <is>
          <t>VÄSTRA GÖTALANDS LÄN</t>
        </is>
      </c>
      <c r="E1979" t="inlineStr">
        <is>
          <t>STRÖMSTAD</t>
        </is>
      </c>
      <c r="G1979" t="n">
        <v>1.8</v>
      </c>
      <c r="H1979" t="n">
        <v>0</v>
      </c>
      <c r="I1979" t="n">
        <v>0</v>
      </c>
      <c r="J1979" t="n">
        <v>0</v>
      </c>
      <c r="K1979" t="n">
        <v>0</v>
      </c>
      <c r="L1979" t="n">
        <v>0</v>
      </c>
      <c r="M1979" t="n">
        <v>0</v>
      </c>
      <c r="N1979" t="n">
        <v>0</v>
      </c>
      <c r="O1979" t="n">
        <v>0</v>
      </c>
      <c r="P1979" t="n">
        <v>0</v>
      </c>
      <c r="Q1979" t="n">
        <v>0</v>
      </c>
      <c r="R1979" s="2" t="inlineStr"/>
    </row>
    <row r="1980" ht="15" customHeight="1">
      <c r="A1980" t="inlineStr">
        <is>
          <t>A 11900-2019</t>
        </is>
      </c>
      <c r="B1980" s="1" t="n">
        <v>43521</v>
      </c>
      <c r="C1980" s="1" t="n">
        <v>45212</v>
      </c>
      <c r="D1980" t="inlineStr">
        <is>
          <t>VÄSTRA GÖTALANDS LÄN</t>
        </is>
      </c>
      <c r="E1980" t="inlineStr">
        <is>
          <t>MARK</t>
        </is>
      </c>
      <c r="G1980" t="n">
        <v>1.2</v>
      </c>
      <c r="H1980" t="n">
        <v>0</v>
      </c>
      <c r="I1980" t="n">
        <v>0</v>
      </c>
      <c r="J1980" t="n">
        <v>0</v>
      </c>
      <c r="K1980" t="n">
        <v>0</v>
      </c>
      <c r="L1980" t="n">
        <v>0</v>
      </c>
      <c r="M1980" t="n">
        <v>0</v>
      </c>
      <c r="N1980" t="n">
        <v>0</v>
      </c>
      <c r="O1980" t="n">
        <v>0</v>
      </c>
      <c r="P1980" t="n">
        <v>0</v>
      </c>
      <c r="Q1980" t="n">
        <v>0</v>
      </c>
      <c r="R1980" s="2" t="inlineStr"/>
    </row>
    <row r="1981" ht="15" customHeight="1">
      <c r="A1981" t="inlineStr">
        <is>
          <t>A 11907-2019</t>
        </is>
      </c>
      <c r="B1981" s="1" t="n">
        <v>43521</v>
      </c>
      <c r="C1981" s="1" t="n">
        <v>45212</v>
      </c>
      <c r="D1981" t="inlineStr">
        <is>
          <t>VÄSTRA GÖTALANDS LÄN</t>
        </is>
      </c>
      <c r="E1981" t="inlineStr">
        <is>
          <t>GÖTENE</t>
        </is>
      </c>
      <c r="G1981" t="n">
        <v>6.3</v>
      </c>
      <c r="H1981" t="n">
        <v>0</v>
      </c>
      <c r="I1981" t="n">
        <v>0</v>
      </c>
      <c r="J1981" t="n">
        <v>0</v>
      </c>
      <c r="K1981" t="n">
        <v>0</v>
      </c>
      <c r="L1981" t="n">
        <v>0</v>
      </c>
      <c r="M1981" t="n">
        <v>0</v>
      </c>
      <c r="N1981" t="n">
        <v>0</v>
      </c>
      <c r="O1981" t="n">
        <v>0</v>
      </c>
      <c r="P1981" t="n">
        <v>0</v>
      </c>
      <c r="Q1981" t="n">
        <v>0</v>
      </c>
      <c r="R1981" s="2" t="inlineStr"/>
    </row>
    <row r="1982" ht="15" customHeight="1">
      <c r="A1982" t="inlineStr">
        <is>
          <t>A 11949-2019</t>
        </is>
      </c>
      <c r="B1982" s="1" t="n">
        <v>43521</v>
      </c>
      <c r="C1982" s="1" t="n">
        <v>45212</v>
      </c>
      <c r="D1982" t="inlineStr">
        <is>
          <t>VÄSTRA GÖTALANDS LÄN</t>
        </is>
      </c>
      <c r="E1982" t="inlineStr">
        <is>
          <t>HERRLJUNGA</t>
        </is>
      </c>
      <c r="G1982" t="n">
        <v>3.7</v>
      </c>
      <c r="H1982" t="n">
        <v>0</v>
      </c>
      <c r="I1982" t="n">
        <v>0</v>
      </c>
      <c r="J1982" t="n">
        <v>0</v>
      </c>
      <c r="K1982" t="n">
        <v>0</v>
      </c>
      <c r="L1982" t="n">
        <v>0</v>
      </c>
      <c r="M1982" t="n">
        <v>0</v>
      </c>
      <c r="N1982" t="n">
        <v>0</v>
      </c>
      <c r="O1982" t="n">
        <v>0</v>
      </c>
      <c r="P1982" t="n">
        <v>0</v>
      </c>
      <c r="Q1982" t="n">
        <v>0</v>
      </c>
      <c r="R1982" s="2" t="inlineStr"/>
    </row>
    <row r="1983" ht="15" customHeight="1">
      <c r="A1983" t="inlineStr">
        <is>
          <t>A 11962-2019</t>
        </is>
      </c>
      <c r="B1983" s="1" t="n">
        <v>43521</v>
      </c>
      <c r="C1983" s="1" t="n">
        <v>45212</v>
      </c>
      <c r="D1983" t="inlineStr">
        <is>
          <t>VÄSTRA GÖTALANDS LÄN</t>
        </is>
      </c>
      <c r="E1983" t="inlineStr">
        <is>
          <t>GÖTENE</t>
        </is>
      </c>
      <c r="G1983" t="n">
        <v>3.1</v>
      </c>
      <c r="H1983" t="n">
        <v>0</v>
      </c>
      <c r="I1983" t="n">
        <v>0</v>
      </c>
      <c r="J1983" t="n">
        <v>0</v>
      </c>
      <c r="K1983" t="n">
        <v>0</v>
      </c>
      <c r="L1983" t="n">
        <v>0</v>
      </c>
      <c r="M1983" t="n">
        <v>0</v>
      </c>
      <c r="N1983" t="n">
        <v>0</v>
      </c>
      <c r="O1983" t="n">
        <v>0</v>
      </c>
      <c r="P1983" t="n">
        <v>0</v>
      </c>
      <c r="Q1983" t="n">
        <v>0</v>
      </c>
      <c r="R1983" s="2" t="inlineStr"/>
    </row>
    <row r="1984" ht="15" customHeight="1">
      <c r="A1984" t="inlineStr">
        <is>
          <t>A 11978-2019</t>
        </is>
      </c>
      <c r="B1984" s="1" t="n">
        <v>43521</v>
      </c>
      <c r="C1984" s="1" t="n">
        <v>45212</v>
      </c>
      <c r="D1984" t="inlineStr">
        <is>
          <t>VÄSTRA GÖTALANDS LÄN</t>
        </is>
      </c>
      <c r="E1984" t="inlineStr">
        <is>
          <t>ALE</t>
        </is>
      </c>
      <c r="F1984" t="inlineStr">
        <is>
          <t>Kommuner</t>
        </is>
      </c>
      <c r="G1984" t="n">
        <v>1</v>
      </c>
      <c r="H1984" t="n">
        <v>0</v>
      </c>
      <c r="I1984" t="n">
        <v>0</v>
      </c>
      <c r="J1984" t="n">
        <v>0</v>
      </c>
      <c r="K1984" t="n">
        <v>0</v>
      </c>
      <c r="L1984" t="n">
        <v>0</v>
      </c>
      <c r="M1984" t="n">
        <v>0</v>
      </c>
      <c r="N1984" t="n">
        <v>0</v>
      </c>
      <c r="O1984" t="n">
        <v>0</v>
      </c>
      <c r="P1984" t="n">
        <v>0</v>
      </c>
      <c r="Q1984" t="n">
        <v>0</v>
      </c>
      <c r="R1984" s="2" t="inlineStr"/>
    </row>
    <row r="1985" ht="15" customHeight="1">
      <c r="A1985" t="inlineStr">
        <is>
          <t>A 12041-2019</t>
        </is>
      </c>
      <c r="B1985" s="1" t="n">
        <v>43522</v>
      </c>
      <c r="C1985" s="1" t="n">
        <v>45212</v>
      </c>
      <c r="D1985" t="inlineStr">
        <is>
          <t>VÄSTRA GÖTALANDS LÄN</t>
        </is>
      </c>
      <c r="E1985" t="inlineStr">
        <is>
          <t>SKARA</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12082-2019</t>
        </is>
      </c>
      <c r="B1986" s="1" t="n">
        <v>43522</v>
      </c>
      <c r="C1986" s="1" t="n">
        <v>45212</v>
      </c>
      <c r="D1986" t="inlineStr">
        <is>
          <t>VÄSTRA GÖTALANDS LÄN</t>
        </is>
      </c>
      <c r="E1986" t="inlineStr">
        <is>
          <t>TANUM</t>
        </is>
      </c>
      <c r="G1986" t="n">
        <v>3.6</v>
      </c>
      <c r="H1986" t="n">
        <v>0</v>
      </c>
      <c r="I1986" t="n">
        <v>0</v>
      </c>
      <c r="J1986" t="n">
        <v>0</v>
      </c>
      <c r="K1986" t="n">
        <v>0</v>
      </c>
      <c r="L1986" t="n">
        <v>0</v>
      </c>
      <c r="M1986" t="n">
        <v>0</v>
      </c>
      <c r="N1986" t="n">
        <v>0</v>
      </c>
      <c r="O1986" t="n">
        <v>0</v>
      </c>
      <c r="P1986" t="n">
        <v>0</v>
      </c>
      <c r="Q1986" t="n">
        <v>0</v>
      </c>
      <c r="R1986" s="2" t="inlineStr"/>
    </row>
    <row r="1987" ht="15" customHeight="1">
      <c r="A1987" t="inlineStr">
        <is>
          <t>A 12126-2019</t>
        </is>
      </c>
      <c r="B1987" s="1" t="n">
        <v>43522</v>
      </c>
      <c r="C1987" s="1" t="n">
        <v>45212</v>
      </c>
      <c r="D1987" t="inlineStr">
        <is>
          <t>VÄSTRA GÖTALANDS LÄN</t>
        </is>
      </c>
      <c r="E1987" t="inlineStr">
        <is>
          <t>LIDKÖPING</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12166-2019</t>
        </is>
      </c>
      <c r="B1988" s="1" t="n">
        <v>43522</v>
      </c>
      <c r="C1988" s="1" t="n">
        <v>45212</v>
      </c>
      <c r="D1988" t="inlineStr">
        <is>
          <t>VÄSTRA GÖTALANDS LÄN</t>
        </is>
      </c>
      <c r="E1988" t="inlineStr">
        <is>
          <t>SKARA</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12209-2019</t>
        </is>
      </c>
      <c r="B1989" s="1" t="n">
        <v>43522</v>
      </c>
      <c r="C1989" s="1" t="n">
        <v>45212</v>
      </c>
      <c r="D1989" t="inlineStr">
        <is>
          <t>VÄSTRA GÖTALANDS LÄN</t>
        </is>
      </c>
      <c r="E1989" t="inlineStr">
        <is>
          <t>SKÖVDE</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12189-2019</t>
        </is>
      </c>
      <c r="B1990" s="1" t="n">
        <v>43522</v>
      </c>
      <c r="C1990" s="1" t="n">
        <v>45212</v>
      </c>
      <c r="D1990" t="inlineStr">
        <is>
          <t>VÄSTRA GÖTALANDS LÄN</t>
        </is>
      </c>
      <c r="E1990" t="inlineStr">
        <is>
          <t>HERRLJUNGA</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12039-2019</t>
        </is>
      </c>
      <c r="B1991" s="1" t="n">
        <v>43522</v>
      </c>
      <c r="C1991" s="1" t="n">
        <v>45212</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12086-2019</t>
        </is>
      </c>
      <c r="B1992" s="1" t="n">
        <v>43522</v>
      </c>
      <c r="C1992" s="1" t="n">
        <v>45212</v>
      </c>
      <c r="D1992" t="inlineStr">
        <is>
          <t>VÄSTRA GÖTALANDS LÄN</t>
        </is>
      </c>
      <c r="E1992" t="inlineStr">
        <is>
          <t>MUNKEDAL</t>
        </is>
      </c>
      <c r="G1992" t="n">
        <v>1.5</v>
      </c>
      <c r="H1992" t="n">
        <v>0</v>
      </c>
      <c r="I1992" t="n">
        <v>0</v>
      </c>
      <c r="J1992" t="n">
        <v>0</v>
      </c>
      <c r="K1992" t="n">
        <v>0</v>
      </c>
      <c r="L1992" t="n">
        <v>0</v>
      </c>
      <c r="M1992" t="n">
        <v>0</v>
      </c>
      <c r="N1992" t="n">
        <v>0</v>
      </c>
      <c r="O1992" t="n">
        <v>0</v>
      </c>
      <c r="P1992" t="n">
        <v>0</v>
      </c>
      <c r="Q1992" t="n">
        <v>0</v>
      </c>
      <c r="R1992" s="2" t="inlineStr"/>
    </row>
    <row r="1993" ht="15" customHeight="1">
      <c r="A1993" t="inlineStr">
        <is>
          <t>A 12096-2019</t>
        </is>
      </c>
      <c r="B1993" s="1" t="n">
        <v>43522</v>
      </c>
      <c r="C1993" s="1" t="n">
        <v>45212</v>
      </c>
      <c r="D1993" t="inlineStr">
        <is>
          <t>VÄSTRA GÖTALANDS LÄN</t>
        </is>
      </c>
      <c r="E1993" t="inlineStr">
        <is>
          <t>TANUM</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12110-2019</t>
        </is>
      </c>
      <c r="B1994" s="1" t="n">
        <v>43522</v>
      </c>
      <c r="C1994" s="1" t="n">
        <v>45212</v>
      </c>
      <c r="D1994" t="inlineStr">
        <is>
          <t>VÄSTRA GÖTALANDS LÄN</t>
        </is>
      </c>
      <c r="E1994" t="inlineStr">
        <is>
          <t>KARLSBORG</t>
        </is>
      </c>
      <c r="G1994" t="n">
        <v>2.3</v>
      </c>
      <c r="H1994" t="n">
        <v>0</v>
      </c>
      <c r="I1994" t="n">
        <v>0</v>
      </c>
      <c r="J1994" t="n">
        <v>0</v>
      </c>
      <c r="K1994" t="n">
        <v>0</v>
      </c>
      <c r="L1994" t="n">
        <v>0</v>
      </c>
      <c r="M1994" t="n">
        <v>0</v>
      </c>
      <c r="N1994" t="n">
        <v>0</v>
      </c>
      <c r="O1994" t="n">
        <v>0</v>
      </c>
      <c r="P1994" t="n">
        <v>0</v>
      </c>
      <c r="Q1994" t="n">
        <v>0</v>
      </c>
      <c r="R1994" s="2" t="inlineStr"/>
    </row>
    <row r="1995" ht="15" customHeight="1">
      <c r="A1995" t="inlineStr">
        <is>
          <t>A 12156-2019</t>
        </is>
      </c>
      <c r="B1995" s="1" t="n">
        <v>43522</v>
      </c>
      <c r="C1995" s="1" t="n">
        <v>45212</v>
      </c>
      <c r="D1995" t="inlineStr">
        <is>
          <t>VÄSTRA GÖTALANDS LÄN</t>
        </is>
      </c>
      <c r="E1995" t="inlineStr">
        <is>
          <t>TIBRO</t>
        </is>
      </c>
      <c r="G1995" t="n">
        <v>1.4</v>
      </c>
      <c r="H1995" t="n">
        <v>0</v>
      </c>
      <c r="I1995" t="n">
        <v>0</v>
      </c>
      <c r="J1995" t="n">
        <v>0</v>
      </c>
      <c r="K1995" t="n">
        <v>0</v>
      </c>
      <c r="L1995" t="n">
        <v>0</v>
      </c>
      <c r="M1995" t="n">
        <v>0</v>
      </c>
      <c r="N1995" t="n">
        <v>0</v>
      </c>
      <c r="O1995" t="n">
        <v>0</v>
      </c>
      <c r="P1995" t="n">
        <v>0</v>
      </c>
      <c r="Q1995" t="n">
        <v>0</v>
      </c>
      <c r="R1995" s="2" t="inlineStr"/>
    </row>
    <row r="1996" ht="15" customHeight="1">
      <c r="A1996" t="inlineStr">
        <is>
          <t>A 12186-2019</t>
        </is>
      </c>
      <c r="B1996" s="1" t="n">
        <v>43522</v>
      </c>
      <c r="C1996" s="1" t="n">
        <v>45212</v>
      </c>
      <c r="D1996" t="inlineStr">
        <is>
          <t>VÄSTRA GÖTALANDS LÄN</t>
        </is>
      </c>
      <c r="E1996" t="inlineStr">
        <is>
          <t>MARIESTAD</t>
        </is>
      </c>
      <c r="G1996" t="n">
        <v>2.4</v>
      </c>
      <c r="H1996" t="n">
        <v>0</v>
      </c>
      <c r="I1996" t="n">
        <v>0</v>
      </c>
      <c r="J1996" t="n">
        <v>0</v>
      </c>
      <c r="K1996" t="n">
        <v>0</v>
      </c>
      <c r="L1996" t="n">
        <v>0</v>
      </c>
      <c r="M1996" t="n">
        <v>0</v>
      </c>
      <c r="N1996" t="n">
        <v>0</v>
      </c>
      <c r="O1996" t="n">
        <v>0</v>
      </c>
      <c r="P1996" t="n">
        <v>0</v>
      </c>
      <c r="Q1996" t="n">
        <v>0</v>
      </c>
      <c r="R1996" s="2" t="inlineStr"/>
    </row>
    <row r="1997" ht="15" customHeight="1">
      <c r="A1997" t="inlineStr">
        <is>
          <t>A 12423-2019</t>
        </is>
      </c>
      <c r="B1997" s="1" t="n">
        <v>43522</v>
      </c>
      <c r="C1997" s="1" t="n">
        <v>45212</v>
      </c>
      <c r="D1997" t="inlineStr">
        <is>
          <t>VÄSTRA GÖTALANDS LÄN</t>
        </is>
      </c>
      <c r="E1997" t="inlineStr">
        <is>
          <t>MELLERUD</t>
        </is>
      </c>
      <c r="G1997" t="n">
        <v>3.8</v>
      </c>
      <c r="H1997" t="n">
        <v>0</v>
      </c>
      <c r="I1997" t="n">
        <v>0</v>
      </c>
      <c r="J1997" t="n">
        <v>0</v>
      </c>
      <c r="K1997" t="n">
        <v>0</v>
      </c>
      <c r="L1997" t="n">
        <v>0</v>
      </c>
      <c r="M1997" t="n">
        <v>0</v>
      </c>
      <c r="N1997" t="n">
        <v>0</v>
      </c>
      <c r="O1997" t="n">
        <v>0</v>
      </c>
      <c r="P1997" t="n">
        <v>0</v>
      </c>
      <c r="Q1997" t="n">
        <v>0</v>
      </c>
      <c r="R1997" s="2" t="inlineStr"/>
    </row>
    <row r="1998" ht="15" customHeight="1">
      <c r="A1998" t="inlineStr">
        <is>
          <t>A 12037-2019</t>
        </is>
      </c>
      <c r="B1998" s="1" t="n">
        <v>43522</v>
      </c>
      <c r="C1998" s="1" t="n">
        <v>45212</v>
      </c>
      <c r="D1998" t="inlineStr">
        <is>
          <t>VÄSTRA GÖTALANDS LÄN</t>
        </is>
      </c>
      <c r="E1998" t="inlineStr">
        <is>
          <t>SKARA</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12178-2019</t>
        </is>
      </c>
      <c r="B1999" s="1" t="n">
        <v>43522</v>
      </c>
      <c r="C1999" s="1" t="n">
        <v>45212</v>
      </c>
      <c r="D1999" t="inlineStr">
        <is>
          <t>VÄSTRA GÖTALANDS LÄN</t>
        </is>
      </c>
      <c r="E1999" t="inlineStr">
        <is>
          <t>SKÖVDE</t>
        </is>
      </c>
      <c r="G1999" t="n">
        <v>3.7</v>
      </c>
      <c r="H1999" t="n">
        <v>0</v>
      </c>
      <c r="I1999" t="n">
        <v>0</v>
      </c>
      <c r="J1999" t="n">
        <v>0</v>
      </c>
      <c r="K1999" t="n">
        <v>0</v>
      </c>
      <c r="L1999" t="n">
        <v>0</v>
      </c>
      <c r="M1999" t="n">
        <v>0</v>
      </c>
      <c r="N1999" t="n">
        <v>0</v>
      </c>
      <c r="O1999" t="n">
        <v>0</v>
      </c>
      <c r="P1999" t="n">
        <v>0</v>
      </c>
      <c r="Q1999" t="n">
        <v>0</v>
      </c>
      <c r="R1999" s="2" t="inlineStr"/>
    </row>
    <row r="2000" ht="15" customHeight="1">
      <c r="A2000" t="inlineStr">
        <is>
          <t>A 12311-2019</t>
        </is>
      </c>
      <c r="B2000" s="1" t="n">
        <v>43523</v>
      </c>
      <c r="C2000" s="1" t="n">
        <v>45212</v>
      </c>
      <c r="D2000" t="inlineStr">
        <is>
          <t>VÄSTRA GÖTALANDS LÄN</t>
        </is>
      </c>
      <c r="E2000" t="inlineStr">
        <is>
          <t>ORUST</t>
        </is>
      </c>
      <c r="G2000" t="n">
        <v>11.2</v>
      </c>
      <c r="H2000" t="n">
        <v>0</v>
      </c>
      <c r="I2000" t="n">
        <v>0</v>
      </c>
      <c r="J2000" t="n">
        <v>0</v>
      </c>
      <c r="K2000" t="n">
        <v>0</v>
      </c>
      <c r="L2000" t="n">
        <v>0</v>
      </c>
      <c r="M2000" t="n">
        <v>0</v>
      </c>
      <c r="N2000" t="n">
        <v>0</v>
      </c>
      <c r="O2000" t="n">
        <v>0</v>
      </c>
      <c r="P2000" t="n">
        <v>0</v>
      </c>
      <c r="Q2000" t="n">
        <v>0</v>
      </c>
      <c r="R2000" s="2" t="inlineStr"/>
    </row>
    <row r="2001" ht="15" customHeight="1">
      <c r="A2001" t="inlineStr">
        <is>
          <t>A 12309-2019</t>
        </is>
      </c>
      <c r="B2001" s="1" t="n">
        <v>43523</v>
      </c>
      <c r="C2001" s="1" t="n">
        <v>45212</v>
      </c>
      <c r="D2001" t="inlineStr">
        <is>
          <t>VÄSTRA GÖTALANDS LÄN</t>
        </is>
      </c>
      <c r="E2001" t="inlineStr">
        <is>
          <t>TÖREBODA</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12364-2019</t>
        </is>
      </c>
      <c r="B2002" s="1" t="n">
        <v>43523</v>
      </c>
      <c r="C2002" s="1" t="n">
        <v>45212</v>
      </c>
      <c r="D2002" t="inlineStr">
        <is>
          <t>VÄSTRA GÖTALANDS LÄN</t>
        </is>
      </c>
      <c r="E2002" t="inlineStr">
        <is>
          <t>VÄNERSBORG</t>
        </is>
      </c>
      <c r="G2002" t="n">
        <v>1.8</v>
      </c>
      <c r="H2002" t="n">
        <v>0</v>
      </c>
      <c r="I2002" t="n">
        <v>0</v>
      </c>
      <c r="J2002" t="n">
        <v>0</v>
      </c>
      <c r="K2002" t="n">
        <v>0</v>
      </c>
      <c r="L2002" t="n">
        <v>0</v>
      </c>
      <c r="M2002" t="n">
        <v>0</v>
      </c>
      <c r="N2002" t="n">
        <v>0</v>
      </c>
      <c r="O2002" t="n">
        <v>0</v>
      </c>
      <c r="P2002" t="n">
        <v>0</v>
      </c>
      <c r="Q2002" t="n">
        <v>0</v>
      </c>
      <c r="R2002" s="2" t="inlineStr"/>
    </row>
    <row r="2003" ht="15" customHeight="1">
      <c r="A2003" t="inlineStr">
        <is>
          <t>A 12291-2019</t>
        </is>
      </c>
      <c r="B2003" s="1" t="n">
        <v>43523</v>
      </c>
      <c r="C2003" s="1" t="n">
        <v>45212</v>
      </c>
      <c r="D2003" t="inlineStr">
        <is>
          <t>VÄSTRA GÖTALANDS LÄN</t>
        </is>
      </c>
      <c r="E2003" t="inlineStr">
        <is>
          <t>TANUM</t>
        </is>
      </c>
      <c r="G2003" t="n">
        <v>5.2</v>
      </c>
      <c r="H2003" t="n">
        <v>0</v>
      </c>
      <c r="I2003" t="n">
        <v>0</v>
      </c>
      <c r="J2003" t="n">
        <v>0</v>
      </c>
      <c r="K2003" t="n">
        <v>0</v>
      </c>
      <c r="L2003" t="n">
        <v>0</v>
      </c>
      <c r="M2003" t="n">
        <v>0</v>
      </c>
      <c r="N2003" t="n">
        <v>0</v>
      </c>
      <c r="O2003" t="n">
        <v>0</v>
      </c>
      <c r="P2003" t="n">
        <v>0</v>
      </c>
      <c r="Q2003" t="n">
        <v>0</v>
      </c>
      <c r="R2003" s="2" t="inlineStr"/>
    </row>
    <row r="2004" ht="15" customHeight="1">
      <c r="A2004" t="inlineStr">
        <is>
          <t>A 12317-2019</t>
        </is>
      </c>
      <c r="B2004" s="1" t="n">
        <v>43523</v>
      </c>
      <c r="C2004" s="1" t="n">
        <v>45212</v>
      </c>
      <c r="D2004" t="inlineStr">
        <is>
          <t>VÄSTRA GÖTALANDS LÄN</t>
        </is>
      </c>
      <c r="E2004" t="inlineStr">
        <is>
          <t>DALS-ED</t>
        </is>
      </c>
      <c r="G2004" t="n">
        <v>6</v>
      </c>
      <c r="H2004" t="n">
        <v>0</v>
      </c>
      <c r="I2004" t="n">
        <v>0</v>
      </c>
      <c r="J2004" t="n">
        <v>0</v>
      </c>
      <c r="K2004" t="n">
        <v>0</v>
      </c>
      <c r="L2004" t="n">
        <v>0</v>
      </c>
      <c r="M2004" t="n">
        <v>0</v>
      </c>
      <c r="N2004" t="n">
        <v>0</v>
      </c>
      <c r="O2004" t="n">
        <v>0</v>
      </c>
      <c r="P2004" t="n">
        <v>0</v>
      </c>
      <c r="Q2004" t="n">
        <v>0</v>
      </c>
      <c r="R2004" s="2" t="inlineStr"/>
    </row>
    <row r="2005" ht="15" customHeight="1">
      <c r="A2005" t="inlineStr">
        <is>
          <t>A 12375-2019</t>
        </is>
      </c>
      <c r="B2005" s="1" t="n">
        <v>43523</v>
      </c>
      <c r="C2005" s="1" t="n">
        <v>45212</v>
      </c>
      <c r="D2005" t="inlineStr">
        <is>
          <t>VÄSTRA GÖTALANDS LÄN</t>
        </is>
      </c>
      <c r="E2005" t="inlineStr">
        <is>
          <t>MARIESTAD</t>
        </is>
      </c>
      <c r="F2005" t="inlineStr">
        <is>
          <t>Sveaskog</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12439-2019</t>
        </is>
      </c>
      <c r="B2006" s="1" t="n">
        <v>43523</v>
      </c>
      <c r="C2006" s="1" t="n">
        <v>45212</v>
      </c>
      <c r="D2006" t="inlineStr">
        <is>
          <t>VÄSTRA GÖTALANDS LÄN</t>
        </is>
      </c>
      <c r="E2006" t="inlineStr">
        <is>
          <t>BENGTSFORS</t>
        </is>
      </c>
      <c r="G2006" t="n">
        <v>4.6</v>
      </c>
      <c r="H2006" t="n">
        <v>0</v>
      </c>
      <c r="I2006" t="n">
        <v>0</v>
      </c>
      <c r="J2006" t="n">
        <v>0</v>
      </c>
      <c r="K2006" t="n">
        <v>0</v>
      </c>
      <c r="L2006" t="n">
        <v>0</v>
      </c>
      <c r="M2006" t="n">
        <v>0</v>
      </c>
      <c r="N2006" t="n">
        <v>0</v>
      </c>
      <c r="O2006" t="n">
        <v>0</v>
      </c>
      <c r="P2006" t="n">
        <v>0</v>
      </c>
      <c r="Q2006" t="n">
        <v>0</v>
      </c>
      <c r="R2006" s="2" t="inlineStr"/>
    </row>
    <row r="2007" ht="15" customHeight="1">
      <c r="A2007" t="inlineStr">
        <is>
          <t>A 12320-2019</t>
        </is>
      </c>
      <c r="B2007" s="1" t="n">
        <v>43523</v>
      </c>
      <c r="C2007" s="1" t="n">
        <v>45212</v>
      </c>
      <c r="D2007" t="inlineStr">
        <is>
          <t>VÄSTRA GÖTALANDS LÄN</t>
        </is>
      </c>
      <c r="E2007" t="inlineStr">
        <is>
          <t>MARK</t>
        </is>
      </c>
      <c r="G2007" t="n">
        <v>2</v>
      </c>
      <c r="H2007" t="n">
        <v>0</v>
      </c>
      <c r="I2007" t="n">
        <v>0</v>
      </c>
      <c r="J2007" t="n">
        <v>0</v>
      </c>
      <c r="K2007" t="n">
        <v>0</v>
      </c>
      <c r="L2007" t="n">
        <v>0</v>
      </c>
      <c r="M2007" t="n">
        <v>0</v>
      </c>
      <c r="N2007" t="n">
        <v>0</v>
      </c>
      <c r="O2007" t="n">
        <v>0</v>
      </c>
      <c r="P2007" t="n">
        <v>0</v>
      </c>
      <c r="Q2007" t="n">
        <v>0</v>
      </c>
      <c r="R2007" s="2" t="inlineStr"/>
    </row>
    <row r="2008" ht="15" customHeight="1">
      <c r="A2008" t="inlineStr">
        <is>
          <t>A 12332-2019</t>
        </is>
      </c>
      <c r="B2008" s="1" t="n">
        <v>43523</v>
      </c>
      <c r="C2008" s="1" t="n">
        <v>45212</v>
      </c>
      <c r="D2008" t="inlineStr">
        <is>
          <t>VÄSTRA GÖTALANDS LÄN</t>
        </is>
      </c>
      <c r="E2008" t="inlineStr">
        <is>
          <t>BORÅS</t>
        </is>
      </c>
      <c r="G2008" t="n">
        <v>7.2</v>
      </c>
      <c r="H2008" t="n">
        <v>0</v>
      </c>
      <c r="I2008" t="n">
        <v>0</v>
      </c>
      <c r="J2008" t="n">
        <v>0</v>
      </c>
      <c r="K2008" t="n">
        <v>0</v>
      </c>
      <c r="L2008" t="n">
        <v>0</v>
      </c>
      <c r="M2008" t="n">
        <v>0</v>
      </c>
      <c r="N2008" t="n">
        <v>0</v>
      </c>
      <c r="O2008" t="n">
        <v>0</v>
      </c>
      <c r="P2008" t="n">
        <v>0</v>
      </c>
      <c r="Q2008" t="n">
        <v>0</v>
      </c>
      <c r="R2008" s="2" t="inlineStr"/>
    </row>
    <row r="2009" ht="15" customHeight="1">
      <c r="A2009" t="inlineStr">
        <is>
          <t>A 12417-2019</t>
        </is>
      </c>
      <c r="B2009" s="1" t="n">
        <v>43523</v>
      </c>
      <c r="C2009" s="1" t="n">
        <v>45212</v>
      </c>
      <c r="D2009" t="inlineStr">
        <is>
          <t>VÄSTRA GÖTALANDS LÄN</t>
        </is>
      </c>
      <c r="E2009" t="inlineStr">
        <is>
          <t>VÅRGÅRDA</t>
        </is>
      </c>
      <c r="G2009" t="n">
        <v>5.2</v>
      </c>
      <c r="H2009" t="n">
        <v>0</v>
      </c>
      <c r="I2009" t="n">
        <v>0</v>
      </c>
      <c r="J2009" t="n">
        <v>0</v>
      </c>
      <c r="K2009" t="n">
        <v>0</v>
      </c>
      <c r="L2009" t="n">
        <v>0</v>
      </c>
      <c r="M2009" t="n">
        <v>0</v>
      </c>
      <c r="N2009" t="n">
        <v>0</v>
      </c>
      <c r="O2009" t="n">
        <v>0</v>
      </c>
      <c r="P2009" t="n">
        <v>0</v>
      </c>
      <c r="Q2009" t="n">
        <v>0</v>
      </c>
      <c r="R2009" s="2" t="inlineStr"/>
      <c r="U2009">
        <f>HYPERLINK("https://klasma.github.io/Logging_1442/knärot/A 12417-2019 knärot.png", "A 12417-2019")</f>
        <v/>
      </c>
      <c r="V2009">
        <f>HYPERLINK("https://klasma.github.io/Logging_1442/klagomål/A 12417-2019 klagomål.docx", "A 12417-2019")</f>
        <v/>
      </c>
      <c r="W2009">
        <f>HYPERLINK("https://klasma.github.io/Logging_1442/klagomålsmail/A 12417-2019 klagomålsmail.docx", "A 12417-2019")</f>
        <v/>
      </c>
      <c r="X2009">
        <f>HYPERLINK("https://klasma.github.io/Logging_1442/tillsyn/A 12417-2019 tillsyn.docx", "A 12417-2019")</f>
        <v/>
      </c>
      <c r="Y2009">
        <f>HYPERLINK("https://klasma.github.io/Logging_1442/tillsynsmail/A 12417-2019 tillsynsmail.docx", "A 12417-2019")</f>
        <v/>
      </c>
    </row>
    <row r="2010" ht="15" customHeight="1">
      <c r="A2010" t="inlineStr">
        <is>
          <t>A 12557-2019</t>
        </is>
      </c>
      <c r="B2010" s="1" t="n">
        <v>43524</v>
      </c>
      <c r="C2010" s="1" t="n">
        <v>45212</v>
      </c>
      <c r="D2010" t="inlineStr">
        <is>
          <t>VÄSTRA GÖTALANDS LÄN</t>
        </is>
      </c>
      <c r="E2010" t="inlineStr">
        <is>
          <t>BORÅS</t>
        </is>
      </c>
      <c r="G2010" t="n">
        <v>1.5</v>
      </c>
      <c r="H2010" t="n">
        <v>0</v>
      </c>
      <c r="I2010" t="n">
        <v>0</v>
      </c>
      <c r="J2010" t="n">
        <v>0</v>
      </c>
      <c r="K2010" t="n">
        <v>0</v>
      </c>
      <c r="L2010" t="n">
        <v>0</v>
      </c>
      <c r="M2010" t="n">
        <v>0</v>
      </c>
      <c r="N2010" t="n">
        <v>0</v>
      </c>
      <c r="O2010" t="n">
        <v>0</v>
      </c>
      <c r="P2010" t="n">
        <v>0</v>
      </c>
      <c r="Q2010" t="n">
        <v>0</v>
      </c>
      <c r="R2010" s="2" t="inlineStr"/>
    </row>
    <row r="2011" ht="15" customHeight="1">
      <c r="A2011" t="inlineStr">
        <is>
          <t>A 12730-2019</t>
        </is>
      </c>
      <c r="B2011" s="1" t="n">
        <v>43524</v>
      </c>
      <c r="C2011" s="1" t="n">
        <v>45212</v>
      </c>
      <c r="D2011" t="inlineStr">
        <is>
          <t>VÄSTRA GÖTALANDS LÄN</t>
        </is>
      </c>
      <c r="E2011" t="inlineStr">
        <is>
          <t>MARIESTAD</t>
        </is>
      </c>
      <c r="F2011" t="inlineStr">
        <is>
          <t>Kommuner</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12821-2019</t>
        </is>
      </c>
      <c r="B2012" s="1" t="n">
        <v>43524</v>
      </c>
      <c r="C2012" s="1" t="n">
        <v>45212</v>
      </c>
      <c r="D2012" t="inlineStr">
        <is>
          <t>VÄSTRA GÖTALANDS LÄN</t>
        </is>
      </c>
      <c r="E2012" t="inlineStr">
        <is>
          <t>TANUM</t>
        </is>
      </c>
      <c r="G2012" t="n">
        <v>4.9</v>
      </c>
      <c r="H2012" t="n">
        <v>0</v>
      </c>
      <c r="I2012" t="n">
        <v>0</v>
      </c>
      <c r="J2012" t="n">
        <v>0</v>
      </c>
      <c r="K2012" t="n">
        <v>0</v>
      </c>
      <c r="L2012" t="n">
        <v>0</v>
      </c>
      <c r="M2012" t="n">
        <v>0</v>
      </c>
      <c r="N2012" t="n">
        <v>0</v>
      </c>
      <c r="O2012" t="n">
        <v>0</v>
      </c>
      <c r="P2012" t="n">
        <v>0</v>
      </c>
      <c r="Q2012" t="n">
        <v>0</v>
      </c>
      <c r="R2012" s="2" t="inlineStr"/>
    </row>
    <row r="2013" ht="15" customHeight="1">
      <c r="A2013" t="inlineStr">
        <is>
          <t>A 12640-2019</t>
        </is>
      </c>
      <c r="B2013" s="1" t="n">
        <v>43524</v>
      </c>
      <c r="C2013" s="1" t="n">
        <v>45212</v>
      </c>
      <c r="D2013" t="inlineStr">
        <is>
          <t>VÄSTRA GÖTALANDS LÄN</t>
        </is>
      </c>
      <c r="E2013" t="inlineStr">
        <is>
          <t>FÄRGELANDA</t>
        </is>
      </c>
      <c r="F2013" t="inlineStr">
        <is>
          <t>Kommuner</t>
        </is>
      </c>
      <c r="G2013" t="n">
        <v>1.6</v>
      </c>
      <c r="H2013" t="n">
        <v>0</v>
      </c>
      <c r="I2013" t="n">
        <v>0</v>
      </c>
      <c r="J2013" t="n">
        <v>0</v>
      </c>
      <c r="K2013" t="n">
        <v>0</v>
      </c>
      <c r="L2013" t="n">
        <v>0</v>
      </c>
      <c r="M2013" t="n">
        <v>0</v>
      </c>
      <c r="N2013" t="n">
        <v>0</v>
      </c>
      <c r="O2013" t="n">
        <v>0</v>
      </c>
      <c r="P2013" t="n">
        <v>0</v>
      </c>
      <c r="Q2013" t="n">
        <v>0</v>
      </c>
      <c r="R2013" s="2" t="inlineStr"/>
    </row>
    <row r="2014" ht="15" customHeight="1">
      <c r="A2014" t="inlineStr">
        <is>
          <t>A 12649-2019</t>
        </is>
      </c>
      <c r="B2014" s="1" t="n">
        <v>43524</v>
      </c>
      <c r="C2014" s="1" t="n">
        <v>45212</v>
      </c>
      <c r="D2014" t="inlineStr">
        <is>
          <t>VÄSTRA GÖTALANDS LÄN</t>
        </is>
      </c>
      <c r="E2014" t="inlineStr">
        <is>
          <t>TRANEMO</t>
        </is>
      </c>
      <c r="G2014" t="n">
        <v>4.2</v>
      </c>
      <c r="H2014" t="n">
        <v>0</v>
      </c>
      <c r="I2014" t="n">
        <v>0</v>
      </c>
      <c r="J2014" t="n">
        <v>0</v>
      </c>
      <c r="K2014" t="n">
        <v>0</v>
      </c>
      <c r="L2014" t="n">
        <v>0</v>
      </c>
      <c r="M2014" t="n">
        <v>0</v>
      </c>
      <c r="N2014" t="n">
        <v>0</v>
      </c>
      <c r="O2014" t="n">
        <v>0</v>
      </c>
      <c r="P2014" t="n">
        <v>0</v>
      </c>
      <c r="Q2014" t="n">
        <v>0</v>
      </c>
      <c r="R2014" s="2" t="inlineStr"/>
    </row>
    <row r="2015" ht="15" customHeight="1">
      <c r="A2015" t="inlineStr">
        <is>
          <t>A 12511-2019</t>
        </is>
      </c>
      <c r="B2015" s="1" t="n">
        <v>43524</v>
      </c>
      <c r="C2015" s="1" t="n">
        <v>45212</v>
      </c>
      <c r="D2015" t="inlineStr">
        <is>
          <t>VÄSTRA GÖTALANDS LÄN</t>
        </is>
      </c>
      <c r="E2015" t="inlineStr">
        <is>
          <t>SKÖVDE</t>
        </is>
      </c>
      <c r="G2015" t="n">
        <v>1.9</v>
      </c>
      <c r="H2015" t="n">
        <v>0</v>
      </c>
      <c r="I2015" t="n">
        <v>0</v>
      </c>
      <c r="J2015" t="n">
        <v>0</v>
      </c>
      <c r="K2015" t="n">
        <v>0</v>
      </c>
      <c r="L2015" t="n">
        <v>0</v>
      </c>
      <c r="M2015" t="n">
        <v>0</v>
      </c>
      <c r="N2015" t="n">
        <v>0</v>
      </c>
      <c r="O2015" t="n">
        <v>0</v>
      </c>
      <c r="P2015" t="n">
        <v>0</v>
      </c>
      <c r="Q2015" t="n">
        <v>0</v>
      </c>
      <c r="R2015" s="2" t="inlineStr"/>
    </row>
    <row r="2016" ht="15" customHeight="1">
      <c r="A2016" t="inlineStr">
        <is>
          <t>A 12597-2019</t>
        </is>
      </c>
      <c r="B2016" s="1" t="n">
        <v>43524</v>
      </c>
      <c r="C2016" s="1" t="n">
        <v>45212</v>
      </c>
      <c r="D2016" t="inlineStr">
        <is>
          <t>VÄSTRA GÖTALANDS LÄN</t>
        </is>
      </c>
      <c r="E2016" t="inlineStr">
        <is>
          <t>VARA</t>
        </is>
      </c>
      <c r="F2016" t="inlineStr">
        <is>
          <t>Kyrkan</t>
        </is>
      </c>
      <c r="G2016" t="n">
        <v>1.7</v>
      </c>
      <c r="H2016" t="n">
        <v>0</v>
      </c>
      <c r="I2016" t="n">
        <v>0</v>
      </c>
      <c r="J2016" t="n">
        <v>0</v>
      </c>
      <c r="K2016" t="n">
        <v>0</v>
      </c>
      <c r="L2016" t="n">
        <v>0</v>
      </c>
      <c r="M2016" t="n">
        <v>0</v>
      </c>
      <c r="N2016" t="n">
        <v>0</v>
      </c>
      <c r="O2016" t="n">
        <v>0</v>
      </c>
      <c r="P2016" t="n">
        <v>0</v>
      </c>
      <c r="Q2016" t="n">
        <v>0</v>
      </c>
      <c r="R2016" s="2" t="inlineStr"/>
    </row>
    <row r="2017" ht="15" customHeight="1">
      <c r="A2017" t="inlineStr">
        <is>
          <t>A 12667-2019</t>
        </is>
      </c>
      <c r="B2017" s="1" t="n">
        <v>43524</v>
      </c>
      <c r="C2017" s="1" t="n">
        <v>45212</v>
      </c>
      <c r="D2017" t="inlineStr">
        <is>
          <t>VÄSTRA GÖTALANDS LÄN</t>
        </is>
      </c>
      <c r="E2017" t="inlineStr">
        <is>
          <t>VÄNERSBORG</t>
        </is>
      </c>
      <c r="G2017" t="n">
        <v>1.3</v>
      </c>
      <c r="H2017" t="n">
        <v>0</v>
      </c>
      <c r="I2017" t="n">
        <v>0</v>
      </c>
      <c r="J2017" t="n">
        <v>0</v>
      </c>
      <c r="K2017" t="n">
        <v>0</v>
      </c>
      <c r="L2017" t="n">
        <v>0</v>
      </c>
      <c r="M2017" t="n">
        <v>0</v>
      </c>
      <c r="N2017" t="n">
        <v>0</v>
      </c>
      <c r="O2017" t="n">
        <v>0</v>
      </c>
      <c r="P2017" t="n">
        <v>0</v>
      </c>
      <c r="Q2017" t="n">
        <v>0</v>
      </c>
      <c r="R2017" s="2" t="inlineStr"/>
    </row>
    <row r="2018" ht="15" customHeight="1">
      <c r="A2018" t="inlineStr">
        <is>
          <t>A 12732-2019</t>
        </is>
      </c>
      <c r="B2018" s="1" t="n">
        <v>43524</v>
      </c>
      <c r="C2018" s="1" t="n">
        <v>45212</v>
      </c>
      <c r="D2018" t="inlineStr">
        <is>
          <t>VÄSTRA GÖTALANDS LÄN</t>
        </is>
      </c>
      <c r="E2018" t="inlineStr">
        <is>
          <t>ORUST</t>
        </is>
      </c>
      <c r="G2018" t="n">
        <v>14</v>
      </c>
      <c r="H2018" t="n">
        <v>0</v>
      </c>
      <c r="I2018" t="n">
        <v>0</v>
      </c>
      <c r="J2018" t="n">
        <v>0</v>
      </c>
      <c r="K2018" t="n">
        <v>0</v>
      </c>
      <c r="L2018" t="n">
        <v>0</v>
      </c>
      <c r="M2018" t="n">
        <v>0</v>
      </c>
      <c r="N2018" t="n">
        <v>0</v>
      </c>
      <c r="O2018" t="n">
        <v>0</v>
      </c>
      <c r="P2018" t="n">
        <v>0</v>
      </c>
      <c r="Q2018" t="n">
        <v>0</v>
      </c>
      <c r="R2018" s="2" t="inlineStr"/>
    </row>
    <row r="2019" ht="15" customHeight="1">
      <c r="A2019" t="inlineStr">
        <is>
          <t>A 12537-2019</t>
        </is>
      </c>
      <c r="B2019" s="1" t="n">
        <v>43524</v>
      </c>
      <c r="C2019" s="1" t="n">
        <v>45212</v>
      </c>
      <c r="D2019" t="inlineStr">
        <is>
          <t>VÄSTRA GÖTALANDS LÄN</t>
        </is>
      </c>
      <c r="E2019" t="inlineStr">
        <is>
          <t>TROLLHÄTTAN</t>
        </is>
      </c>
      <c r="F2019" t="inlineStr">
        <is>
          <t>Kommuner</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12552-2019</t>
        </is>
      </c>
      <c r="B2020" s="1" t="n">
        <v>43524</v>
      </c>
      <c r="C2020" s="1" t="n">
        <v>45212</v>
      </c>
      <c r="D2020" t="inlineStr">
        <is>
          <t>VÄSTRA GÖTALANDS LÄN</t>
        </is>
      </c>
      <c r="E2020" t="inlineStr">
        <is>
          <t>ULRICEHAMN</t>
        </is>
      </c>
      <c r="G2020" t="n">
        <v>2.4</v>
      </c>
      <c r="H2020" t="n">
        <v>0</v>
      </c>
      <c r="I2020" t="n">
        <v>0</v>
      </c>
      <c r="J2020" t="n">
        <v>0</v>
      </c>
      <c r="K2020" t="n">
        <v>0</v>
      </c>
      <c r="L2020" t="n">
        <v>0</v>
      </c>
      <c r="M2020" t="n">
        <v>0</v>
      </c>
      <c r="N2020" t="n">
        <v>0</v>
      </c>
      <c r="O2020" t="n">
        <v>0</v>
      </c>
      <c r="P2020" t="n">
        <v>0</v>
      </c>
      <c r="Q2020" t="n">
        <v>0</v>
      </c>
      <c r="R2020" s="2" t="inlineStr"/>
    </row>
    <row r="2021" ht="15" customHeight="1">
      <c r="A2021" t="inlineStr">
        <is>
          <t>A 12855-2019</t>
        </is>
      </c>
      <c r="B2021" s="1" t="n">
        <v>43525</v>
      </c>
      <c r="C2021" s="1" t="n">
        <v>45212</v>
      </c>
      <c r="D2021" t="inlineStr">
        <is>
          <t>VÄSTRA GÖTALANDS LÄN</t>
        </is>
      </c>
      <c r="E2021" t="inlineStr">
        <is>
          <t>TÖREBODA</t>
        </is>
      </c>
      <c r="G2021" t="n">
        <v>0.8</v>
      </c>
      <c r="H2021" t="n">
        <v>0</v>
      </c>
      <c r="I2021" t="n">
        <v>0</v>
      </c>
      <c r="J2021" t="n">
        <v>0</v>
      </c>
      <c r="K2021" t="n">
        <v>0</v>
      </c>
      <c r="L2021" t="n">
        <v>0</v>
      </c>
      <c r="M2021" t="n">
        <v>0</v>
      </c>
      <c r="N2021" t="n">
        <v>0</v>
      </c>
      <c r="O2021" t="n">
        <v>0</v>
      </c>
      <c r="P2021" t="n">
        <v>0</v>
      </c>
      <c r="Q2021" t="n">
        <v>0</v>
      </c>
      <c r="R2021" s="2" t="inlineStr"/>
    </row>
    <row r="2022" ht="15" customHeight="1">
      <c r="A2022" t="inlineStr">
        <is>
          <t>A 12893-2019</t>
        </is>
      </c>
      <c r="B2022" s="1" t="n">
        <v>43525</v>
      </c>
      <c r="C2022" s="1" t="n">
        <v>45212</v>
      </c>
      <c r="D2022" t="inlineStr">
        <is>
          <t>VÄSTRA GÖTALANDS LÄN</t>
        </is>
      </c>
      <c r="E2022" t="inlineStr">
        <is>
          <t>TROLLHÄTTAN</t>
        </is>
      </c>
      <c r="G2022" t="n">
        <v>7.2</v>
      </c>
      <c r="H2022" t="n">
        <v>0</v>
      </c>
      <c r="I2022" t="n">
        <v>0</v>
      </c>
      <c r="J2022" t="n">
        <v>0</v>
      </c>
      <c r="K2022" t="n">
        <v>0</v>
      </c>
      <c r="L2022" t="n">
        <v>0</v>
      </c>
      <c r="M2022" t="n">
        <v>0</v>
      </c>
      <c r="N2022" t="n">
        <v>0</v>
      </c>
      <c r="O2022" t="n">
        <v>0</v>
      </c>
      <c r="P2022" t="n">
        <v>0</v>
      </c>
      <c r="Q2022" t="n">
        <v>0</v>
      </c>
      <c r="R2022" s="2" t="inlineStr"/>
    </row>
    <row r="2023" ht="15" customHeight="1">
      <c r="A2023" t="inlineStr">
        <is>
          <t>A 12989-2019</t>
        </is>
      </c>
      <c r="B2023" s="1" t="n">
        <v>43525</v>
      </c>
      <c r="C2023" s="1" t="n">
        <v>45212</v>
      </c>
      <c r="D2023" t="inlineStr">
        <is>
          <t>VÄSTRA GÖTALANDS LÄN</t>
        </is>
      </c>
      <c r="E2023" t="inlineStr">
        <is>
          <t>TIDAHOLM</t>
        </is>
      </c>
      <c r="G2023" t="n">
        <v>5.7</v>
      </c>
      <c r="H2023" t="n">
        <v>0</v>
      </c>
      <c r="I2023" t="n">
        <v>0</v>
      </c>
      <c r="J2023" t="n">
        <v>0</v>
      </c>
      <c r="K2023" t="n">
        <v>0</v>
      </c>
      <c r="L2023" t="n">
        <v>0</v>
      </c>
      <c r="M2023" t="n">
        <v>0</v>
      </c>
      <c r="N2023" t="n">
        <v>0</v>
      </c>
      <c r="O2023" t="n">
        <v>0</v>
      </c>
      <c r="P2023" t="n">
        <v>0</v>
      </c>
      <c r="Q2023" t="n">
        <v>0</v>
      </c>
      <c r="R2023" s="2" t="inlineStr"/>
    </row>
    <row r="2024" ht="15" customHeight="1">
      <c r="A2024" t="inlineStr">
        <is>
          <t>A 12808-2019</t>
        </is>
      </c>
      <c r="B2024" s="1" t="n">
        <v>43525</v>
      </c>
      <c r="C2024" s="1" t="n">
        <v>45212</v>
      </c>
      <c r="D2024" t="inlineStr">
        <is>
          <t>VÄSTRA GÖTALANDS LÄN</t>
        </is>
      </c>
      <c r="E2024" t="inlineStr">
        <is>
          <t>GULLSPÅNG</t>
        </is>
      </c>
      <c r="G2024" t="n">
        <v>3.6</v>
      </c>
      <c r="H2024" t="n">
        <v>0</v>
      </c>
      <c r="I2024" t="n">
        <v>0</v>
      </c>
      <c r="J2024" t="n">
        <v>0</v>
      </c>
      <c r="K2024" t="n">
        <v>0</v>
      </c>
      <c r="L2024" t="n">
        <v>0</v>
      </c>
      <c r="M2024" t="n">
        <v>0</v>
      </c>
      <c r="N2024" t="n">
        <v>0</v>
      </c>
      <c r="O2024" t="n">
        <v>0</v>
      </c>
      <c r="P2024" t="n">
        <v>0</v>
      </c>
      <c r="Q2024" t="n">
        <v>0</v>
      </c>
      <c r="R2024" s="2" t="inlineStr"/>
    </row>
    <row r="2025" ht="15" customHeight="1">
      <c r="A2025" t="inlineStr">
        <is>
          <t>A 12848-2019</t>
        </is>
      </c>
      <c r="B2025" s="1" t="n">
        <v>43525</v>
      </c>
      <c r="C2025" s="1" t="n">
        <v>45212</v>
      </c>
      <c r="D2025" t="inlineStr">
        <is>
          <t>VÄSTRA GÖTALANDS LÄN</t>
        </is>
      </c>
      <c r="E2025" t="inlineStr">
        <is>
          <t>MARK</t>
        </is>
      </c>
      <c r="G2025" t="n">
        <v>6.9</v>
      </c>
      <c r="H2025" t="n">
        <v>0</v>
      </c>
      <c r="I2025" t="n">
        <v>0</v>
      </c>
      <c r="J2025" t="n">
        <v>0</v>
      </c>
      <c r="K2025" t="n">
        <v>0</v>
      </c>
      <c r="L2025" t="n">
        <v>0</v>
      </c>
      <c r="M2025" t="n">
        <v>0</v>
      </c>
      <c r="N2025" t="n">
        <v>0</v>
      </c>
      <c r="O2025" t="n">
        <v>0</v>
      </c>
      <c r="P2025" t="n">
        <v>0</v>
      </c>
      <c r="Q2025" t="n">
        <v>0</v>
      </c>
      <c r="R2025" s="2" t="inlineStr"/>
    </row>
    <row r="2026" ht="15" customHeight="1">
      <c r="A2026" t="inlineStr">
        <is>
          <t>A 12882-2019</t>
        </is>
      </c>
      <c r="B2026" s="1" t="n">
        <v>43525</v>
      </c>
      <c r="C2026" s="1" t="n">
        <v>45212</v>
      </c>
      <c r="D2026" t="inlineStr">
        <is>
          <t>VÄSTRA GÖTALANDS LÄN</t>
        </is>
      </c>
      <c r="E2026" t="inlineStr">
        <is>
          <t>DALS-ED</t>
        </is>
      </c>
      <c r="G2026" t="n">
        <v>3.6</v>
      </c>
      <c r="H2026" t="n">
        <v>0</v>
      </c>
      <c r="I2026" t="n">
        <v>0</v>
      </c>
      <c r="J2026" t="n">
        <v>0</v>
      </c>
      <c r="K2026" t="n">
        <v>0</v>
      </c>
      <c r="L2026" t="n">
        <v>0</v>
      </c>
      <c r="M2026" t="n">
        <v>0</v>
      </c>
      <c r="N2026" t="n">
        <v>0</v>
      </c>
      <c r="O2026" t="n">
        <v>0</v>
      </c>
      <c r="P2026" t="n">
        <v>0</v>
      </c>
      <c r="Q2026" t="n">
        <v>0</v>
      </c>
      <c r="R2026" s="2" t="inlineStr"/>
    </row>
    <row r="2027" ht="15" customHeight="1">
      <c r="A2027" t="inlineStr">
        <is>
          <t>A 12889-2019</t>
        </is>
      </c>
      <c r="B2027" s="1" t="n">
        <v>43525</v>
      </c>
      <c r="C2027" s="1" t="n">
        <v>45212</v>
      </c>
      <c r="D2027" t="inlineStr">
        <is>
          <t>VÄSTRA GÖTALANDS LÄN</t>
        </is>
      </c>
      <c r="E2027" t="inlineStr">
        <is>
          <t>TROLLHÄTTAN</t>
        </is>
      </c>
      <c r="G2027" t="n">
        <v>8.300000000000001</v>
      </c>
      <c r="H2027" t="n">
        <v>0</v>
      </c>
      <c r="I2027" t="n">
        <v>0</v>
      </c>
      <c r="J2027" t="n">
        <v>0</v>
      </c>
      <c r="K2027" t="n">
        <v>0</v>
      </c>
      <c r="L2027" t="n">
        <v>0</v>
      </c>
      <c r="M2027" t="n">
        <v>0</v>
      </c>
      <c r="N2027" t="n">
        <v>0</v>
      </c>
      <c r="O2027" t="n">
        <v>0</v>
      </c>
      <c r="P2027" t="n">
        <v>0</v>
      </c>
      <c r="Q2027" t="n">
        <v>0</v>
      </c>
      <c r="R2027" s="2" t="inlineStr"/>
    </row>
    <row r="2028" ht="15" customHeight="1">
      <c r="A2028" t="inlineStr">
        <is>
          <t>A 12818-2019</t>
        </is>
      </c>
      <c r="B2028" s="1" t="n">
        <v>43525</v>
      </c>
      <c r="C2028" s="1" t="n">
        <v>45212</v>
      </c>
      <c r="D2028" t="inlineStr">
        <is>
          <t>VÄSTRA GÖTALANDS LÄN</t>
        </is>
      </c>
      <c r="E2028" t="inlineStr">
        <is>
          <t>MUNKEDAL</t>
        </is>
      </c>
      <c r="G2028" t="n">
        <v>1.4</v>
      </c>
      <c r="H2028" t="n">
        <v>0</v>
      </c>
      <c r="I2028" t="n">
        <v>0</v>
      </c>
      <c r="J2028" t="n">
        <v>0</v>
      </c>
      <c r="K2028" t="n">
        <v>0</v>
      </c>
      <c r="L2028" t="n">
        <v>0</v>
      </c>
      <c r="M2028" t="n">
        <v>0</v>
      </c>
      <c r="N2028" t="n">
        <v>0</v>
      </c>
      <c r="O2028" t="n">
        <v>0</v>
      </c>
      <c r="P2028" t="n">
        <v>0</v>
      </c>
      <c r="Q2028" t="n">
        <v>0</v>
      </c>
      <c r="R2028" s="2" t="inlineStr"/>
    </row>
    <row r="2029" ht="15" customHeight="1">
      <c r="A2029" t="inlineStr">
        <is>
          <t>A 12884-2019</t>
        </is>
      </c>
      <c r="B2029" s="1" t="n">
        <v>43525</v>
      </c>
      <c r="C2029" s="1" t="n">
        <v>45212</v>
      </c>
      <c r="D2029" t="inlineStr">
        <is>
          <t>VÄSTRA GÖTALANDS LÄN</t>
        </is>
      </c>
      <c r="E2029" t="inlineStr">
        <is>
          <t>FÄRGELANDA</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12879-2019</t>
        </is>
      </c>
      <c r="B2030" s="1" t="n">
        <v>43525</v>
      </c>
      <c r="C2030" s="1" t="n">
        <v>45212</v>
      </c>
      <c r="D2030" t="inlineStr">
        <is>
          <t>VÄSTRA GÖTALANDS LÄN</t>
        </is>
      </c>
      <c r="E2030" t="inlineStr">
        <is>
          <t>DALS-ED</t>
        </is>
      </c>
      <c r="G2030" t="n">
        <v>1.4</v>
      </c>
      <c r="H2030" t="n">
        <v>0</v>
      </c>
      <c r="I2030" t="n">
        <v>0</v>
      </c>
      <c r="J2030" t="n">
        <v>0</v>
      </c>
      <c r="K2030" t="n">
        <v>0</v>
      </c>
      <c r="L2030" t="n">
        <v>0</v>
      </c>
      <c r="M2030" t="n">
        <v>0</v>
      </c>
      <c r="N2030" t="n">
        <v>0</v>
      </c>
      <c r="O2030" t="n">
        <v>0</v>
      </c>
      <c r="P2030" t="n">
        <v>0</v>
      </c>
      <c r="Q2030" t="n">
        <v>0</v>
      </c>
      <c r="R2030" s="2" t="inlineStr"/>
    </row>
    <row r="2031" ht="15" customHeight="1">
      <c r="A2031" t="inlineStr">
        <is>
          <t>A 12883-2019</t>
        </is>
      </c>
      <c r="B2031" s="1" t="n">
        <v>43525</v>
      </c>
      <c r="C2031" s="1" t="n">
        <v>45212</v>
      </c>
      <c r="D2031" t="inlineStr">
        <is>
          <t>VÄSTRA GÖTALANDS LÄN</t>
        </is>
      </c>
      <c r="E2031" t="inlineStr">
        <is>
          <t>FÄRGELANDA</t>
        </is>
      </c>
      <c r="G2031" t="n">
        <v>2.8</v>
      </c>
      <c r="H2031" t="n">
        <v>0</v>
      </c>
      <c r="I2031" t="n">
        <v>0</v>
      </c>
      <c r="J2031" t="n">
        <v>0</v>
      </c>
      <c r="K2031" t="n">
        <v>0</v>
      </c>
      <c r="L2031" t="n">
        <v>0</v>
      </c>
      <c r="M2031" t="n">
        <v>0</v>
      </c>
      <c r="N2031" t="n">
        <v>0</v>
      </c>
      <c r="O2031" t="n">
        <v>0</v>
      </c>
      <c r="P2031" t="n">
        <v>0</v>
      </c>
      <c r="Q2031" t="n">
        <v>0</v>
      </c>
      <c r="R2031" s="2" t="inlineStr"/>
    </row>
    <row r="2032" ht="15" customHeight="1">
      <c r="A2032" t="inlineStr">
        <is>
          <t>A 12950-2019</t>
        </is>
      </c>
      <c r="B2032" s="1" t="n">
        <v>43526</v>
      </c>
      <c r="C2032" s="1" t="n">
        <v>45212</v>
      </c>
      <c r="D2032" t="inlineStr">
        <is>
          <t>VÄSTRA GÖTALANDS LÄN</t>
        </is>
      </c>
      <c r="E2032" t="inlineStr">
        <is>
          <t>FÄRGELANDA</t>
        </is>
      </c>
      <c r="G2032" t="n">
        <v>2.5</v>
      </c>
      <c r="H2032" t="n">
        <v>0</v>
      </c>
      <c r="I2032" t="n">
        <v>0</v>
      </c>
      <c r="J2032" t="n">
        <v>0</v>
      </c>
      <c r="K2032" t="n">
        <v>0</v>
      </c>
      <c r="L2032" t="n">
        <v>0</v>
      </c>
      <c r="M2032" t="n">
        <v>0</v>
      </c>
      <c r="N2032" t="n">
        <v>0</v>
      </c>
      <c r="O2032" t="n">
        <v>0</v>
      </c>
      <c r="P2032" t="n">
        <v>0</v>
      </c>
      <c r="Q2032" t="n">
        <v>0</v>
      </c>
      <c r="R2032" s="2" t="inlineStr"/>
    </row>
    <row r="2033" ht="15" customHeight="1">
      <c r="A2033" t="inlineStr">
        <is>
          <t>A 12983-2019</t>
        </is>
      </c>
      <c r="B2033" s="1" t="n">
        <v>43527</v>
      </c>
      <c r="C2033" s="1" t="n">
        <v>45212</v>
      </c>
      <c r="D2033" t="inlineStr">
        <is>
          <t>VÄSTRA GÖTALANDS LÄN</t>
        </is>
      </c>
      <c r="E2033" t="inlineStr">
        <is>
          <t>MUNKEDAL</t>
        </is>
      </c>
      <c r="G2033" t="n">
        <v>3.4</v>
      </c>
      <c r="H2033" t="n">
        <v>0</v>
      </c>
      <c r="I2033" t="n">
        <v>0</v>
      </c>
      <c r="J2033" t="n">
        <v>0</v>
      </c>
      <c r="K2033" t="n">
        <v>0</v>
      </c>
      <c r="L2033" t="n">
        <v>0</v>
      </c>
      <c r="M2033" t="n">
        <v>0</v>
      </c>
      <c r="N2033" t="n">
        <v>0</v>
      </c>
      <c r="O2033" t="n">
        <v>0</v>
      </c>
      <c r="P2033" t="n">
        <v>0</v>
      </c>
      <c r="Q2033" t="n">
        <v>0</v>
      </c>
      <c r="R2033" s="2" t="inlineStr"/>
    </row>
    <row r="2034" ht="15" customHeight="1">
      <c r="A2034" t="inlineStr">
        <is>
          <t>A 13007-2019</t>
        </is>
      </c>
      <c r="B2034" s="1" t="n">
        <v>43528</v>
      </c>
      <c r="C2034" s="1" t="n">
        <v>45212</v>
      </c>
      <c r="D2034" t="inlineStr">
        <is>
          <t>VÄSTRA GÖTALANDS LÄN</t>
        </is>
      </c>
      <c r="E2034" t="inlineStr">
        <is>
          <t>LERUM</t>
        </is>
      </c>
      <c r="G2034" t="n">
        <v>1.9</v>
      </c>
      <c r="H2034" t="n">
        <v>0</v>
      </c>
      <c r="I2034" t="n">
        <v>0</v>
      </c>
      <c r="J2034" t="n">
        <v>0</v>
      </c>
      <c r="K2034" t="n">
        <v>0</v>
      </c>
      <c r="L2034" t="n">
        <v>0</v>
      </c>
      <c r="M2034" t="n">
        <v>0</v>
      </c>
      <c r="N2034" t="n">
        <v>0</v>
      </c>
      <c r="O2034" t="n">
        <v>0</v>
      </c>
      <c r="P2034" t="n">
        <v>0</v>
      </c>
      <c r="Q2034" t="n">
        <v>0</v>
      </c>
      <c r="R2034" s="2" t="inlineStr"/>
    </row>
    <row r="2035" ht="15" customHeight="1">
      <c r="A2035" t="inlineStr">
        <is>
          <t>A 13023-2019</t>
        </is>
      </c>
      <c r="B2035" s="1" t="n">
        <v>43528</v>
      </c>
      <c r="C2035" s="1" t="n">
        <v>45212</v>
      </c>
      <c r="D2035" t="inlineStr">
        <is>
          <t>VÄSTRA GÖTALANDS LÄN</t>
        </is>
      </c>
      <c r="E2035" t="inlineStr">
        <is>
          <t>KARLSBORG</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13372-2019</t>
        </is>
      </c>
      <c r="B2036" s="1" t="n">
        <v>43528</v>
      </c>
      <c r="C2036" s="1" t="n">
        <v>45212</v>
      </c>
      <c r="D2036" t="inlineStr">
        <is>
          <t>VÄSTRA GÖTALANDS LÄN</t>
        </is>
      </c>
      <c r="E2036" t="inlineStr">
        <is>
          <t>VÄNERSBORG</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13019-2019</t>
        </is>
      </c>
      <c r="B2037" s="1" t="n">
        <v>43528</v>
      </c>
      <c r="C2037" s="1" t="n">
        <v>45212</v>
      </c>
      <c r="D2037" t="inlineStr">
        <is>
          <t>VÄSTRA GÖTALANDS LÄN</t>
        </is>
      </c>
      <c r="E2037" t="inlineStr">
        <is>
          <t>FÄRGELANDA</t>
        </is>
      </c>
      <c r="G2037" t="n">
        <v>9</v>
      </c>
      <c r="H2037" t="n">
        <v>0</v>
      </c>
      <c r="I2037" t="n">
        <v>0</v>
      </c>
      <c r="J2037" t="n">
        <v>0</v>
      </c>
      <c r="K2037" t="n">
        <v>0</v>
      </c>
      <c r="L2037" t="n">
        <v>0</v>
      </c>
      <c r="M2037" t="n">
        <v>0</v>
      </c>
      <c r="N2037" t="n">
        <v>0</v>
      </c>
      <c r="O2037" t="n">
        <v>0</v>
      </c>
      <c r="P2037" t="n">
        <v>0</v>
      </c>
      <c r="Q2037" t="n">
        <v>0</v>
      </c>
      <c r="R2037" s="2" t="inlineStr"/>
    </row>
    <row r="2038" ht="15" customHeight="1">
      <c r="A2038" t="inlineStr">
        <is>
          <t>A 13395-2019</t>
        </is>
      </c>
      <c r="B2038" s="1" t="n">
        <v>43529</v>
      </c>
      <c r="C2038" s="1" t="n">
        <v>45212</v>
      </c>
      <c r="D2038" t="inlineStr">
        <is>
          <t>VÄSTRA GÖTALANDS LÄN</t>
        </is>
      </c>
      <c r="E2038" t="inlineStr">
        <is>
          <t>TROLLHÄTTAN</t>
        </is>
      </c>
      <c r="G2038" t="n">
        <v>0.6</v>
      </c>
      <c r="H2038" t="n">
        <v>0</v>
      </c>
      <c r="I2038" t="n">
        <v>0</v>
      </c>
      <c r="J2038" t="n">
        <v>0</v>
      </c>
      <c r="K2038" t="n">
        <v>0</v>
      </c>
      <c r="L2038" t="n">
        <v>0</v>
      </c>
      <c r="M2038" t="n">
        <v>0</v>
      </c>
      <c r="N2038" t="n">
        <v>0</v>
      </c>
      <c r="O2038" t="n">
        <v>0</v>
      </c>
      <c r="P2038" t="n">
        <v>0</v>
      </c>
      <c r="Q2038" t="n">
        <v>0</v>
      </c>
      <c r="R2038" s="2" t="inlineStr"/>
    </row>
    <row r="2039" ht="15" customHeight="1">
      <c r="A2039" t="inlineStr">
        <is>
          <t>A 13424-2019</t>
        </is>
      </c>
      <c r="B2039" s="1" t="n">
        <v>43529</v>
      </c>
      <c r="C2039" s="1" t="n">
        <v>45212</v>
      </c>
      <c r="D2039" t="inlineStr">
        <is>
          <t>VÄSTRA GÖTALANDS LÄN</t>
        </is>
      </c>
      <c r="E2039" t="inlineStr">
        <is>
          <t>MARIESTAD</t>
        </is>
      </c>
      <c r="G2039" t="n">
        <v>0.7</v>
      </c>
      <c r="H2039" t="n">
        <v>0</v>
      </c>
      <c r="I2039" t="n">
        <v>0</v>
      </c>
      <c r="J2039" t="n">
        <v>0</v>
      </c>
      <c r="K2039" t="n">
        <v>0</v>
      </c>
      <c r="L2039" t="n">
        <v>0</v>
      </c>
      <c r="M2039" t="n">
        <v>0</v>
      </c>
      <c r="N2039" t="n">
        <v>0</v>
      </c>
      <c r="O2039" t="n">
        <v>0</v>
      </c>
      <c r="P2039" t="n">
        <v>0</v>
      </c>
      <c r="Q2039" t="n">
        <v>0</v>
      </c>
      <c r="R2039" s="2" t="inlineStr"/>
    </row>
    <row r="2040" ht="15" customHeight="1">
      <c r="A2040" t="inlineStr">
        <is>
          <t>A 13434-2019</t>
        </is>
      </c>
      <c r="B2040" s="1" t="n">
        <v>43529</v>
      </c>
      <c r="C2040" s="1" t="n">
        <v>45212</v>
      </c>
      <c r="D2040" t="inlineStr">
        <is>
          <t>VÄSTRA GÖTALANDS LÄN</t>
        </is>
      </c>
      <c r="E2040" t="inlineStr">
        <is>
          <t>VÄNERSBORG</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13517-2019</t>
        </is>
      </c>
      <c r="B2041" s="1" t="n">
        <v>43529</v>
      </c>
      <c r="C2041" s="1" t="n">
        <v>45212</v>
      </c>
      <c r="D2041" t="inlineStr">
        <is>
          <t>VÄSTRA GÖTALANDS LÄN</t>
        </is>
      </c>
      <c r="E2041" t="inlineStr">
        <is>
          <t>MUNKEDAL</t>
        </is>
      </c>
      <c r="F2041" t="inlineStr">
        <is>
          <t>Övriga Aktiebolag</t>
        </is>
      </c>
      <c r="G2041" t="n">
        <v>1</v>
      </c>
      <c r="H2041" t="n">
        <v>0</v>
      </c>
      <c r="I2041" t="n">
        <v>0</v>
      </c>
      <c r="J2041" t="n">
        <v>0</v>
      </c>
      <c r="K2041" t="n">
        <v>0</v>
      </c>
      <c r="L2041" t="n">
        <v>0</v>
      </c>
      <c r="M2041" t="n">
        <v>0</v>
      </c>
      <c r="N2041" t="n">
        <v>0</v>
      </c>
      <c r="O2041" t="n">
        <v>0</v>
      </c>
      <c r="P2041" t="n">
        <v>0</v>
      </c>
      <c r="Q2041" t="n">
        <v>0</v>
      </c>
      <c r="R2041" s="2" t="inlineStr"/>
    </row>
    <row r="2042" ht="15" customHeight="1">
      <c r="A2042" t="inlineStr">
        <is>
          <t>A 13238-2019</t>
        </is>
      </c>
      <c r="B2042" s="1" t="n">
        <v>43529</v>
      </c>
      <c r="C2042" s="1" t="n">
        <v>45212</v>
      </c>
      <c r="D2042" t="inlineStr">
        <is>
          <t>VÄSTRA GÖTALANDS LÄN</t>
        </is>
      </c>
      <c r="E2042" t="inlineStr">
        <is>
          <t>BORÅS</t>
        </is>
      </c>
      <c r="G2042" t="n">
        <v>6.4</v>
      </c>
      <c r="H2042" t="n">
        <v>0</v>
      </c>
      <c r="I2042" t="n">
        <v>0</v>
      </c>
      <c r="J2042" t="n">
        <v>0</v>
      </c>
      <c r="K2042" t="n">
        <v>0</v>
      </c>
      <c r="L2042" t="n">
        <v>0</v>
      </c>
      <c r="M2042" t="n">
        <v>0</v>
      </c>
      <c r="N2042" t="n">
        <v>0</v>
      </c>
      <c r="O2042" t="n">
        <v>0</v>
      </c>
      <c r="P2042" t="n">
        <v>0</v>
      </c>
      <c r="Q2042" t="n">
        <v>0</v>
      </c>
      <c r="R2042" s="2" t="inlineStr"/>
    </row>
    <row r="2043" ht="15" customHeight="1">
      <c r="A2043" t="inlineStr">
        <is>
          <t>A 13304-2019</t>
        </is>
      </c>
      <c r="B2043" s="1" t="n">
        <v>43529</v>
      </c>
      <c r="C2043" s="1" t="n">
        <v>45212</v>
      </c>
      <c r="D2043" t="inlineStr">
        <is>
          <t>VÄSTRA GÖTALANDS LÄN</t>
        </is>
      </c>
      <c r="E2043" t="inlineStr">
        <is>
          <t>BORÅS</t>
        </is>
      </c>
      <c r="G2043" t="n">
        <v>2.9</v>
      </c>
      <c r="H2043" t="n">
        <v>0</v>
      </c>
      <c r="I2043" t="n">
        <v>0</v>
      </c>
      <c r="J2043" t="n">
        <v>0</v>
      </c>
      <c r="K2043" t="n">
        <v>0</v>
      </c>
      <c r="L2043" t="n">
        <v>0</v>
      </c>
      <c r="M2043" t="n">
        <v>0</v>
      </c>
      <c r="N2043" t="n">
        <v>0</v>
      </c>
      <c r="O2043" t="n">
        <v>0</v>
      </c>
      <c r="P2043" t="n">
        <v>0</v>
      </c>
      <c r="Q2043" t="n">
        <v>0</v>
      </c>
      <c r="R2043" s="2" t="inlineStr"/>
    </row>
    <row r="2044" ht="15" customHeight="1">
      <c r="A2044" t="inlineStr">
        <is>
          <t>A 13367-2019</t>
        </is>
      </c>
      <c r="B2044" s="1" t="n">
        <v>43529</v>
      </c>
      <c r="C2044" s="1" t="n">
        <v>45212</v>
      </c>
      <c r="D2044" t="inlineStr">
        <is>
          <t>VÄSTRA GÖTALANDS LÄN</t>
        </is>
      </c>
      <c r="E2044" t="inlineStr">
        <is>
          <t>VÅRGÅRDA</t>
        </is>
      </c>
      <c r="G2044" t="n">
        <v>5.3</v>
      </c>
      <c r="H2044" t="n">
        <v>0</v>
      </c>
      <c r="I2044" t="n">
        <v>0</v>
      </c>
      <c r="J2044" t="n">
        <v>0</v>
      </c>
      <c r="K2044" t="n">
        <v>0</v>
      </c>
      <c r="L2044" t="n">
        <v>0</v>
      </c>
      <c r="M2044" t="n">
        <v>0</v>
      </c>
      <c r="N2044" t="n">
        <v>0</v>
      </c>
      <c r="O2044" t="n">
        <v>0</v>
      </c>
      <c r="P2044" t="n">
        <v>0</v>
      </c>
      <c r="Q2044" t="n">
        <v>0</v>
      </c>
      <c r="R2044" s="2" t="inlineStr"/>
    </row>
    <row r="2045" ht="15" customHeight="1">
      <c r="A2045" t="inlineStr">
        <is>
          <t>A 13402-2019</t>
        </is>
      </c>
      <c r="B2045" s="1" t="n">
        <v>43529</v>
      </c>
      <c r="C2045" s="1" t="n">
        <v>45212</v>
      </c>
      <c r="D2045" t="inlineStr">
        <is>
          <t>VÄSTRA GÖTALANDS LÄN</t>
        </is>
      </c>
      <c r="E2045" t="inlineStr">
        <is>
          <t>SKÖVDE</t>
        </is>
      </c>
      <c r="F2045" t="inlineStr">
        <is>
          <t>Kommuner</t>
        </is>
      </c>
      <c r="G2045" t="n">
        <v>2.6</v>
      </c>
      <c r="H2045" t="n">
        <v>0</v>
      </c>
      <c r="I2045" t="n">
        <v>0</v>
      </c>
      <c r="J2045" t="n">
        <v>0</v>
      </c>
      <c r="K2045" t="n">
        <v>0</v>
      </c>
      <c r="L2045" t="n">
        <v>0</v>
      </c>
      <c r="M2045" t="n">
        <v>0</v>
      </c>
      <c r="N2045" t="n">
        <v>0</v>
      </c>
      <c r="O2045" t="n">
        <v>0</v>
      </c>
      <c r="P2045" t="n">
        <v>0</v>
      </c>
      <c r="Q2045" t="n">
        <v>0</v>
      </c>
      <c r="R2045" s="2" t="inlineStr"/>
    </row>
    <row r="2046" ht="15" customHeight="1">
      <c r="A2046" t="inlineStr">
        <is>
          <t>A 13515-2019</t>
        </is>
      </c>
      <c r="B2046" s="1" t="n">
        <v>43529</v>
      </c>
      <c r="C2046" s="1" t="n">
        <v>45212</v>
      </c>
      <c r="D2046" t="inlineStr">
        <is>
          <t>VÄSTRA GÖTALANDS LÄN</t>
        </is>
      </c>
      <c r="E2046" t="inlineStr">
        <is>
          <t>MUNKEDAL</t>
        </is>
      </c>
      <c r="F2046" t="inlineStr">
        <is>
          <t>Övriga Aktiebolag</t>
        </is>
      </c>
      <c r="G2046" t="n">
        <v>0.9</v>
      </c>
      <c r="H2046" t="n">
        <v>0</v>
      </c>
      <c r="I2046" t="n">
        <v>0</v>
      </c>
      <c r="J2046" t="n">
        <v>0</v>
      </c>
      <c r="K2046" t="n">
        <v>0</v>
      </c>
      <c r="L2046" t="n">
        <v>0</v>
      </c>
      <c r="M2046" t="n">
        <v>0</v>
      </c>
      <c r="N2046" t="n">
        <v>0</v>
      </c>
      <c r="O2046" t="n">
        <v>0</v>
      </c>
      <c r="P2046" t="n">
        <v>0</v>
      </c>
      <c r="Q2046" t="n">
        <v>0</v>
      </c>
      <c r="R2046" s="2" t="inlineStr"/>
    </row>
    <row r="2047" ht="15" customHeight="1">
      <c r="A2047" t="inlineStr">
        <is>
          <t>A 13338-2019</t>
        </is>
      </c>
      <c r="B2047" s="1" t="n">
        <v>43529</v>
      </c>
      <c r="C2047" s="1" t="n">
        <v>45212</v>
      </c>
      <c r="D2047" t="inlineStr">
        <is>
          <t>VÄSTRA GÖTALANDS LÄN</t>
        </is>
      </c>
      <c r="E2047" t="inlineStr">
        <is>
          <t>ESSUNGA</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13385-2019</t>
        </is>
      </c>
      <c r="B2048" s="1" t="n">
        <v>43529</v>
      </c>
      <c r="C2048" s="1" t="n">
        <v>45212</v>
      </c>
      <c r="D2048" t="inlineStr">
        <is>
          <t>VÄSTRA GÖTALANDS LÄN</t>
        </is>
      </c>
      <c r="E2048" t="inlineStr">
        <is>
          <t>TROLLHÄTTAN</t>
        </is>
      </c>
      <c r="G2048" t="n">
        <v>0.8</v>
      </c>
      <c r="H2048" t="n">
        <v>0</v>
      </c>
      <c r="I2048" t="n">
        <v>0</v>
      </c>
      <c r="J2048" t="n">
        <v>0</v>
      </c>
      <c r="K2048" t="n">
        <v>0</v>
      </c>
      <c r="L2048" t="n">
        <v>0</v>
      </c>
      <c r="M2048" t="n">
        <v>0</v>
      </c>
      <c r="N2048" t="n">
        <v>0</v>
      </c>
      <c r="O2048" t="n">
        <v>0</v>
      </c>
      <c r="P2048" t="n">
        <v>0</v>
      </c>
      <c r="Q2048" t="n">
        <v>0</v>
      </c>
      <c r="R2048" s="2" t="inlineStr"/>
    </row>
    <row r="2049" ht="15" customHeight="1">
      <c r="A2049" t="inlineStr">
        <is>
          <t>A 13407-2019</t>
        </is>
      </c>
      <c r="B2049" s="1" t="n">
        <v>43529</v>
      </c>
      <c r="C2049" s="1" t="n">
        <v>45212</v>
      </c>
      <c r="D2049" t="inlineStr">
        <is>
          <t>VÄSTRA GÖTALANDS LÄN</t>
        </is>
      </c>
      <c r="E2049" t="inlineStr">
        <is>
          <t>VÄNERSBORG</t>
        </is>
      </c>
      <c r="G2049" t="n">
        <v>3.1</v>
      </c>
      <c r="H2049" t="n">
        <v>0</v>
      </c>
      <c r="I2049" t="n">
        <v>0</v>
      </c>
      <c r="J2049" t="n">
        <v>0</v>
      </c>
      <c r="K2049" t="n">
        <v>0</v>
      </c>
      <c r="L2049" t="n">
        <v>0</v>
      </c>
      <c r="M2049" t="n">
        <v>0</v>
      </c>
      <c r="N2049" t="n">
        <v>0</v>
      </c>
      <c r="O2049" t="n">
        <v>0</v>
      </c>
      <c r="P2049" t="n">
        <v>0</v>
      </c>
      <c r="Q2049" t="n">
        <v>0</v>
      </c>
      <c r="R2049" s="2" t="inlineStr"/>
    </row>
    <row r="2050" ht="15" customHeight="1">
      <c r="A2050" t="inlineStr">
        <is>
          <t>A 13436-2019</t>
        </is>
      </c>
      <c r="B2050" s="1" t="n">
        <v>43529</v>
      </c>
      <c r="C2050" s="1" t="n">
        <v>45212</v>
      </c>
      <c r="D2050" t="inlineStr">
        <is>
          <t>VÄSTRA GÖTALANDS LÄN</t>
        </is>
      </c>
      <c r="E2050" t="inlineStr">
        <is>
          <t>VÄNERSBORG</t>
        </is>
      </c>
      <c r="G2050" t="n">
        <v>0.5</v>
      </c>
      <c r="H2050" t="n">
        <v>0</v>
      </c>
      <c r="I2050" t="n">
        <v>0</v>
      </c>
      <c r="J2050" t="n">
        <v>0</v>
      </c>
      <c r="K2050" t="n">
        <v>0</v>
      </c>
      <c r="L2050" t="n">
        <v>0</v>
      </c>
      <c r="M2050" t="n">
        <v>0</v>
      </c>
      <c r="N2050" t="n">
        <v>0</v>
      </c>
      <c r="O2050" t="n">
        <v>0</v>
      </c>
      <c r="P2050" t="n">
        <v>0</v>
      </c>
      <c r="Q2050" t="n">
        <v>0</v>
      </c>
      <c r="R2050" s="2" t="inlineStr"/>
    </row>
    <row r="2051" ht="15" customHeight="1">
      <c r="A2051" t="inlineStr">
        <is>
          <t>A 13344-2019</t>
        </is>
      </c>
      <c r="B2051" s="1" t="n">
        <v>43529</v>
      </c>
      <c r="C2051" s="1" t="n">
        <v>45212</v>
      </c>
      <c r="D2051" t="inlineStr">
        <is>
          <t>VÄSTRA GÖTALANDS LÄN</t>
        </is>
      </c>
      <c r="E2051" t="inlineStr">
        <is>
          <t>HERRLJUNGA</t>
        </is>
      </c>
      <c r="G2051" t="n">
        <v>0.8</v>
      </c>
      <c r="H2051" t="n">
        <v>0</v>
      </c>
      <c r="I2051" t="n">
        <v>0</v>
      </c>
      <c r="J2051" t="n">
        <v>0</v>
      </c>
      <c r="K2051" t="n">
        <v>0</v>
      </c>
      <c r="L2051" t="n">
        <v>0</v>
      </c>
      <c r="M2051" t="n">
        <v>0</v>
      </c>
      <c r="N2051" t="n">
        <v>0</v>
      </c>
      <c r="O2051" t="n">
        <v>0</v>
      </c>
      <c r="P2051" t="n">
        <v>0</v>
      </c>
      <c r="Q2051" t="n">
        <v>0</v>
      </c>
      <c r="R2051" s="2" t="inlineStr"/>
    </row>
    <row r="2052" ht="15" customHeight="1">
      <c r="A2052" t="inlineStr">
        <is>
          <t>A 13419-2019</t>
        </is>
      </c>
      <c r="B2052" s="1" t="n">
        <v>43529</v>
      </c>
      <c r="C2052" s="1" t="n">
        <v>45212</v>
      </c>
      <c r="D2052" t="inlineStr">
        <is>
          <t>VÄSTRA GÖTALANDS LÄN</t>
        </is>
      </c>
      <c r="E2052" t="inlineStr">
        <is>
          <t>MARIESTAD</t>
        </is>
      </c>
      <c r="G2052" t="n">
        <v>1.9</v>
      </c>
      <c r="H2052" t="n">
        <v>0</v>
      </c>
      <c r="I2052" t="n">
        <v>0</v>
      </c>
      <c r="J2052" t="n">
        <v>0</v>
      </c>
      <c r="K2052" t="n">
        <v>0</v>
      </c>
      <c r="L2052" t="n">
        <v>0</v>
      </c>
      <c r="M2052" t="n">
        <v>0</v>
      </c>
      <c r="N2052" t="n">
        <v>0</v>
      </c>
      <c r="O2052" t="n">
        <v>0</v>
      </c>
      <c r="P2052" t="n">
        <v>0</v>
      </c>
      <c r="Q2052" t="n">
        <v>0</v>
      </c>
      <c r="R2052" s="2" t="inlineStr"/>
    </row>
    <row r="2053" ht="15" customHeight="1">
      <c r="A2053" t="inlineStr">
        <is>
          <t>A 13431-2019</t>
        </is>
      </c>
      <c r="B2053" s="1" t="n">
        <v>43529</v>
      </c>
      <c r="C2053" s="1" t="n">
        <v>45212</v>
      </c>
      <c r="D2053" t="inlineStr">
        <is>
          <t>VÄSTRA GÖTALANDS LÄN</t>
        </is>
      </c>
      <c r="E2053" t="inlineStr">
        <is>
          <t>TRANEMO</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13501-2019</t>
        </is>
      </c>
      <c r="B2054" s="1" t="n">
        <v>43529</v>
      </c>
      <c r="C2054" s="1" t="n">
        <v>45212</v>
      </c>
      <c r="D2054" t="inlineStr">
        <is>
          <t>VÄSTRA GÖTALANDS LÄN</t>
        </is>
      </c>
      <c r="E2054" t="inlineStr">
        <is>
          <t>MUNKEDAL</t>
        </is>
      </c>
      <c r="F2054" t="inlineStr">
        <is>
          <t>Övriga Aktiebolag</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13558-2019</t>
        </is>
      </c>
      <c r="B2055" s="1" t="n">
        <v>43530</v>
      </c>
      <c r="C2055" s="1" t="n">
        <v>45212</v>
      </c>
      <c r="D2055" t="inlineStr">
        <is>
          <t>VÄSTRA GÖTALANDS LÄN</t>
        </is>
      </c>
      <c r="E2055" t="inlineStr">
        <is>
          <t>ULRICEHAMN</t>
        </is>
      </c>
      <c r="G2055" t="n">
        <v>4.7</v>
      </c>
      <c r="H2055" t="n">
        <v>0</v>
      </c>
      <c r="I2055" t="n">
        <v>0</v>
      </c>
      <c r="J2055" t="n">
        <v>0</v>
      </c>
      <c r="K2055" t="n">
        <v>0</v>
      </c>
      <c r="L2055" t="n">
        <v>0</v>
      </c>
      <c r="M2055" t="n">
        <v>0</v>
      </c>
      <c r="N2055" t="n">
        <v>0</v>
      </c>
      <c r="O2055" t="n">
        <v>0</v>
      </c>
      <c r="P2055" t="n">
        <v>0</v>
      </c>
      <c r="Q2055" t="n">
        <v>0</v>
      </c>
      <c r="R2055" s="2" t="inlineStr"/>
    </row>
    <row r="2056" ht="15" customHeight="1">
      <c r="A2056" t="inlineStr">
        <is>
          <t>A 13664-2019</t>
        </is>
      </c>
      <c r="B2056" s="1" t="n">
        <v>43530</v>
      </c>
      <c r="C2056" s="1" t="n">
        <v>45212</v>
      </c>
      <c r="D2056" t="inlineStr">
        <is>
          <t>VÄSTRA GÖTALANDS LÄN</t>
        </is>
      </c>
      <c r="E2056" t="inlineStr">
        <is>
          <t>TANUM</t>
        </is>
      </c>
      <c r="G2056" t="n">
        <v>0.2</v>
      </c>
      <c r="H2056" t="n">
        <v>0</v>
      </c>
      <c r="I2056" t="n">
        <v>0</v>
      </c>
      <c r="J2056" t="n">
        <v>0</v>
      </c>
      <c r="K2056" t="n">
        <v>0</v>
      </c>
      <c r="L2056" t="n">
        <v>0</v>
      </c>
      <c r="M2056" t="n">
        <v>0</v>
      </c>
      <c r="N2056" t="n">
        <v>0</v>
      </c>
      <c r="O2056" t="n">
        <v>0</v>
      </c>
      <c r="P2056" t="n">
        <v>0</v>
      </c>
      <c r="Q2056" t="n">
        <v>0</v>
      </c>
      <c r="R2056" s="2" t="inlineStr"/>
    </row>
    <row r="2057" ht="15" customHeight="1">
      <c r="A2057" t="inlineStr">
        <is>
          <t>A 13813-2019</t>
        </is>
      </c>
      <c r="B2057" s="1" t="n">
        <v>43530</v>
      </c>
      <c r="C2057" s="1" t="n">
        <v>45212</v>
      </c>
      <c r="D2057" t="inlineStr">
        <is>
          <t>VÄSTRA GÖTALANDS LÄN</t>
        </is>
      </c>
      <c r="E2057" t="inlineStr">
        <is>
          <t>VÄNERSBORG</t>
        </is>
      </c>
      <c r="G2057" t="n">
        <v>1</v>
      </c>
      <c r="H2057" t="n">
        <v>0</v>
      </c>
      <c r="I2057" t="n">
        <v>0</v>
      </c>
      <c r="J2057" t="n">
        <v>0</v>
      </c>
      <c r="K2057" t="n">
        <v>0</v>
      </c>
      <c r="L2057" t="n">
        <v>0</v>
      </c>
      <c r="M2057" t="n">
        <v>0</v>
      </c>
      <c r="N2057" t="n">
        <v>0</v>
      </c>
      <c r="O2057" t="n">
        <v>0</v>
      </c>
      <c r="P2057" t="n">
        <v>0</v>
      </c>
      <c r="Q2057" t="n">
        <v>0</v>
      </c>
      <c r="R2057" s="2" t="inlineStr"/>
    </row>
    <row r="2058" ht="15" customHeight="1">
      <c r="A2058" t="inlineStr">
        <is>
          <t>A 13567-2019</t>
        </is>
      </c>
      <c r="B2058" s="1" t="n">
        <v>43530</v>
      </c>
      <c r="C2058" s="1" t="n">
        <v>45212</v>
      </c>
      <c r="D2058" t="inlineStr">
        <is>
          <t>VÄSTRA GÖTALANDS LÄN</t>
        </is>
      </c>
      <c r="E2058" t="inlineStr">
        <is>
          <t>GULLSPÅNG</t>
        </is>
      </c>
      <c r="G2058" t="n">
        <v>2.2</v>
      </c>
      <c r="H2058" t="n">
        <v>0</v>
      </c>
      <c r="I2058" t="n">
        <v>0</v>
      </c>
      <c r="J2058" t="n">
        <v>0</v>
      </c>
      <c r="K2058" t="n">
        <v>0</v>
      </c>
      <c r="L2058" t="n">
        <v>0</v>
      </c>
      <c r="M2058" t="n">
        <v>0</v>
      </c>
      <c r="N2058" t="n">
        <v>0</v>
      </c>
      <c r="O2058" t="n">
        <v>0</v>
      </c>
      <c r="P2058" t="n">
        <v>0</v>
      </c>
      <c r="Q2058" t="n">
        <v>0</v>
      </c>
      <c r="R2058" s="2" t="inlineStr"/>
    </row>
    <row r="2059" ht="15" customHeight="1">
      <c r="A2059" t="inlineStr">
        <is>
          <t>A 13579-2019</t>
        </is>
      </c>
      <c r="B2059" s="1" t="n">
        <v>43530</v>
      </c>
      <c r="C2059" s="1" t="n">
        <v>45212</v>
      </c>
      <c r="D2059" t="inlineStr">
        <is>
          <t>VÄSTRA GÖTALANDS LÄN</t>
        </is>
      </c>
      <c r="E2059" t="inlineStr">
        <is>
          <t>LILLA EDET</t>
        </is>
      </c>
      <c r="G2059" t="n">
        <v>3.7</v>
      </c>
      <c r="H2059" t="n">
        <v>0</v>
      </c>
      <c r="I2059" t="n">
        <v>0</v>
      </c>
      <c r="J2059" t="n">
        <v>0</v>
      </c>
      <c r="K2059" t="n">
        <v>0</v>
      </c>
      <c r="L2059" t="n">
        <v>0</v>
      </c>
      <c r="M2059" t="n">
        <v>0</v>
      </c>
      <c r="N2059" t="n">
        <v>0</v>
      </c>
      <c r="O2059" t="n">
        <v>0</v>
      </c>
      <c r="P2059" t="n">
        <v>0</v>
      </c>
      <c r="Q2059" t="n">
        <v>0</v>
      </c>
      <c r="R2059" s="2" t="inlineStr"/>
    </row>
    <row r="2060" ht="15" customHeight="1">
      <c r="A2060" t="inlineStr">
        <is>
          <t>A 13612-2019</t>
        </is>
      </c>
      <c r="B2060" s="1" t="n">
        <v>43530</v>
      </c>
      <c r="C2060" s="1" t="n">
        <v>45212</v>
      </c>
      <c r="D2060" t="inlineStr">
        <is>
          <t>VÄSTRA GÖTALANDS LÄN</t>
        </is>
      </c>
      <c r="E2060" t="inlineStr">
        <is>
          <t>TRANEMO</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13506-2019</t>
        </is>
      </c>
      <c r="B2061" s="1" t="n">
        <v>43530</v>
      </c>
      <c r="C2061" s="1" t="n">
        <v>45212</v>
      </c>
      <c r="D2061" t="inlineStr">
        <is>
          <t>VÄSTRA GÖTALANDS LÄN</t>
        </is>
      </c>
      <c r="E2061" t="inlineStr">
        <is>
          <t>LIDKÖPING</t>
        </is>
      </c>
      <c r="F2061" t="inlineStr">
        <is>
          <t>Övriga statliga verk och myndigheter</t>
        </is>
      </c>
      <c r="G2061" t="n">
        <v>6.4</v>
      </c>
      <c r="H2061" t="n">
        <v>0</v>
      </c>
      <c r="I2061" t="n">
        <v>0</v>
      </c>
      <c r="J2061" t="n">
        <v>0</v>
      </c>
      <c r="K2061" t="n">
        <v>0</v>
      </c>
      <c r="L2061" t="n">
        <v>0</v>
      </c>
      <c r="M2061" t="n">
        <v>0</v>
      </c>
      <c r="N2061" t="n">
        <v>0</v>
      </c>
      <c r="O2061" t="n">
        <v>0</v>
      </c>
      <c r="P2061" t="n">
        <v>0</v>
      </c>
      <c r="Q2061" t="n">
        <v>0</v>
      </c>
      <c r="R2061" s="2" t="inlineStr"/>
    </row>
    <row r="2062" ht="15" customHeight="1">
      <c r="A2062" t="inlineStr">
        <is>
          <t>A 13705-2019</t>
        </is>
      </c>
      <c r="B2062" s="1" t="n">
        <v>43531</v>
      </c>
      <c r="C2062" s="1" t="n">
        <v>45212</v>
      </c>
      <c r="D2062" t="inlineStr">
        <is>
          <t>VÄSTRA GÖTALANDS LÄN</t>
        </is>
      </c>
      <c r="E2062" t="inlineStr">
        <is>
          <t>MARIESTAD</t>
        </is>
      </c>
      <c r="G2062" t="n">
        <v>0.9</v>
      </c>
      <c r="H2062" t="n">
        <v>0</v>
      </c>
      <c r="I2062" t="n">
        <v>0</v>
      </c>
      <c r="J2062" t="n">
        <v>0</v>
      </c>
      <c r="K2062" t="n">
        <v>0</v>
      </c>
      <c r="L2062" t="n">
        <v>0</v>
      </c>
      <c r="M2062" t="n">
        <v>0</v>
      </c>
      <c r="N2062" t="n">
        <v>0</v>
      </c>
      <c r="O2062" t="n">
        <v>0</v>
      </c>
      <c r="P2062" t="n">
        <v>0</v>
      </c>
      <c r="Q2062" t="n">
        <v>0</v>
      </c>
      <c r="R2062" s="2" t="inlineStr"/>
    </row>
    <row r="2063" ht="15" customHeight="1">
      <c r="A2063" t="inlineStr">
        <is>
          <t>A 13710-2019</t>
        </is>
      </c>
      <c r="B2063" s="1" t="n">
        <v>43531</v>
      </c>
      <c r="C2063" s="1" t="n">
        <v>45212</v>
      </c>
      <c r="D2063" t="inlineStr">
        <is>
          <t>VÄSTRA GÖTALANDS LÄN</t>
        </is>
      </c>
      <c r="E2063" t="inlineStr">
        <is>
          <t>FÄRGELANDA</t>
        </is>
      </c>
      <c r="G2063" t="n">
        <v>17.5</v>
      </c>
      <c r="H2063" t="n">
        <v>0</v>
      </c>
      <c r="I2063" t="n">
        <v>0</v>
      </c>
      <c r="J2063" t="n">
        <v>0</v>
      </c>
      <c r="K2063" t="n">
        <v>0</v>
      </c>
      <c r="L2063" t="n">
        <v>0</v>
      </c>
      <c r="M2063" t="n">
        <v>0</v>
      </c>
      <c r="N2063" t="n">
        <v>0</v>
      </c>
      <c r="O2063" t="n">
        <v>0</v>
      </c>
      <c r="P2063" t="n">
        <v>0</v>
      </c>
      <c r="Q2063" t="n">
        <v>0</v>
      </c>
      <c r="R2063" s="2" t="inlineStr"/>
    </row>
    <row r="2064" ht="15" customHeight="1">
      <c r="A2064" t="inlineStr">
        <is>
          <t>A 13895-2019</t>
        </is>
      </c>
      <c r="B2064" s="1" t="n">
        <v>43531</v>
      </c>
      <c r="C2064" s="1" t="n">
        <v>45212</v>
      </c>
      <c r="D2064" t="inlineStr">
        <is>
          <t>VÄSTRA GÖTALANDS LÄN</t>
        </is>
      </c>
      <c r="E2064" t="inlineStr">
        <is>
          <t>SVENLJUNGA</t>
        </is>
      </c>
      <c r="G2064" t="n">
        <v>11.9</v>
      </c>
      <c r="H2064" t="n">
        <v>0</v>
      </c>
      <c r="I2064" t="n">
        <v>0</v>
      </c>
      <c r="J2064" t="n">
        <v>0</v>
      </c>
      <c r="K2064" t="n">
        <v>0</v>
      </c>
      <c r="L2064" t="n">
        <v>0</v>
      </c>
      <c r="M2064" t="n">
        <v>0</v>
      </c>
      <c r="N2064" t="n">
        <v>0</v>
      </c>
      <c r="O2064" t="n">
        <v>0</v>
      </c>
      <c r="P2064" t="n">
        <v>0</v>
      </c>
      <c r="Q2064" t="n">
        <v>0</v>
      </c>
      <c r="R2064" s="2" t="inlineStr"/>
    </row>
    <row r="2065" ht="15" customHeight="1">
      <c r="A2065" t="inlineStr">
        <is>
          <t>A 13714-2019</t>
        </is>
      </c>
      <c r="B2065" s="1" t="n">
        <v>43531</v>
      </c>
      <c r="C2065" s="1" t="n">
        <v>45212</v>
      </c>
      <c r="D2065" t="inlineStr">
        <is>
          <t>VÄSTRA GÖTALANDS LÄN</t>
        </is>
      </c>
      <c r="E2065" t="inlineStr">
        <is>
          <t>FÄRGELANDA</t>
        </is>
      </c>
      <c r="G2065" t="n">
        <v>2.3</v>
      </c>
      <c r="H2065" t="n">
        <v>0</v>
      </c>
      <c r="I2065" t="n">
        <v>0</v>
      </c>
      <c r="J2065" t="n">
        <v>0</v>
      </c>
      <c r="K2065" t="n">
        <v>0</v>
      </c>
      <c r="L2065" t="n">
        <v>0</v>
      </c>
      <c r="M2065" t="n">
        <v>0</v>
      </c>
      <c r="N2065" t="n">
        <v>0</v>
      </c>
      <c r="O2065" t="n">
        <v>0</v>
      </c>
      <c r="P2065" t="n">
        <v>0</v>
      </c>
      <c r="Q2065" t="n">
        <v>0</v>
      </c>
      <c r="R2065" s="2" t="inlineStr"/>
    </row>
    <row r="2066" ht="15" customHeight="1">
      <c r="A2066" t="inlineStr">
        <is>
          <t>A 13807-2019</t>
        </is>
      </c>
      <c r="B2066" s="1" t="n">
        <v>43531</v>
      </c>
      <c r="C2066" s="1" t="n">
        <v>45212</v>
      </c>
      <c r="D2066" t="inlineStr">
        <is>
          <t>VÄSTRA GÖTALANDS LÄN</t>
        </is>
      </c>
      <c r="E2066" t="inlineStr">
        <is>
          <t>SKÖVDE</t>
        </is>
      </c>
      <c r="F2066" t="inlineStr">
        <is>
          <t>Sveaskog</t>
        </is>
      </c>
      <c r="G2066" t="n">
        <v>4.4</v>
      </c>
      <c r="H2066" t="n">
        <v>0</v>
      </c>
      <c r="I2066" t="n">
        <v>0</v>
      </c>
      <c r="J2066" t="n">
        <v>0</v>
      </c>
      <c r="K2066" t="n">
        <v>0</v>
      </c>
      <c r="L2066" t="n">
        <v>0</v>
      </c>
      <c r="M2066" t="n">
        <v>0</v>
      </c>
      <c r="N2066" t="n">
        <v>0</v>
      </c>
      <c r="O2066" t="n">
        <v>0</v>
      </c>
      <c r="P2066" t="n">
        <v>0</v>
      </c>
      <c r="Q2066" t="n">
        <v>0</v>
      </c>
      <c r="R2066" s="2" t="inlineStr"/>
    </row>
    <row r="2067" ht="15" customHeight="1">
      <c r="A2067" t="inlineStr">
        <is>
          <t>A 13704-2019</t>
        </is>
      </c>
      <c r="B2067" s="1" t="n">
        <v>43531</v>
      </c>
      <c r="C2067" s="1" t="n">
        <v>45212</v>
      </c>
      <c r="D2067" t="inlineStr">
        <is>
          <t>VÄSTRA GÖTALANDS LÄN</t>
        </is>
      </c>
      <c r="E2067" t="inlineStr">
        <is>
          <t>MARIESTAD</t>
        </is>
      </c>
      <c r="G2067" t="n">
        <v>0.8</v>
      </c>
      <c r="H2067" t="n">
        <v>0</v>
      </c>
      <c r="I2067" t="n">
        <v>0</v>
      </c>
      <c r="J2067" t="n">
        <v>0</v>
      </c>
      <c r="K2067" t="n">
        <v>0</v>
      </c>
      <c r="L2067" t="n">
        <v>0</v>
      </c>
      <c r="M2067" t="n">
        <v>0</v>
      </c>
      <c r="N2067" t="n">
        <v>0</v>
      </c>
      <c r="O2067" t="n">
        <v>0</v>
      </c>
      <c r="P2067" t="n">
        <v>0</v>
      </c>
      <c r="Q2067" t="n">
        <v>0</v>
      </c>
      <c r="R2067" s="2" t="inlineStr"/>
    </row>
    <row r="2068" ht="15" customHeight="1">
      <c r="A2068" t="inlineStr">
        <is>
          <t>A 13720-2019</t>
        </is>
      </c>
      <c r="B2068" s="1" t="n">
        <v>43531</v>
      </c>
      <c r="C2068" s="1" t="n">
        <v>45212</v>
      </c>
      <c r="D2068" t="inlineStr">
        <is>
          <t>VÄSTRA GÖTALANDS LÄN</t>
        </is>
      </c>
      <c r="E2068" t="inlineStr">
        <is>
          <t>UDDEVALLA</t>
        </is>
      </c>
      <c r="G2068" t="n">
        <v>3</v>
      </c>
      <c r="H2068" t="n">
        <v>0</v>
      </c>
      <c r="I2068" t="n">
        <v>0</v>
      </c>
      <c r="J2068" t="n">
        <v>0</v>
      </c>
      <c r="K2068" t="n">
        <v>0</v>
      </c>
      <c r="L2068" t="n">
        <v>0</v>
      </c>
      <c r="M2068" t="n">
        <v>0</v>
      </c>
      <c r="N2068" t="n">
        <v>0</v>
      </c>
      <c r="O2068" t="n">
        <v>0</v>
      </c>
      <c r="P2068" t="n">
        <v>0</v>
      </c>
      <c r="Q2068" t="n">
        <v>0</v>
      </c>
      <c r="R2068" s="2" t="inlineStr"/>
    </row>
    <row r="2069" ht="15" customHeight="1">
      <c r="A2069" t="inlineStr">
        <is>
          <t>A 13996-2019</t>
        </is>
      </c>
      <c r="B2069" s="1" t="n">
        <v>43532</v>
      </c>
      <c r="C2069" s="1" t="n">
        <v>45212</v>
      </c>
      <c r="D2069" t="inlineStr">
        <is>
          <t>VÄSTRA GÖTALANDS LÄN</t>
        </is>
      </c>
      <c r="E2069" t="inlineStr">
        <is>
          <t>TANUM</t>
        </is>
      </c>
      <c r="G2069" t="n">
        <v>3.6</v>
      </c>
      <c r="H2069" t="n">
        <v>0</v>
      </c>
      <c r="I2069" t="n">
        <v>0</v>
      </c>
      <c r="J2069" t="n">
        <v>0</v>
      </c>
      <c r="K2069" t="n">
        <v>0</v>
      </c>
      <c r="L2069" t="n">
        <v>0</v>
      </c>
      <c r="M2069" t="n">
        <v>0</v>
      </c>
      <c r="N2069" t="n">
        <v>0</v>
      </c>
      <c r="O2069" t="n">
        <v>0</v>
      </c>
      <c r="P2069" t="n">
        <v>0</v>
      </c>
      <c r="Q2069" t="n">
        <v>0</v>
      </c>
      <c r="R2069" s="2" t="inlineStr"/>
    </row>
    <row r="2070" ht="15" customHeight="1">
      <c r="A2070" t="inlineStr">
        <is>
          <t>A 14047-2019</t>
        </is>
      </c>
      <c r="B2070" s="1" t="n">
        <v>43532</v>
      </c>
      <c r="C2070" s="1" t="n">
        <v>45212</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14063-2019</t>
        </is>
      </c>
      <c r="B2071" s="1" t="n">
        <v>43532</v>
      </c>
      <c r="C2071" s="1" t="n">
        <v>45212</v>
      </c>
      <c r="D2071" t="inlineStr">
        <is>
          <t>VÄSTRA GÖTALANDS LÄN</t>
        </is>
      </c>
      <c r="E2071" t="inlineStr">
        <is>
          <t>GULLSPÅNG</t>
        </is>
      </c>
      <c r="G2071" t="n">
        <v>4.6</v>
      </c>
      <c r="H2071" t="n">
        <v>0</v>
      </c>
      <c r="I2071" t="n">
        <v>0</v>
      </c>
      <c r="J2071" t="n">
        <v>0</v>
      </c>
      <c r="K2071" t="n">
        <v>0</v>
      </c>
      <c r="L2071" t="n">
        <v>0</v>
      </c>
      <c r="M2071" t="n">
        <v>0</v>
      </c>
      <c r="N2071" t="n">
        <v>0</v>
      </c>
      <c r="O2071" t="n">
        <v>0</v>
      </c>
      <c r="P2071" t="n">
        <v>0</v>
      </c>
      <c r="Q2071" t="n">
        <v>0</v>
      </c>
      <c r="R2071" s="2" t="inlineStr"/>
    </row>
    <row r="2072" ht="15" customHeight="1">
      <c r="A2072" t="inlineStr">
        <is>
          <t>A 14075-2019</t>
        </is>
      </c>
      <c r="B2072" s="1" t="n">
        <v>43532</v>
      </c>
      <c r="C2072" s="1" t="n">
        <v>45212</v>
      </c>
      <c r="D2072" t="inlineStr">
        <is>
          <t>VÄSTRA GÖTALANDS LÄN</t>
        </is>
      </c>
      <c r="E2072" t="inlineStr">
        <is>
          <t>BORÅS</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14096-2019</t>
        </is>
      </c>
      <c r="B2073" s="1" t="n">
        <v>43532</v>
      </c>
      <c r="C2073" s="1" t="n">
        <v>45212</v>
      </c>
      <c r="D2073" t="inlineStr">
        <is>
          <t>VÄSTRA GÖTALANDS LÄN</t>
        </is>
      </c>
      <c r="E2073" t="inlineStr">
        <is>
          <t>MARK</t>
        </is>
      </c>
      <c r="G2073" t="n">
        <v>1.6</v>
      </c>
      <c r="H2073" t="n">
        <v>0</v>
      </c>
      <c r="I2073" t="n">
        <v>0</v>
      </c>
      <c r="J2073" t="n">
        <v>0</v>
      </c>
      <c r="K2073" t="n">
        <v>0</v>
      </c>
      <c r="L2073" t="n">
        <v>0</v>
      </c>
      <c r="M2073" t="n">
        <v>0</v>
      </c>
      <c r="N2073" t="n">
        <v>0</v>
      </c>
      <c r="O2073" t="n">
        <v>0</v>
      </c>
      <c r="P2073" t="n">
        <v>0</v>
      </c>
      <c r="Q2073" t="n">
        <v>0</v>
      </c>
      <c r="R2073" s="2" t="inlineStr"/>
    </row>
    <row r="2074" ht="15" customHeight="1">
      <c r="A2074" t="inlineStr">
        <is>
          <t>A 14124-2019</t>
        </is>
      </c>
      <c r="B2074" s="1" t="n">
        <v>43532</v>
      </c>
      <c r="C2074" s="1" t="n">
        <v>45212</v>
      </c>
      <c r="D2074" t="inlineStr">
        <is>
          <t>VÄSTRA GÖTALANDS LÄN</t>
        </is>
      </c>
      <c r="E2074" t="inlineStr">
        <is>
          <t>TROLLHÄTTAN</t>
        </is>
      </c>
      <c r="G2074" t="n">
        <v>1.9</v>
      </c>
      <c r="H2074" t="n">
        <v>0</v>
      </c>
      <c r="I2074" t="n">
        <v>0</v>
      </c>
      <c r="J2074" t="n">
        <v>0</v>
      </c>
      <c r="K2074" t="n">
        <v>0</v>
      </c>
      <c r="L2074" t="n">
        <v>0</v>
      </c>
      <c r="M2074" t="n">
        <v>0</v>
      </c>
      <c r="N2074" t="n">
        <v>0</v>
      </c>
      <c r="O2074" t="n">
        <v>0</v>
      </c>
      <c r="P2074" t="n">
        <v>0</v>
      </c>
      <c r="Q2074" t="n">
        <v>0</v>
      </c>
      <c r="R2074" s="2" t="inlineStr"/>
    </row>
    <row r="2075" ht="15" customHeight="1">
      <c r="A2075" t="inlineStr">
        <is>
          <t>A 14408-2019</t>
        </is>
      </c>
      <c r="B2075" s="1" t="n">
        <v>43532</v>
      </c>
      <c r="C2075" s="1" t="n">
        <v>45212</v>
      </c>
      <c r="D2075" t="inlineStr">
        <is>
          <t>VÄSTRA GÖTALANDS LÄN</t>
        </is>
      </c>
      <c r="E2075" t="inlineStr">
        <is>
          <t>VÄNERSBORG</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14033-2019</t>
        </is>
      </c>
      <c r="B2076" s="1" t="n">
        <v>43532</v>
      </c>
      <c r="C2076" s="1" t="n">
        <v>45212</v>
      </c>
      <c r="D2076" t="inlineStr">
        <is>
          <t>VÄSTRA GÖTALANDS LÄN</t>
        </is>
      </c>
      <c r="E2076" t="inlineStr">
        <is>
          <t>TRANEMO</t>
        </is>
      </c>
      <c r="G2076" t="n">
        <v>3</v>
      </c>
      <c r="H2076" t="n">
        <v>0</v>
      </c>
      <c r="I2076" t="n">
        <v>0</v>
      </c>
      <c r="J2076" t="n">
        <v>0</v>
      </c>
      <c r="K2076" t="n">
        <v>0</v>
      </c>
      <c r="L2076" t="n">
        <v>0</v>
      </c>
      <c r="M2076" t="n">
        <v>0</v>
      </c>
      <c r="N2076" t="n">
        <v>0</v>
      </c>
      <c r="O2076" t="n">
        <v>0</v>
      </c>
      <c r="P2076" t="n">
        <v>0</v>
      </c>
      <c r="Q2076" t="n">
        <v>0</v>
      </c>
      <c r="R2076" s="2" t="inlineStr"/>
    </row>
    <row r="2077" ht="15" customHeight="1">
      <c r="A2077" t="inlineStr">
        <is>
          <t>A 14048-2019</t>
        </is>
      </c>
      <c r="B2077" s="1" t="n">
        <v>43532</v>
      </c>
      <c r="C2077" s="1" t="n">
        <v>45212</v>
      </c>
      <c r="D2077" t="inlineStr">
        <is>
          <t>VÄSTRA GÖTALANDS LÄN</t>
        </is>
      </c>
      <c r="E2077" t="inlineStr">
        <is>
          <t>ALE</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14081-2019</t>
        </is>
      </c>
      <c r="B2078" s="1" t="n">
        <v>43532</v>
      </c>
      <c r="C2078" s="1" t="n">
        <v>45212</v>
      </c>
      <c r="D2078" t="inlineStr">
        <is>
          <t>VÄSTRA GÖTALANDS LÄN</t>
        </is>
      </c>
      <c r="E2078" t="inlineStr">
        <is>
          <t>ÅMÅL</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14112-2019</t>
        </is>
      </c>
      <c r="B2079" s="1" t="n">
        <v>43532</v>
      </c>
      <c r="C2079" s="1" t="n">
        <v>45212</v>
      </c>
      <c r="D2079" t="inlineStr">
        <is>
          <t>VÄSTRA GÖTALANDS LÄN</t>
        </is>
      </c>
      <c r="E2079" t="inlineStr">
        <is>
          <t>LIDKÖPING</t>
        </is>
      </c>
      <c r="G2079" t="n">
        <v>2.8</v>
      </c>
      <c r="H2079" t="n">
        <v>0</v>
      </c>
      <c r="I2079" t="n">
        <v>0</v>
      </c>
      <c r="J2079" t="n">
        <v>0</v>
      </c>
      <c r="K2079" t="n">
        <v>0</v>
      </c>
      <c r="L2079" t="n">
        <v>0</v>
      </c>
      <c r="M2079" t="n">
        <v>0</v>
      </c>
      <c r="N2079" t="n">
        <v>0</v>
      </c>
      <c r="O2079" t="n">
        <v>0</v>
      </c>
      <c r="P2079" t="n">
        <v>0</v>
      </c>
      <c r="Q2079" t="n">
        <v>0</v>
      </c>
      <c r="R2079" s="2" t="inlineStr"/>
    </row>
    <row r="2080" ht="15" customHeight="1">
      <c r="A2080" t="inlineStr">
        <is>
          <t>A 14125-2019</t>
        </is>
      </c>
      <c r="B2080" s="1" t="n">
        <v>43532</v>
      </c>
      <c r="C2080" s="1" t="n">
        <v>45212</v>
      </c>
      <c r="D2080" t="inlineStr">
        <is>
          <t>VÄSTRA GÖTALANDS LÄN</t>
        </is>
      </c>
      <c r="E2080" t="inlineStr">
        <is>
          <t>STRÖMSTAD</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14425-2019</t>
        </is>
      </c>
      <c r="B2081" s="1" t="n">
        <v>43532</v>
      </c>
      <c r="C2081" s="1" t="n">
        <v>45212</v>
      </c>
      <c r="D2081" t="inlineStr">
        <is>
          <t>VÄSTRA GÖTALANDS LÄN</t>
        </is>
      </c>
      <c r="E2081" t="inlineStr">
        <is>
          <t>TÖREBODA</t>
        </is>
      </c>
      <c r="G2081" t="n">
        <v>1</v>
      </c>
      <c r="H2081" t="n">
        <v>0</v>
      </c>
      <c r="I2081" t="n">
        <v>0</v>
      </c>
      <c r="J2081" t="n">
        <v>0</v>
      </c>
      <c r="K2081" t="n">
        <v>0</v>
      </c>
      <c r="L2081" t="n">
        <v>0</v>
      </c>
      <c r="M2081" t="n">
        <v>0</v>
      </c>
      <c r="N2081" t="n">
        <v>0</v>
      </c>
      <c r="O2081" t="n">
        <v>0</v>
      </c>
      <c r="P2081" t="n">
        <v>0</v>
      </c>
      <c r="Q2081" t="n">
        <v>0</v>
      </c>
      <c r="R2081" s="2" t="inlineStr"/>
    </row>
    <row r="2082" ht="15" customHeight="1">
      <c r="A2082" t="inlineStr">
        <is>
          <t>A 13948-2019</t>
        </is>
      </c>
      <c r="B2082" s="1" t="n">
        <v>43532</v>
      </c>
      <c r="C2082" s="1" t="n">
        <v>45212</v>
      </c>
      <c r="D2082" t="inlineStr">
        <is>
          <t>VÄSTRA GÖTALANDS LÄN</t>
        </is>
      </c>
      <c r="E2082" t="inlineStr">
        <is>
          <t>LIDKÖPING</t>
        </is>
      </c>
      <c r="F2082" t="inlineStr">
        <is>
          <t>Övriga statliga verk och myndigheter</t>
        </is>
      </c>
      <c r="G2082" t="n">
        <v>2.1</v>
      </c>
      <c r="H2082" t="n">
        <v>0</v>
      </c>
      <c r="I2082" t="n">
        <v>0</v>
      </c>
      <c r="J2082" t="n">
        <v>0</v>
      </c>
      <c r="K2082" t="n">
        <v>0</v>
      </c>
      <c r="L2082" t="n">
        <v>0</v>
      </c>
      <c r="M2082" t="n">
        <v>0</v>
      </c>
      <c r="N2082" t="n">
        <v>0</v>
      </c>
      <c r="O2082" t="n">
        <v>0</v>
      </c>
      <c r="P2082" t="n">
        <v>0</v>
      </c>
      <c r="Q2082" t="n">
        <v>0</v>
      </c>
      <c r="R2082" s="2" t="inlineStr"/>
    </row>
    <row r="2083" ht="15" customHeight="1">
      <c r="A2083" t="inlineStr">
        <is>
          <t>A 13988-2019</t>
        </is>
      </c>
      <c r="B2083" s="1" t="n">
        <v>43532</v>
      </c>
      <c r="C2083" s="1" t="n">
        <v>45212</v>
      </c>
      <c r="D2083" t="inlineStr">
        <is>
          <t>VÄSTRA GÖTALANDS LÄN</t>
        </is>
      </c>
      <c r="E2083" t="inlineStr">
        <is>
          <t>GULLSPÅNG</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14072-2019</t>
        </is>
      </c>
      <c r="B2084" s="1" t="n">
        <v>43532</v>
      </c>
      <c r="C2084" s="1" t="n">
        <v>45212</v>
      </c>
      <c r="D2084" t="inlineStr">
        <is>
          <t>VÄSTRA GÖTALANDS LÄN</t>
        </is>
      </c>
      <c r="E2084" t="inlineStr">
        <is>
          <t>BORÅS</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14114-2019</t>
        </is>
      </c>
      <c r="B2085" s="1" t="n">
        <v>43532</v>
      </c>
      <c r="C2085" s="1" t="n">
        <v>45212</v>
      </c>
      <c r="D2085" t="inlineStr">
        <is>
          <t>VÄSTRA GÖTALANDS LÄN</t>
        </is>
      </c>
      <c r="E2085" t="inlineStr">
        <is>
          <t>ULRICEHAMN</t>
        </is>
      </c>
      <c r="G2085" t="n">
        <v>1.6</v>
      </c>
      <c r="H2085" t="n">
        <v>0</v>
      </c>
      <c r="I2085" t="n">
        <v>0</v>
      </c>
      <c r="J2085" t="n">
        <v>0</v>
      </c>
      <c r="K2085" t="n">
        <v>0</v>
      </c>
      <c r="L2085" t="n">
        <v>0</v>
      </c>
      <c r="M2085" t="n">
        <v>0</v>
      </c>
      <c r="N2085" t="n">
        <v>0</v>
      </c>
      <c r="O2085" t="n">
        <v>0</v>
      </c>
      <c r="P2085" t="n">
        <v>0</v>
      </c>
      <c r="Q2085" t="n">
        <v>0</v>
      </c>
      <c r="R2085" s="2" t="inlineStr"/>
    </row>
    <row r="2086" ht="15" customHeight="1">
      <c r="A2086" t="inlineStr">
        <is>
          <t>A 14024-2019</t>
        </is>
      </c>
      <c r="B2086" s="1" t="n">
        <v>43532</v>
      </c>
      <c r="C2086" s="1" t="n">
        <v>45212</v>
      </c>
      <c r="D2086" t="inlineStr">
        <is>
          <t>VÄSTRA GÖTALANDS LÄN</t>
        </is>
      </c>
      <c r="E2086" t="inlineStr">
        <is>
          <t>FÄRGELANDA</t>
        </is>
      </c>
      <c r="G2086" t="n">
        <v>1.5</v>
      </c>
      <c r="H2086" t="n">
        <v>0</v>
      </c>
      <c r="I2086" t="n">
        <v>0</v>
      </c>
      <c r="J2086" t="n">
        <v>0</v>
      </c>
      <c r="K2086" t="n">
        <v>0</v>
      </c>
      <c r="L2086" t="n">
        <v>0</v>
      </c>
      <c r="M2086" t="n">
        <v>0</v>
      </c>
      <c r="N2086" t="n">
        <v>0</v>
      </c>
      <c r="O2086" t="n">
        <v>0</v>
      </c>
      <c r="P2086" t="n">
        <v>0</v>
      </c>
      <c r="Q2086" t="n">
        <v>0</v>
      </c>
      <c r="R2086" s="2" t="inlineStr"/>
    </row>
    <row r="2087" ht="15" customHeight="1">
      <c r="A2087" t="inlineStr">
        <is>
          <t>A 14131-2019</t>
        </is>
      </c>
      <c r="B2087" s="1" t="n">
        <v>43532</v>
      </c>
      <c r="C2087" s="1" t="n">
        <v>45212</v>
      </c>
      <c r="D2087" t="inlineStr">
        <is>
          <t>VÄSTRA GÖTALANDS LÄN</t>
        </is>
      </c>
      <c r="E2087" t="inlineStr">
        <is>
          <t>VARA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14436-2019</t>
        </is>
      </c>
      <c r="B2088" s="1" t="n">
        <v>43532</v>
      </c>
      <c r="C2088" s="1" t="n">
        <v>45212</v>
      </c>
      <c r="D2088" t="inlineStr">
        <is>
          <t>VÄSTRA GÖTALANDS LÄN</t>
        </is>
      </c>
      <c r="E2088" t="inlineStr">
        <is>
          <t>SKÖVDE</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14508-2019</t>
        </is>
      </c>
      <c r="B2089" s="1" t="n">
        <v>43533</v>
      </c>
      <c r="C2089" s="1" t="n">
        <v>45212</v>
      </c>
      <c r="D2089" t="inlineStr">
        <is>
          <t>VÄSTRA GÖTALANDS LÄN</t>
        </is>
      </c>
      <c r="E2089" t="inlineStr">
        <is>
          <t>LIDKÖPING</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14509-2019</t>
        </is>
      </c>
      <c r="B2090" s="1" t="n">
        <v>43533</v>
      </c>
      <c r="C2090" s="1" t="n">
        <v>45212</v>
      </c>
      <c r="D2090" t="inlineStr">
        <is>
          <t>VÄSTRA GÖTALANDS LÄN</t>
        </is>
      </c>
      <c r="E2090" t="inlineStr">
        <is>
          <t>LIDKÖPING</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14499-2019</t>
        </is>
      </c>
      <c r="B2091" s="1" t="n">
        <v>43533</v>
      </c>
      <c r="C2091" s="1" t="n">
        <v>45212</v>
      </c>
      <c r="D2091" t="inlineStr">
        <is>
          <t>VÄSTRA GÖTALANDS LÄN</t>
        </is>
      </c>
      <c r="E2091" t="inlineStr">
        <is>
          <t>LIDKÖPING</t>
        </is>
      </c>
      <c r="G2091" t="n">
        <v>3.2</v>
      </c>
      <c r="H2091" t="n">
        <v>0</v>
      </c>
      <c r="I2091" t="n">
        <v>0</v>
      </c>
      <c r="J2091" t="n">
        <v>0</v>
      </c>
      <c r="K2091" t="n">
        <v>0</v>
      </c>
      <c r="L2091" t="n">
        <v>0</v>
      </c>
      <c r="M2091" t="n">
        <v>0</v>
      </c>
      <c r="N2091" t="n">
        <v>0</v>
      </c>
      <c r="O2091" t="n">
        <v>0</v>
      </c>
      <c r="P2091" t="n">
        <v>0</v>
      </c>
      <c r="Q2091" t="n">
        <v>0</v>
      </c>
      <c r="R2091" s="2" t="inlineStr"/>
    </row>
    <row r="2092" ht="15" customHeight="1">
      <c r="A2092" t="inlineStr">
        <is>
          <t>A 14506-2019</t>
        </is>
      </c>
      <c r="B2092" s="1" t="n">
        <v>43533</v>
      </c>
      <c r="C2092" s="1" t="n">
        <v>45212</v>
      </c>
      <c r="D2092" t="inlineStr">
        <is>
          <t>VÄSTRA GÖTALANDS LÄN</t>
        </is>
      </c>
      <c r="E2092" t="inlineStr">
        <is>
          <t>LIDKÖPING</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14195-2019</t>
        </is>
      </c>
      <c r="B2093" s="1" t="n">
        <v>43534</v>
      </c>
      <c r="C2093" s="1" t="n">
        <v>45212</v>
      </c>
      <c r="D2093" t="inlineStr">
        <is>
          <t>VÄSTRA GÖTALANDS LÄN</t>
        </is>
      </c>
      <c r="E2093" t="inlineStr">
        <is>
          <t>BENGTSFORS</t>
        </is>
      </c>
      <c r="G2093" t="n">
        <v>1.8</v>
      </c>
      <c r="H2093" t="n">
        <v>0</v>
      </c>
      <c r="I2093" t="n">
        <v>0</v>
      </c>
      <c r="J2093" t="n">
        <v>0</v>
      </c>
      <c r="K2093" t="n">
        <v>0</v>
      </c>
      <c r="L2093" t="n">
        <v>0</v>
      </c>
      <c r="M2093" t="n">
        <v>0</v>
      </c>
      <c r="N2093" t="n">
        <v>0</v>
      </c>
      <c r="O2093" t="n">
        <v>0</v>
      </c>
      <c r="P2093" t="n">
        <v>0</v>
      </c>
      <c r="Q2093" t="n">
        <v>0</v>
      </c>
      <c r="R2093" s="2" t="inlineStr"/>
    </row>
    <row r="2094" ht="15" customHeight="1">
      <c r="A2094" t="inlineStr">
        <is>
          <t>A 14193-2019</t>
        </is>
      </c>
      <c r="B2094" s="1" t="n">
        <v>43534</v>
      </c>
      <c r="C2094" s="1" t="n">
        <v>45212</v>
      </c>
      <c r="D2094" t="inlineStr">
        <is>
          <t>VÄSTRA GÖTALANDS LÄN</t>
        </is>
      </c>
      <c r="E2094" t="inlineStr">
        <is>
          <t>ÅMÅL</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14283-2019</t>
        </is>
      </c>
      <c r="B2095" s="1" t="n">
        <v>43535</v>
      </c>
      <c r="C2095" s="1" t="n">
        <v>45212</v>
      </c>
      <c r="D2095" t="inlineStr">
        <is>
          <t>VÄSTRA GÖTALANDS LÄN</t>
        </is>
      </c>
      <c r="E2095" t="inlineStr">
        <is>
          <t>LIDKÖPING</t>
        </is>
      </c>
      <c r="G2095" t="n">
        <v>0.6</v>
      </c>
      <c r="H2095" t="n">
        <v>0</v>
      </c>
      <c r="I2095" t="n">
        <v>0</v>
      </c>
      <c r="J2095" t="n">
        <v>0</v>
      </c>
      <c r="K2095" t="n">
        <v>0</v>
      </c>
      <c r="L2095" t="n">
        <v>0</v>
      </c>
      <c r="M2095" t="n">
        <v>0</v>
      </c>
      <c r="N2095" t="n">
        <v>0</v>
      </c>
      <c r="O2095" t="n">
        <v>0</v>
      </c>
      <c r="P2095" t="n">
        <v>0</v>
      </c>
      <c r="Q2095" t="n">
        <v>0</v>
      </c>
      <c r="R2095" s="2" t="inlineStr"/>
    </row>
    <row r="2096" ht="15" customHeight="1">
      <c r="A2096" t="inlineStr">
        <is>
          <t>A 14289-2019</t>
        </is>
      </c>
      <c r="B2096" s="1" t="n">
        <v>43535</v>
      </c>
      <c r="C2096" s="1" t="n">
        <v>45212</v>
      </c>
      <c r="D2096" t="inlineStr">
        <is>
          <t>VÄSTRA GÖTALANDS LÄN</t>
        </is>
      </c>
      <c r="E2096" t="inlineStr">
        <is>
          <t>LIDKÖPING</t>
        </is>
      </c>
      <c r="G2096" t="n">
        <v>2</v>
      </c>
      <c r="H2096" t="n">
        <v>0</v>
      </c>
      <c r="I2096" t="n">
        <v>0</v>
      </c>
      <c r="J2096" t="n">
        <v>0</v>
      </c>
      <c r="K2096" t="n">
        <v>0</v>
      </c>
      <c r="L2096" t="n">
        <v>0</v>
      </c>
      <c r="M2096" t="n">
        <v>0</v>
      </c>
      <c r="N2096" t="n">
        <v>0</v>
      </c>
      <c r="O2096" t="n">
        <v>0</v>
      </c>
      <c r="P2096" t="n">
        <v>0</v>
      </c>
      <c r="Q2096" t="n">
        <v>0</v>
      </c>
      <c r="R2096" s="2" t="inlineStr"/>
    </row>
    <row r="2097" ht="15" customHeight="1">
      <c r="A2097" t="inlineStr">
        <is>
          <t>A 14705-2019</t>
        </is>
      </c>
      <c r="B2097" s="1" t="n">
        <v>43535</v>
      </c>
      <c r="C2097" s="1" t="n">
        <v>45212</v>
      </c>
      <c r="D2097" t="inlineStr">
        <is>
          <t>VÄSTRA GÖTALANDS LÄN</t>
        </is>
      </c>
      <c r="E2097" t="inlineStr">
        <is>
          <t>VÄNERSBORG</t>
        </is>
      </c>
      <c r="G2097" t="n">
        <v>2.9</v>
      </c>
      <c r="H2097" t="n">
        <v>0</v>
      </c>
      <c r="I2097" t="n">
        <v>0</v>
      </c>
      <c r="J2097" t="n">
        <v>0</v>
      </c>
      <c r="K2097" t="n">
        <v>0</v>
      </c>
      <c r="L2097" t="n">
        <v>0</v>
      </c>
      <c r="M2097" t="n">
        <v>0</v>
      </c>
      <c r="N2097" t="n">
        <v>0</v>
      </c>
      <c r="O2097" t="n">
        <v>0</v>
      </c>
      <c r="P2097" t="n">
        <v>0</v>
      </c>
      <c r="Q2097" t="n">
        <v>0</v>
      </c>
      <c r="R2097" s="2" t="inlineStr"/>
    </row>
    <row r="2098" ht="15" customHeight="1">
      <c r="A2098" t="inlineStr">
        <is>
          <t>A 14713-2019</t>
        </is>
      </c>
      <c r="B2098" s="1" t="n">
        <v>43535</v>
      </c>
      <c r="C2098" s="1" t="n">
        <v>45212</v>
      </c>
      <c r="D2098" t="inlineStr">
        <is>
          <t>VÄSTRA GÖTALANDS LÄN</t>
        </is>
      </c>
      <c r="E2098" t="inlineStr">
        <is>
          <t>MARK</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14267-2019</t>
        </is>
      </c>
      <c r="B2099" s="1" t="n">
        <v>43535</v>
      </c>
      <c r="C2099" s="1" t="n">
        <v>45212</v>
      </c>
      <c r="D2099" t="inlineStr">
        <is>
          <t>VÄSTRA GÖTALANDS LÄN</t>
        </is>
      </c>
      <c r="E2099" t="inlineStr">
        <is>
          <t>GULLSPÅNG</t>
        </is>
      </c>
      <c r="G2099" t="n">
        <v>3.8</v>
      </c>
      <c r="H2099" t="n">
        <v>0</v>
      </c>
      <c r="I2099" t="n">
        <v>0</v>
      </c>
      <c r="J2099" t="n">
        <v>0</v>
      </c>
      <c r="K2099" t="n">
        <v>0</v>
      </c>
      <c r="L2099" t="n">
        <v>0</v>
      </c>
      <c r="M2099" t="n">
        <v>0</v>
      </c>
      <c r="N2099" t="n">
        <v>0</v>
      </c>
      <c r="O2099" t="n">
        <v>0</v>
      </c>
      <c r="P2099" t="n">
        <v>0</v>
      </c>
      <c r="Q2099" t="n">
        <v>0</v>
      </c>
      <c r="R2099" s="2" t="inlineStr"/>
    </row>
    <row r="2100" ht="15" customHeight="1">
      <c r="A2100" t="inlineStr">
        <is>
          <t>A 14322-2019</t>
        </is>
      </c>
      <c r="B2100" s="1" t="n">
        <v>43535</v>
      </c>
      <c r="C2100" s="1" t="n">
        <v>45212</v>
      </c>
      <c r="D2100" t="inlineStr">
        <is>
          <t>VÄSTRA GÖTALANDS LÄN</t>
        </is>
      </c>
      <c r="E2100" t="inlineStr">
        <is>
          <t>MARK</t>
        </is>
      </c>
      <c r="G2100" t="n">
        <v>4.8</v>
      </c>
      <c r="H2100" t="n">
        <v>0</v>
      </c>
      <c r="I2100" t="n">
        <v>0</v>
      </c>
      <c r="J2100" t="n">
        <v>0</v>
      </c>
      <c r="K2100" t="n">
        <v>0</v>
      </c>
      <c r="L2100" t="n">
        <v>0</v>
      </c>
      <c r="M2100" t="n">
        <v>0</v>
      </c>
      <c r="N2100" t="n">
        <v>0</v>
      </c>
      <c r="O2100" t="n">
        <v>0</v>
      </c>
      <c r="P2100" t="n">
        <v>0</v>
      </c>
      <c r="Q2100" t="n">
        <v>0</v>
      </c>
      <c r="R2100" s="2" t="inlineStr"/>
    </row>
    <row r="2101" ht="15" customHeight="1">
      <c r="A2101" t="inlineStr">
        <is>
          <t>A 14706-2019</t>
        </is>
      </c>
      <c r="B2101" s="1" t="n">
        <v>43535</v>
      </c>
      <c r="C2101" s="1" t="n">
        <v>45212</v>
      </c>
      <c r="D2101" t="inlineStr">
        <is>
          <t>VÄSTRA GÖTALANDS LÄN</t>
        </is>
      </c>
      <c r="E2101" t="inlineStr">
        <is>
          <t>VÄNERSBORG</t>
        </is>
      </c>
      <c r="G2101" t="n">
        <v>9.1</v>
      </c>
      <c r="H2101" t="n">
        <v>0</v>
      </c>
      <c r="I2101" t="n">
        <v>0</v>
      </c>
      <c r="J2101" t="n">
        <v>0</v>
      </c>
      <c r="K2101" t="n">
        <v>0</v>
      </c>
      <c r="L2101" t="n">
        <v>0</v>
      </c>
      <c r="M2101" t="n">
        <v>0</v>
      </c>
      <c r="N2101" t="n">
        <v>0</v>
      </c>
      <c r="O2101" t="n">
        <v>0</v>
      </c>
      <c r="P2101" t="n">
        <v>0</v>
      </c>
      <c r="Q2101" t="n">
        <v>0</v>
      </c>
      <c r="R2101" s="2" t="inlineStr"/>
    </row>
    <row r="2102" ht="15" customHeight="1">
      <c r="A2102" t="inlineStr">
        <is>
          <t>A 14248-2019</t>
        </is>
      </c>
      <c r="B2102" s="1" t="n">
        <v>43535</v>
      </c>
      <c r="C2102" s="1" t="n">
        <v>45212</v>
      </c>
      <c r="D2102" t="inlineStr">
        <is>
          <t>VÄSTRA GÖTALANDS LÄN</t>
        </is>
      </c>
      <c r="E2102" t="inlineStr">
        <is>
          <t>ESSUNGA</t>
        </is>
      </c>
      <c r="G2102" t="n">
        <v>0.5</v>
      </c>
      <c r="H2102" t="n">
        <v>0</v>
      </c>
      <c r="I2102" t="n">
        <v>0</v>
      </c>
      <c r="J2102" t="n">
        <v>0</v>
      </c>
      <c r="K2102" t="n">
        <v>0</v>
      </c>
      <c r="L2102" t="n">
        <v>0</v>
      </c>
      <c r="M2102" t="n">
        <v>0</v>
      </c>
      <c r="N2102" t="n">
        <v>0</v>
      </c>
      <c r="O2102" t="n">
        <v>0</v>
      </c>
      <c r="P2102" t="n">
        <v>0</v>
      </c>
      <c r="Q2102" t="n">
        <v>0</v>
      </c>
      <c r="R2102" s="2" t="inlineStr"/>
    </row>
    <row r="2103" ht="15" customHeight="1">
      <c r="A2103" t="inlineStr">
        <is>
          <t>A 14282-2019</t>
        </is>
      </c>
      <c r="B2103" s="1" t="n">
        <v>43535</v>
      </c>
      <c r="C2103" s="1" t="n">
        <v>45212</v>
      </c>
      <c r="D2103" t="inlineStr">
        <is>
          <t>VÄSTRA GÖTALANDS LÄN</t>
        </is>
      </c>
      <c r="E2103" t="inlineStr">
        <is>
          <t>FÄRGELANDA</t>
        </is>
      </c>
      <c r="F2103" t="inlineStr">
        <is>
          <t>Kommuner</t>
        </is>
      </c>
      <c r="G2103" t="n">
        <v>1.3</v>
      </c>
      <c r="H2103" t="n">
        <v>0</v>
      </c>
      <c r="I2103" t="n">
        <v>0</v>
      </c>
      <c r="J2103" t="n">
        <v>0</v>
      </c>
      <c r="K2103" t="n">
        <v>0</v>
      </c>
      <c r="L2103" t="n">
        <v>0</v>
      </c>
      <c r="M2103" t="n">
        <v>0</v>
      </c>
      <c r="N2103" t="n">
        <v>0</v>
      </c>
      <c r="O2103" t="n">
        <v>0</v>
      </c>
      <c r="P2103" t="n">
        <v>0</v>
      </c>
      <c r="Q2103" t="n">
        <v>0</v>
      </c>
      <c r="R2103" s="2" t="inlineStr"/>
    </row>
    <row r="2104" ht="15" customHeight="1">
      <c r="A2104" t="inlineStr">
        <is>
          <t>A 14320-2019</t>
        </is>
      </c>
      <c r="B2104" s="1" t="n">
        <v>43535</v>
      </c>
      <c r="C2104" s="1" t="n">
        <v>45212</v>
      </c>
      <c r="D2104" t="inlineStr">
        <is>
          <t>VÄSTRA GÖTALANDS LÄN</t>
        </is>
      </c>
      <c r="E2104" t="inlineStr">
        <is>
          <t>VARA</t>
        </is>
      </c>
      <c r="G2104" t="n">
        <v>1.7</v>
      </c>
      <c r="H2104" t="n">
        <v>0</v>
      </c>
      <c r="I2104" t="n">
        <v>0</v>
      </c>
      <c r="J2104" t="n">
        <v>0</v>
      </c>
      <c r="K2104" t="n">
        <v>0</v>
      </c>
      <c r="L2104" t="n">
        <v>0</v>
      </c>
      <c r="M2104" t="n">
        <v>0</v>
      </c>
      <c r="N2104" t="n">
        <v>0</v>
      </c>
      <c r="O2104" t="n">
        <v>0</v>
      </c>
      <c r="P2104" t="n">
        <v>0</v>
      </c>
      <c r="Q2104" t="n">
        <v>0</v>
      </c>
      <c r="R2104" s="2" t="inlineStr"/>
    </row>
    <row r="2105" ht="15" customHeight="1">
      <c r="A2105" t="inlineStr">
        <is>
          <t>A 14324-2019</t>
        </is>
      </c>
      <c r="B2105" s="1" t="n">
        <v>43535</v>
      </c>
      <c r="C2105" s="1" t="n">
        <v>45212</v>
      </c>
      <c r="D2105" t="inlineStr">
        <is>
          <t>VÄSTRA GÖTALANDS LÄN</t>
        </is>
      </c>
      <c r="E2105" t="inlineStr">
        <is>
          <t>MELLERUD</t>
        </is>
      </c>
      <c r="G2105" t="n">
        <v>1</v>
      </c>
      <c r="H2105" t="n">
        <v>0</v>
      </c>
      <c r="I2105" t="n">
        <v>0</v>
      </c>
      <c r="J2105" t="n">
        <v>0</v>
      </c>
      <c r="K2105" t="n">
        <v>0</v>
      </c>
      <c r="L2105" t="n">
        <v>0</v>
      </c>
      <c r="M2105" t="n">
        <v>0</v>
      </c>
      <c r="N2105" t="n">
        <v>0</v>
      </c>
      <c r="O2105" t="n">
        <v>0</v>
      </c>
      <c r="P2105" t="n">
        <v>0</v>
      </c>
      <c r="Q2105" t="n">
        <v>0</v>
      </c>
      <c r="R2105" s="2" t="inlineStr"/>
    </row>
    <row r="2106" ht="15" customHeight="1">
      <c r="A2106" t="inlineStr">
        <is>
          <t>A 14243-2019</t>
        </is>
      </c>
      <c r="B2106" s="1" t="n">
        <v>43535</v>
      </c>
      <c r="C2106" s="1" t="n">
        <v>45212</v>
      </c>
      <c r="D2106" t="inlineStr">
        <is>
          <t>VÄSTRA GÖTALANDS LÄN</t>
        </is>
      </c>
      <c r="E2106" t="inlineStr">
        <is>
          <t>MUNKEDAL</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14281-2019</t>
        </is>
      </c>
      <c r="B2107" s="1" t="n">
        <v>43535</v>
      </c>
      <c r="C2107" s="1" t="n">
        <v>45212</v>
      </c>
      <c r="D2107" t="inlineStr">
        <is>
          <t>VÄSTRA GÖTALANDS LÄN</t>
        </is>
      </c>
      <c r="E2107" t="inlineStr">
        <is>
          <t>LIDKÖPING</t>
        </is>
      </c>
      <c r="G2107" t="n">
        <v>7.6</v>
      </c>
      <c r="H2107" t="n">
        <v>0</v>
      </c>
      <c r="I2107" t="n">
        <v>0</v>
      </c>
      <c r="J2107" t="n">
        <v>0</v>
      </c>
      <c r="K2107" t="n">
        <v>0</v>
      </c>
      <c r="L2107" t="n">
        <v>0</v>
      </c>
      <c r="M2107" t="n">
        <v>0</v>
      </c>
      <c r="N2107" t="n">
        <v>0</v>
      </c>
      <c r="O2107" t="n">
        <v>0</v>
      </c>
      <c r="P2107" t="n">
        <v>0</v>
      </c>
      <c r="Q2107" t="n">
        <v>0</v>
      </c>
      <c r="R2107" s="2" t="inlineStr"/>
    </row>
    <row r="2108" ht="15" customHeight="1">
      <c r="A2108" t="inlineStr">
        <is>
          <t>A 14328-2019</t>
        </is>
      </c>
      <c r="B2108" s="1" t="n">
        <v>43535</v>
      </c>
      <c r="C2108" s="1" t="n">
        <v>45212</v>
      </c>
      <c r="D2108" t="inlineStr">
        <is>
          <t>VÄSTRA GÖTALANDS LÄN</t>
        </is>
      </c>
      <c r="E2108" t="inlineStr">
        <is>
          <t>STRÖMSTAD</t>
        </is>
      </c>
      <c r="F2108" t="inlineStr">
        <is>
          <t>Kyrkan</t>
        </is>
      </c>
      <c r="G2108" t="n">
        <v>25.9</v>
      </c>
      <c r="H2108" t="n">
        <v>0</v>
      </c>
      <c r="I2108" t="n">
        <v>0</v>
      </c>
      <c r="J2108" t="n">
        <v>0</v>
      </c>
      <c r="K2108" t="n">
        <v>0</v>
      </c>
      <c r="L2108" t="n">
        <v>0</v>
      </c>
      <c r="M2108" t="n">
        <v>0</v>
      </c>
      <c r="N2108" t="n">
        <v>0</v>
      </c>
      <c r="O2108" t="n">
        <v>0</v>
      </c>
      <c r="P2108" t="n">
        <v>0</v>
      </c>
      <c r="Q2108" t="n">
        <v>0</v>
      </c>
      <c r="R2108" s="2" t="inlineStr"/>
    </row>
    <row r="2109" ht="15" customHeight="1">
      <c r="A2109" t="inlineStr">
        <is>
          <t>A 14335-2019</t>
        </is>
      </c>
      <c r="B2109" s="1" t="n">
        <v>43535</v>
      </c>
      <c r="C2109" s="1" t="n">
        <v>45212</v>
      </c>
      <c r="D2109" t="inlineStr">
        <is>
          <t>VÄSTRA GÖTALANDS LÄN</t>
        </is>
      </c>
      <c r="E2109" t="inlineStr">
        <is>
          <t>ALE</t>
        </is>
      </c>
      <c r="G2109" t="n">
        <v>5.8</v>
      </c>
      <c r="H2109" t="n">
        <v>0</v>
      </c>
      <c r="I2109" t="n">
        <v>0</v>
      </c>
      <c r="J2109" t="n">
        <v>0</v>
      </c>
      <c r="K2109" t="n">
        <v>0</v>
      </c>
      <c r="L2109" t="n">
        <v>0</v>
      </c>
      <c r="M2109" t="n">
        <v>0</v>
      </c>
      <c r="N2109" t="n">
        <v>0</v>
      </c>
      <c r="O2109" t="n">
        <v>0</v>
      </c>
      <c r="P2109" t="n">
        <v>0</v>
      </c>
      <c r="Q2109" t="n">
        <v>0</v>
      </c>
      <c r="R2109" s="2" t="inlineStr"/>
    </row>
    <row r="2110" ht="15" customHeight="1">
      <c r="A2110" t="inlineStr">
        <is>
          <t>A 14235-2019</t>
        </is>
      </c>
      <c r="B2110" s="1" t="n">
        <v>43536</v>
      </c>
      <c r="C2110" s="1" t="n">
        <v>45212</v>
      </c>
      <c r="D2110" t="inlineStr">
        <is>
          <t>VÄSTRA GÖTALANDS LÄN</t>
        </is>
      </c>
      <c r="E2110" t="inlineStr">
        <is>
          <t>TANUM</t>
        </is>
      </c>
      <c r="G2110" t="n">
        <v>3.7</v>
      </c>
      <c r="H2110" t="n">
        <v>0</v>
      </c>
      <c r="I2110" t="n">
        <v>0</v>
      </c>
      <c r="J2110" t="n">
        <v>0</v>
      </c>
      <c r="K2110" t="n">
        <v>0</v>
      </c>
      <c r="L2110" t="n">
        <v>0</v>
      </c>
      <c r="M2110" t="n">
        <v>0</v>
      </c>
      <c r="N2110" t="n">
        <v>0</v>
      </c>
      <c r="O2110" t="n">
        <v>0</v>
      </c>
      <c r="P2110" t="n">
        <v>0</v>
      </c>
      <c r="Q2110" t="n">
        <v>0</v>
      </c>
      <c r="R2110" s="2" t="inlineStr"/>
    </row>
    <row r="2111" ht="15" customHeight="1">
      <c r="A2111" t="inlineStr">
        <is>
          <t>A 14593-2019</t>
        </is>
      </c>
      <c r="B2111" s="1" t="n">
        <v>43536</v>
      </c>
      <c r="C2111" s="1" t="n">
        <v>45212</v>
      </c>
      <c r="D2111" t="inlineStr">
        <is>
          <t>VÄSTRA GÖTALANDS LÄN</t>
        </is>
      </c>
      <c r="E2111" t="inlineStr">
        <is>
          <t>TÖREBODA</t>
        </is>
      </c>
      <c r="G2111" t="n">
        <v>11.9</v>
      </c>
      <c r="H2111" t="n">
        <v>0</v>
      </c>
      <c r="I2111" t="n">
        <v>0</v>
      </c>
      <c r="J2111" t="n">
        <v>0</v>
      </c>
      <c r="K2111" t="n">
        <v>0</v>
      </c>
      <c r="L2111" t="n">
        <v>0</v>
      </c>
      <c r="M2111" t="n">
        <v>0</v>
      </c>
      <c r="N2111" t="n">
        <v>0</v>
      </c>
      <c r="O2111" t="n">
        <v>0</v>
      </c>
      <c r="P2111" t="n">
        <v>0</v>
      </c>
      <c r="Q2111" t="n">
        <v>0</v>
      </c>
      <c r="R2111" s="2" t="inlineStr"/>
    </row>
    <row r="2112" ht="15" customHeight="1">
      <c r="A2112" t="inlineStr">
        <is>
          <t>A 14363-2019</t>
        </is>
      </c>
      <c r="B2112" s="1" t="n">
        <v>43536</v>
      </c>
      <c r="C2112" s="1" t="n">
        <v>45212</v>
      </c>
      <c r="D2112" t="inlineStr">
        <is>
          <t>VÄSTRA GÖTALANDS LÄN</t>
        </is>
      </c>
      <c r="E2112" t="inlineStr">
        <is>
          <t>UDDEVALLA</t>
        </is>
      </c>
      <c r="G2112" t="n">
        <v>33.3</v>
      </c>
      <c r="H2112" t="n">
        <v>0</v>
      </c>
      <c r="I2112" t="n">
        <v>0</v>
      </c>
      <c r="J2112" t="n">
        <v>0</v>
      </c>
      <c r="K2112" t="n">
        <v>0</v>
      </c>
      <c r="L2112" t="n">
        <v>0</v>
      </c>
      <c r="M2112" t="n">
        <v>0</v>
      </c>
      <c r="N2112" t="n">
        <v>0</v>
      </c>
      <c r="O2112" t="n">
        <v>0</v>
      </c>
      <c r="P2112" t="n">
        <v>0</v>
      </c>
      <c r="Q2112" t="n">
        <v>0</v>
      </c>
      <c r="R2112" s="2" t="inlineStr"/>
    </row>
    <row r="2113" ht="15" customHeight="1">
      <c r="A2113" t="inlineStr">
        <is>
          <t>A 14589-2019</t>
        </is>
      </c>
      <c r="B2113" s="1" t="n">
        <v>43536</v>
      </c>
      <c r="C2113" s="1" t="n">
        <v>45212</v>
      </c>
      <c r="D2113" t="inlineStr">
        <is>
          <t>VÄSTRA GÖTALANDS LÄN</t>
        </is>
      </c>
      <c r="E2113" t="inlineStr">
        <is>
          <t>TÖREBODA</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14763-2019</t>
        </is>
      </c>
      <c r="B2114" s="1" t="n">
        <v>43536</v>
      </c>
      <c r="C2114" s="1" t="n">
        <v>45212</v>
      </c>
      <c r="D2114" t="inlineStr">
        <is>
          <t>VÄSTRA GÖTALANDS LÄN</t>
        </is>
      </c>
      <c r="E2114" t="inlineStr">
        <is>
          <t>DALS-ED</t>
        </is>
      </c>
      <c r="G2114" t="n">
        <v>2.8</v>
      </c>
      <c r="H2114" t="n">
        <v>0</v>
      </c>
      <c r="I2114" t="n">
        <v>0</v>
      </c>
      <c r="J2114" t="n">
        <v>0</v>
      </c>
      <c r="K2114" t="n">
        <v>0</v>
      </c>
      <c r="L2114" t="n">
        <v>0</v>
      </c>
      <c r="M2114" t="n">
        <v>0</v>
      </c>
      <c r="N2114" t="n">
        <v>0</v>
      </c>
      <c r="O2114" t="n">
        <v>0</v>
      </c>
      <c r="P2114" t="n">
        <v>0</v>
      </c>
      <c r="Q2114" t="n">
        <v>0</v>
      </c>
      <c r="R2114" s="2" t="inlineStr"/>
    </row>
    <row r="2115" ht="15" customHeight="1">
      <c r="A2115" t="inlineStr">
        <is>
          <t>A 14590-2019</t>
        </is>
      </c>
      <c r="B2115" s="1" t="n">
        <v>43536</v>
      </c>
      <c r="C2115" s="1" t="n">
        <v>45212</v>
      </c>
      <c r="D2115" t="inlineStr">
        <is>
          <t>VÄSTRA GÖTALANDS LÄN</t>
        </is>
      </c>
      <c r="E2115" t="inlineStr">
        <is>
          <t>TÖREBODA</t>
        </is>
      </c>
      <c r="G2115" t="n">
        <v>1.9</v>
      </c>
      <c r="H2115" t="n">
        <v>0</v>
      </c>
      <c r="I2115" t="n">
        <v>0</v>
      </c>
      <c r="J2115" t="n">
        <v>0</v>
      </c>
      <c r="K2115" t="n">
        <v>0</v>
      </c>
      <c r="L2115" t="n">
        <v>0</v>
      </c>
      <c r="M2115" t="n">
        <v>0</v>
      </c>
      <c r="N2115" t="n">
        <v>0</v>
      </c>
      <c r="O2115" t="n">
        <v>0</v>
      </c>
      <c r="P2115" t="n">
        <v>0</v>
      </c>
      <c r="Q2115" t="n">
        <v>0</v>
      </c>
      <c r="R2115" s="2" t="inlineStr"/>
    </row>
    <row r="2116" ht="15" customHeight="1">
      <c r="A2116" t="inlineStr">
        <is>
          <t>A 14423-2019</t>
        </is>
      </c>
      <c r="B2116" s="1" t="n">
        <v>43536</v>
      </c>
      <c r="C2116" s="1" t="n">
        <v>45212</v>
      </c>
      <c r="D2116" t="inlineStr">
        <is>
          <t>VÄSTRA GÖTALANDS LÄN</t>
        </is>
      </c>
      <c r="E2116" t="inlineStr">
        <is>
          <t>BENGTSFORS</t>
        </is>
      </c>
      <c r="G2116" t="n">
        <v>2</v>
      </c>
      <c r="H2116" t="n">
        <v>0</v>
      </c>
      <c r="I2116" t="n">
        <v>0</v>
      </c>
      <c r="J2116" t="n">
        <v>0</v>
      </c>
      <c r="K2116" t="n">
        <v>0</v>
      </c>
      <c r="L2116" t="n">
        <v>0</v>
      </c>
      <c r="M2116" t="n">
        <v>0</v>
      </c>
      <c r="N2116" t="n">
        <v>0</v>
      </c>
      <c r="O2116" t="n">
        <v>0</v>
      </c>
      <c r="P2116" t="n">
        <v>0</v>
      </c>
      <c r="Q2116" t="n">
        <v>0</v>
      </c>
      <c r="R2116" s="2" t="inlineStr"/>
    </row>
    <row r="2117" ht="15" customHeight="1">
      <c r="A2117" t="inlineStr">
        <is>
          <t>A 14592-2019</t>
        </is>
      </c>
      <c r="B2117" s="1" t="n">
        <v>43536</v>
      </c>
      <c r="C2117" s="1" t="n">
        <v>45212</v>
      </c>
      <c r="D2117" t="inlineStr">
        <is>
          <t>VÄSTRA GÖTALANDS LÄN</t>
        </is>
      </c>
      <c r="E2117" t="inlineStr">
        <is>
          <t>MARK</t>
        </is>
      </c>
      <c r="G2117" t="n">
        <v>3.7</v>
      </c>
      <c r="H2117" t="n">
        <v>0</v>
      </c>
      <c r="I2117" t="n">
        <v>0</v>
      </c>
      <c r="J2117" t="n">
        <v>0</v>
      </c>
      <c r="K2117" t="n">
        <v>0</v>
      </c>
      <c r="L2117" t="n">
        <v>0</v>
      </c>
      <c r="M2117" t="n">
        <v>0</v>
      </c>
      <c r="N2117" t="n">
        <v>0</v>
      </c>
      <c r="O2117" t="n">
        <v>0</v>
      </c>
      <c r="P2117" t="n">
        <v>0</v>
      </c>
      <c r="Q2117" t="n">
        <v>0</v>
      </c>
      <c r="R2117" s="2" t="inlineStr"/>
    </row>
    <row r="2118" ht="15" customHeight="1">
      <c r="A2118" t="inlineStr">
        <is>
          <t>A 14776-2019</t>
        </is>
      </c>
      <c r="B2118" s="1" t="n">
        <v>43537</v>
      </c>
      <c r="C2118" s="1" t="n">
        <v>45212</v>
      </c>
      <c r="D2118" t="inlineStr">
        <is>
          <t>VÄSTRA GÖTALANDS LÄN</t>
        </is>
      </c>
      <c r="E2118" t="inlineStr">
        <is>
          <t>DALS-ED</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14795-2019</t>
        </is>
      </c>
      <c r="B2119" s="1" t="n">
        <v>43537</v>
      </c>
      <c r="C2119" s="1" t="n">
        <v>45212</v>
      </c>
      <c r="D2119" t="inlineStr">
        <is>
          <t>VÄSTRA GÖTALANDS LÄN</t>
        </is>
      </c>
      <c r="E2119" t="inlineStr">
        <is>
          <t>BENGTSFORS</t>
        </is>
      </c>
      <c r="G2119" t="n">
        <v>4.3</v>
      </c>
      <c r="H2119" t="n">
        <v>0</v>
      </c>
      <c r="I2119" t="n">
        <v>0</v>
      </c>
      <c r="J2119" t="n">
        <v>0</v>
      </c>
      <c r="K2119" t="n">
        <v>0</v>
      </c>
      <c r="L2119" t="n">
        <v>0</v>
      </c>
      <c r="M2119" t="n">
        <v>0</v>
      </c>
      <c r="N2119" t="n">
        <v>0</v>
      </c>
      <c r="O2119" t="n">
        <v>0</v>
      </c>
      <c r="P2119" t="n">
        <v>0</v>
      </c>
      <c r="Q2119" t="n">
        <v>0</v>
      </c>
      <c r="R2119" s="2" t="inlineStr"/>
    </row>
    <row r="2120" ht="15" customHeight="1">
      <c r="A2120" t="inlineStr">
        <is>
          <t>A 14879-2019</t>
        </is>
      </c>
      <c r="B2120" s="1" t="n">
        <v>43537</v>
      </c>
      <c r="C2120" s="1" t="n">
        <v>45212</v>
      </c>
      <c r="D2120" t="inlineStr">
        <is>
          <t>VÄSTRA GÖTALANDS LÄN</t>
        </is>
      </c>
      <c r="E2120" t="inlineStr">
        <is>
          <t>DALS-ED</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14919-2019</t>
        </is>
      </c>
      <c r="B2121" s="1" t="n">
        <v>43537</v>
      </c>
      <c r="C2121" s="1" t="n">
        <v>45212</v>
      </c>
      <c r="D2121" t="inlineStr">
        <is>
          <t>VÄSTRA GÖTALANDS LÄN</t>
        </is>
      </c>
      <c r="E2121" t="inlineStr">
        <is>
          <t>BORÅS</t>
        </is>
      </c>
      <c r="G2121" t="n">
        <v>7.1</v>
      </c>
      <c r="H2121" t="n">
        <v>0</v>
      </c>
      <c r="I2121" t="n">
        <v>0</v>
      </c>
      <c r="J2121" t="n">
        <v>0</v>
      </c>
      <c r="K2121" t="n">
        <v>0</v>
      </c>
      <c r="L2121" t="n">
        <v>0</v>
      </c>
      <c r="M2121" t="n">
        <v>0</v>
      </c>
      <c r="N2121" t="n">
        <v>0</v>
      </c>
      <c r="O2121" t="n">
        <v>0</v>
      </c>
      <c r="P2121" t="n">
        <v>0</v>
      </c>
      <c r="Q2121" t="n">
        <v>0</v>
      </c>
      <c r="R2121" s="2" t="inlineStr"/>
    </row>
    <row r="2122" ht="15" customHeight="1">
      <c r="A2122" t="inlineStr">
        <is>
          <t>A 15018-2019</t>
        </is>
      </c>
      <c r="B2122" s="1" t="n">
        <v>43537</v>
      </c>
      <c r="C2122" s="1" t="n">
        <v>45212</v>
      </c>
      <c r="D2122" t="inlineStr">
        <is>
          <t>VÄSTRA GÖTALANDS LÄN</t>
        </is>
      </c>
      <c r="E2122" t="inlineStr">
        <is>
          <t>MARK</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14526-2019</t>
        </is>
      </c>
      <c r="B2123" s="1" t="n">
        <v>43537</v>
      </c>
      <c r="C2123" s="1" t="n">
        <v>45212</v>
      </c>
      <c r="D2123" t="inlineStr">
        <is>
          <t>VÄSTRA GÖTALANDS LÄN</t>
        </is>
      </c>
      <c r="E2123" t="inlineStr">
        <is>
          <t>FÄRGELANDA</t>
        </is>
      </c>
      <c r="G2123" t="n">
        <v>3.1</v>
      </c>
      <c r="H2123" t="n">
        <v>0</v>
      </c>
      <c r="I2123" t="n">
        <v>0</v>
      </c>
      <c r="J2123" t="n">
        <v>0</v>
      </c>
      <c r="K2123" t="n">
        <v>0</v>
      </c>
      <c r="L2123" t="n">
        <v>0</v>
      </c>
      <c r="M2123" t="n">
        <v>0</v>
      </c>
      <c r="N2123" t="n">
        <v>0</v>
      </c>
      <c r="O2123" t="n">
        <v>0</v>
      </c>
      <c r="P2123" t="n">
        <v>0</v>
      </c>
      <c r="Q2123" t="n">
        <v>0</v>
      </c>
      <c r="R2123" s="2" t="inlineStr"/>
    </row>
    <row r="2124" ht="15" customHeight="1">
      <c r="A2124" t="inlineStr">
        <is>
          <t>A 14605-2019</t>
        </is>
      </c>
      <c r="B2124" s="1" t="n">
        <v>43537</v>
      </c>
      <c r="C2124" s="1" t="n">
        <v>45212</v>
      </c>
      <c r="D2124" t="inlineStr">
        <is>
          <t>VÄSTRA GÖTALANDS LÄN</t>
        </is>
      </c>
      <c r="E2124" t="inlineStr">
        <is>
          <t>ESSUNGA</t>
        </is>
      </c>
      <c r="G2124" t="n">
        <v>6.1</v>
      </c>
      <c r="H2124" t="n">
        <v>0</v>
      </c>
      <c r="I2124" t="n">
        <v>0</v>
      </c>
      <c r="J2124" t="n">
        <v>0</v>
      </c>
      <c r="K2124" t="n">
        <v>0</v>
      </c>
      <c r="L2124" t="n">
        <v>0</v>
      </c>
      <c r="M2124" t="n">
        <v>0</v>
      </c>
      <c r="N2124" t="n">
        <v>0</v>
      </c>
      <c r="O2124" t="n">
        <v>0</v>
      </c>
      <c r="P2124" t="n">
        <v>0</v>
      </c>
      <c r="Q2124" t="n">
        <v>0</v>
      </c>
      <c r="R2124" s="2" t="inlineStr"/>
    </row>
    <row r="2125" ht="15" customHeight="1">
      <c r="A2125" t="inlineStr">
        <is>
          <t>A 14770-2019</t>
        </is>
      </c>
      <c r="B2125" s="1" t="n">
        <v>43537</v>
      </c>
      <c r="C2125" s="1" t="n">
        <v>45212</v>
      </c>
      <c r="D2125" t="inlineStr">
        <is>
          <t>VÄSTRA GÖTALANDS LÄN</t>
        </is>
      </c>
      <c r="E2125" t="inlineStr">
        <is>
          <t>KARLSBORG</t>
        </is>
      </c>
      <c r="G2125" t="n">
        <v>5.1</v>
      </c>
      <c r="H2125" t="n">
        <v>0</v>
      </c>
      <c r="I2125" t="n">
        <v>0</v>
      </c>
      <c r="J2125" t="n">
        <v>0</v>
      </c>
      <c r="K2125" t="n">
        <v>0</v>
      </c>
      <c r="L2125" t="n">
        <v>0</v>
      </c>
      <c r="M2125" t="n">
        <v>0</v>
      </c>
      <c r="N2125" t="n">
        <v>0</v>
      </c>
      <c r="O2125" t="n">
        <v>0</v>
      </c>
      <c r="P2125" t="n">
        <v>0</v>
      </c>
      <c r="Q2125" t="n">
        <v>0</v>
      </c>
      <c r="R2125" s="2" t="inlineStr"/>
    </row>
    <row r="2126" ht="15" customHeight="1">
      <c r="A2126" t="inlineStr">
        <is>
          <t>A 15957-2019</t>
        </is>
      </c>
      <c r="B2126" s="1" t="n">
        <v>43537</v>
      </c>
      <c r="C2126" s="1" t="n">
        <v>45212</v>
      </c>
      <c r="D2126" t="inlineStr">
        <is>
          <t>VÄSTRA GÖTALANDS LÄN</t>
        </is>
      </c>
      <c r="E2126" t="inlineStr">
        <is>
          <t>MUNKEDAL</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15082-2019</t>
        </is>
      </c>
      <c r="B2127" s="1" t="n">
        <v>43537</v>
      </c>
      <c r="C2127" s="1" t="n">
        <v>45212</v>
      </c>
      <c r="D2127" t="inlineStr">
        <is>
          <t>VÄSTRA GÖTALANDS LÄN</t>
        </is>
      </c>
      <c r="E2127" t="inlineStr">
        <is>
          <t>FÄRGELANDA</t>
        </is>
      </c>
      <c r="G2127" t="n">
        <v>3</v>
      </c>
      <c r="H2127" t="n">
        <v>0</v>
      </c>
      <c r="I2127" t="n">
        <v>0</v>
      </c>
      <c r="J2127" t="n">
        <v>0</v>
      </c>
      <c r="K2127" t="n">
        <v>0</v>
      </c>
      <c r="L2127" t="n">
        <v>0</v>
      </c>
      <c r="M2127" t="n">
        <v>0</v>
      </c>
      <c r="N2127" t="n">
        <v>0</v>
      </c>
      <c r="O2127" t="n">
        <v>0</v>
      </c>
      <c r="P2127" t="n">
        <v>0</v>
      </c>
      <c r="Q2127" t="n">
        <v>0</v>
      </c>
      <c r="R2127" s="2" t="inlineStr"/>
    </row>
    <row r="2128" ht="15" customHeight="1">
      <c r="A2128" t="inlineStr">
        <is>
          <t>A 15055-2019</t>
        </is>
      </c>
      <c r="B2128" s="1" t="n">
        <v>43537</v>
      </c>
      <c r="C2128" s="1" t="n">
        <v>45212</v>
      </c>
      <c r="D2128" t="inlineStr">
        <is>
          <t>VÄSTRA GÖTALANDS LÄN</t>
        </is>
      </c>
      <c r="E2128" t="inlineStr">
        <is>
          <t>VÄNERSBORG</t>
        </is>
      </c>
      <c r="G2128" t="n">
        <v>3.3</v>
      </c>
      <c r="H2128" t="n">
        <v>0</v>
      </c>
      <c r="I2128" t="n">
        <v>0</v>
      </c>
      <c r="J2128" t="n">
        <v>0</v>
      </c>
      <c r="K2128" t="n">
        <v>0</v>
      </c>
      <c r="L2128" t="n">
        <v>0</v>
      </c>
      <c r="M2128" t="n">
        <v>0</v>
      </c>
      <c r="N2128" t="n">
        <v>0</v>
      </c>
      <c r="O2128" t="n">
        <v>0</v>
      </c>
      <c r="P2128" t="n">
        <v>0</v>
      </c>
      <c r="Q2128" t="n">
        <v>0</v>
      </c>
      <c r="R2128" s="2" t="inlineStr"/>
    </row>
    <row r="2129" ht="15" customHeight="1">
      <c r="A2129" t="inlineStr">
        <is>
          <t>A 14931-2019</t>
        </is>
      </c>
      <c r="B2129" s="1" t="n">
        <v>43538</v>
      </c>
      <c r="C2129" s="1" t="n">
        <v>45212</v>
      </c>
      <c r="D2129" t="inlineStr">
        <is>
          <t>VÄSTRA GÖTALANDS LÄN</t>
        </is>
      </c>
      <c r="E2129" t="inlineStr">
        <is>
          <t>DALS-ED</t>
        </is>
      </c>
      <c r="G2129" t="n">
        <v>2.8</v>
      </c>
      <c r="H2129" t="n">
        <v>0</v>
      </c>
      <c r="I2129" t="n">
        <v>0</v>
      </c>
      <c r="J2129" t="n">
        <v>0</v>
      </c>
      <c r="K2129" t="n">
        <v>0</v>
      </c>
      <c r="L2129" t="n">
        <v>0</v>
      </c>
      <c r="M2129" t="n">
        <v>0</v>
      </c>
      <c r="N2129" t="n">
        <v>0</v>
      </c>
      <c r="O2129" t="n">
        <v>0</v>
      </c>
      <c r="P2129" t="n">
        <v>0</v>
      </c>
      <c r="Q2129" t="n">
        <v>0</v>
      </c>
      <c r="R2129" s="2" t="inlineStr"/>
    </row>
    <row r="2130" ht="15" customHeight="1">
      <c r="A2130" t="inlineStr">
        <is>
          <t>A 15047-2019</t>
        </is>
      </c>
      <c r="B2130" s="1" t="n">
        <v>43538</v>
      </c>
      <c r="C2130" s="1" t="n">
        <v>45212</v>
      </c>
      <c r="D2130" t="inlineStr">
        <is>
          <t>VÄSTRA GÖTALANDS LÄN</t>
        </is>
      </c>
      <c r="E2130" t="inlineStr">
        <is>
          <t>TANUM</t>
        </is>
      </c>
      <c r="G2130" t="n">
        <v>4.9</v>
      </c>
      <c r="H2130" t="n">
        <v>0</v>
      </c>
      <c r="I2130" t="n">
        <v>0</v>
      </c>
      <c r="J2130" t="n">
        <v>0</v>
      </c>
      <c r="K2130" t="n">
        <v>0</v>
      </c>
      <c r="L2130" t="n">
        <v>0</v>
      </c>
      <c r="M2130" t="n">
        <v>0</v>
      </c>
      <c r="N2130" t="n">
        <v>0</v>
      </c>
      <c r="O2130" t="n">
        <v>0</v>
      </c>
      <c r="P2130" t="n">
        <v>0</v>
      </c>
      <c r="Q2130" t="n">
        <v>0</v>
      </c>
      <c r="R2130" s="2" t="inlineStr"/>
    </row>
    <row r="2131" ht="15" customHeight="1">
      <c r="A2131" t="inlineStr">
        <is>
          <t>A 15063-2019</t>
        </is>
      </c>
      <c r="B2131" s="1" t="n">
        <v>43538</v>
      </c>
      <c r="C2131" s="1" t="n">
        <v>45212</v>
      </c>
      <c r="D2131" t="inlineStr">
        <is>
          <t>VÄSTRA GÖTALANDS LÄN</t>
        </is>
      </c>
      <c r="E2131" t="inlineStr">
        <is>
          <t>MELLERUD</t>
        </is>
      </c>
      <c r="G2131" t="n">
        <v>2.3</v>
      </c>
      <c r="H2131" t="n">
        <v>0</v>
      </c>
      <c r="I2131" t="n">
        <v>0</v>
      </c>
      <c r="J2131" t="n">
        <v>0</v>
      </c>
      <c r="K2131" t="n">
        <v>0</v>
      </c>
      <c r="L2131" t="n">
        <v>0</v>
      </c>
      <c r="M2131" t="n">
        <v>0</v>
      </c>
      <c r="N2131" t="n">
        <v>0</v>
      </c>
      <c r="O2131" t="n">
        <v>0</v>
      </c>
      <c r="P2131" t="n">
        <v>0</v>
      </c>
      <c r="Q2131" t="n">
        <v>0</v>
      </c>
      <c r="R2131" s="2" t="inlineStr"/>
    </row>
    <row r="2132" ht="15" customHeight="1">
      <c r="A2132" t="inlineStr">
        <is>
          <t>A 15076-2019</t>
        </is>
      </c>
      <c r="B2132" s="1" t="n">
        <v>43538</v>
      </c>
      <c r="C2132" s="1" t="n">
        <v>45212</v>
      </c>
      <c r="D2132" t="inlineStr">
        <is>
          <t>VÄSTRA GÖTALANDS LÄN</t>
        </is>
      </c>
      <c r="E2132" t="inlineStr">
        <is>
          <t>DALS-ED</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15054-2019</t>
        </is>
      </c>
      <c r="B2133" s="1" t="n">
        <v>43538</v>
      </c>
      <c r="C2133" s="1" t="n">
        <v>45212</v>
      </c>
      <c r="D2133" t="inlineStr">
        <is>
          <t>VÄSTRA GÖTALANDS LÄN</t>
        </is>
      </c>
      <c r="E2133" t="inlineStr">
        <is>
          <t>BENGTSFORS</t>
        </is>
      </c>
      <c r="F2133" t="inlineStr">
        <is>
          <t>Kommuner</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15153-2019</t>
        </is>
      </c>
      <c r="B2134" s="1" t="n">
        <v>43538</v>
      </c>
      <c r="C2134" s="1" t="n">
        <v>45212</v>
      </c>
      <c r="D2134" t="inlineStr">
        <is>
          <t>VÄSTRA GÖTALANDS LÄN</t>
        </is>
      </c>
      <c r="E2134" t="inlineStr">
        <is>
          <t>SOTENÄS</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14668-2019</t>
        </is>
      </c>
      <c r="B2135" s="1" t="n">
        <v>43538</v>
      </c>
      <c r="C2135" s="1" t="n">
        <v>45212</v>
      </c>
      <c r="D2135" t="inlineStr">
        <is>
          <t>VÄSTRA GÖTALANDS LÄN</t>
        </is>
      </c>
      <c r="E2135" t="inlineStr">
        <is>
          <t>ULRICEHAMN</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14799-2019</t>
        </is>
      </c>
      <c r="B2136" s="1" t="n">
        <v>43539</v>
      </c>
      <c r="C2136" s="1" t="n">
        <v>45212</v>
      </c>
      <c r="D2136" t="inlineStr">
        <is>
          <t>VÄSTRA GÖTALANDS LÄN</t>
        </is>
      </c>
      <c r="E2136" t="inlineStr">
        <is>
          <t>SKÖVDE</t>
        </is>
      </c>
      <c r="G2136" t="n">
        <v>2.5</v>
      </c>
      <c r="H2136" t="n">
        <v>0</v>
      </c>
      <c r="I2136" t="n">
        <v>0</v>
      </c>
      <c r="J2136" t="n">
        <v>0</v>
      </c>
      <c r="K2136" t="n">
        <v>0</v>
      </c>
      <c r="L2136" t="n">
        <v>0</v>
      </c>
      <c r="M2136" t="n">
        <v>0</v>
      </c>
      <c r="N2136" t="n">
        <v>0</v>
      </c>
      <c r="O2136" t="n">
        <v>0</v>
      </c>
      <c r="P2136" t="n">
        <v>0</v>
      </c>
      <c r="Q2136" t="n">
        <v>0</v>
      </c>
      <c r="R2136" s="2" t="inlineStr"/>
    </row>
    <row r="2137" ht="15" customHeight="1">
      <c r="A2137" t="inlineStr">
        <is>
          <t>A 15581-2019</t>
        </is>
      </c>
      <c r="B2137" s="1" t="n">
        <v>43539</v>
      </c>
      <c r="C2137" s="1" t="n">
        <v>45212</v>
      </c>
      <c r="D2137" t="inlineStr">
        <is>
          <t>VÄSTRA GÖTALANDS LÄN</t>
        </is>
      </c>
      <c r="E2137" t="inlineStr">
        <is>
          <t>BORÅS</t>
        </is>
      </c>
      <c r="F2137" t="inlineStr">
        <is>
          <t>Kommuner</t>
        </is>
      </c>
      <c r="G2137" t="n">
        <v>2.6</v>
      </c>
      <c r="H2137" t="n">
        <v>0</v>
      </c>
      <c r="I2137" t="n">
        <v>0</v>
      </c>
      <c r="J2137" t="n">
        <v>0</v>
      </c>
      <c r="K2137" t="n">
        <v>0</v>
      </c>
      <c r="L2137" t="n">
        <v>0</v>
      </c>
      <c r="M2137" t="n">
        <v>0</v>
      </c>
      <c r="N2137" t="n">
        <v>0</v>
      </c>
      <c r="O2137" t="n">
        <v>0</v>
      </c>
      <c r="P2137" t="n">
        <v>0</v>
      </c>
      <c r="Q2137" t="n">
        <v>0</v>
      </c>
      <c r="R2137" s="2" t="inlineStr"/>
    </row>
    <row r="2138" ht="15" customHeight="1">
      <c r="A2138" t="inlineStr">
        <is>
          <t>A 15179-2019</t>
        </is>
      </c>
      <c r="B2138" s="1" t="n">
        <v>43539</v>
      </c>
      <c r="C2138" s="1" t="n">
        <v>45212</v>
      </c>
      <c r="D2138" t="inlineStr">
        <is>
          <t>VÄSTRA GÖTALANDS LÄN</t>
        </is>
      </c>
      <c r="E2138" t="inlineStr">
        <is>
          <t>BENGTSFORS</t>
        </is>
      </c>
      <c r="G2138" t="n">
        <v>1.6</v>
      </c>
      <c r="H2138" t="n">
        <v>0</v>
      </c>
      <c r="I2138" t="n">
        <v>0</v>
      </c>
      <c r="J2138" t="n">
        <v>0</v>
      </c>
      <c r="K2138" t="n">
        <v>0</v>
      </c>
      <c r="L2138" t="n">
        <v>0</v>
      </c>
      <c r="M2138" t="n">
        <v>0</v>
      </c>
      <c r="N2138" t="n">
        <v>0</v>
      </c>
      <c r="O2138" t="n">
        <v>0</v>
      </c>
      <c r="P2138" t="n">
        <v>0</v>
      </c>
      <c r="Q2138" t="n">
        <v>0</v>
      </c>
      <c r="R2138" s="2" t="inlineStr"/>
    </row>
    <row r="2139" ht="15" customHeight="1">
      <c r="A2139" t="inlineStr">
        <is>
          <t>A 15232-2019</t>
        </is>
      </c>
      <c r="B2139" s="1" t="n">
        <v>43539</v>
      </c>
      <c r="C2139" s="1" t="n">
        <v>45212</v>
      </c>
      <c r="D2139" t="inlineStr">
        <is>
          <t>VÄSTRA GÖTALANDS LÄN</t>
        </is>
      </c>
      <c r="E2139" t="inlineStr">
        <is>
          <t>KUNGÄLV</t>
        </is>
      </c>
      <c r="G2139" t="n">
        <v>3.2</v>
      </c>
      <c r="H2139" t="n">
        <v>0</v>
      </c>
      <c r="I2139" t="n">
        <v>0</v>
      </c>
      <c r="J2139" t="n">
        <v>0</v>
      </c>
      <c r="K2139" t="n">
        <v>0</v>
      </c>
      <c r="L2139" t="n">
        <v>0</v>
      </c>
      <c r="M2139" t="n">
        <v>0</v>
      </c>
      <c r="N2139" t="n">
        <v>0</v>
      </c>
      <c r="O2139" t="n">
        <v>0</v>
      </c>
      <c r="P2139" t="n">
        <v>0</v>
      </c>
      <c r="Q2139" t="n">
        <v>0</v>
      </c>
      <c r="R2139" s="2" t="inlineStr"/>
    </row>
    <row r="2140" ht="15" customHeight="1">
      <c r="A2140" t="inlineStr">
        <is>
          <t>A 15583-2019</t>
        </is>
      </c>
      <c r="B2140" s="1" t="n">
        <v>43539</v>
      </c>
      <c r="C2140" s="1" t="n">
        <v>45212</v>
      </c>
      <c r="D2140" t="inlineStr">
        <is>
          <t>VÄSTRA GÖTALANDS LÄN</t>
        </is>
      </c>
      <c r="E2140" t="inlineStr">
        <is>
          <t>BORÅS</t>
        </is>
      </c>
      <c r="F2140" t="inlineStr">
        <is>
          <t>Kommuner</t>
        </is>
      </c>
      <c r="G2140" t="n">
        <v>1.6</v>
      </c>
      <c r="H2140" t="n">
        <v>0</v>
      </c>
      <c r="I2140" t="n">
        <v>0</v>
      </c>
      <c r="J2140" t="n">
        <v>0</v>
      </c>
      <c r="K2140" t="n">
        <v>0</v>
      </c>
      <c r="L2140" t="n">
        <v>0</v>
      </c>
      <c r="M2140" t="n">
        <v>0</v>
      </c>
      <c r="N2140" t="n">
        <v>0</v>
      </c>
      <c r="O2140" t="n">
        <v>0</v>
      </c>
      <c r="P2140" t="n">
        <v>0</v>
      </c>
      <c r="Q2140" t="n">
        <v>0</v>
      </c>
      <c r="R2140" s="2" t="inlineStr"/>
    </row>
    <row r="2141" ht="15" customHeight="1">
      <c r="A2141" t="inlineStr">
        <is>
          <t>A 15371-2019</t>
        </is>
      </c>
      <c r="B2141" s="1" t="n">
        <v>43541</v>
      </c>
      <c r="C2141" s="1" t="n">
        <v>45212</v>
      </c>
      <c r="D2141" t="inlineStr">
        <is>
          <t>VÄSTRA GÖTALANDS LÄN</t>
        </is>
      </c>
      <c r="E2141" t="inlineStr">
        <is>
          <t>TANUM</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15434-2019</t>
        </is>
      </c>
      <c r="B2142" s="1" t="n">
        <v>43542</v>
      </c>
      <c r="C2142" s="1" t="n">
        <v>45212</v>
      </c>
      <c r="D2142" t="inlineStr">
        <is>
          <t>VÄSTRA GÖTALANDS LÄN</t>
        </is>
      </c>
      <c r="E2142" t="inlineStr">
        <is>
          <t>SKÖVDE</t>
        </is>
      </c>
      <c r="G2142" t="n">
        <v>0.3</v>
      </c>
      <c r="H2142" t="n">
        <v>0</v>
      </c>
      <c r="I2142" t="n">
        <v>0</v>
      </c>
      <c r="J2142" t="n">
        <v>0</v>
      </c>
      <c r="K2142" t="n">
        <v>0</v>
      </c>
      <c r="L2142" t="n">
        <v>0</v>
      </c>
      <c r="M2142" t="n">
        <v>0</v>
      </c>
      <c r="N2142" t="n">
        <v>0</v>
      </c>
      <c r="O2142" t="n">
        <v>0</v>
      </c>
      <c r="P2142" t="n">
        <v>0</v>
      </c>
      <c r="Q2142" t="n">
        <v>0</v>
      </c>
      <c r="R2142" s="2" t="inlineStr"/>
    </row>
    <row r="2143" ht="15" customHeight="1">
      <c r="A2143" t="inlineStr">
        <is>
          <t>A 15532-2019</t>
        </is>
      </c>
      <c r="B2143" s="1" t="n">
        <v>43542</v>
      </c>
      <c r="C2143" s="1" t="n">
        <v>45212</v>
      </c>
      <c r="D2143" t="inlineStr">
        <is>
          <t>VÄSTRA GÖTALANDS LÄN</t>
        </is>
      </c>
      <c r="E2143" t="inlineStr">
        <is>
          <t>GÖTENE</t>
        </is>
      </c>
      <c r="G2143" t="n">
        <v>1</v>
      </c>
      <c r="H2143" t="n">
        <v>0</v>
      </c>
      <c r="I2143" t="n">
        <v>0</v>
      </c>
      <c r="J2143" t="n">
        <v>0</v>
      </c>
      <c r="K2143" t="n">
        <v>0</v>
      </c>
      <c r="L2143" t="n">
        <v>0</v>
      </c>
      <c r="M2143" t="n">
        <v>0</v>
      </c>
      <c r="N2143" t="n">
        <v>0</v>
      </c>
      <c r="O2143" t="n">
        <v>0</v>
      </c>
      <c r="P2143" t="n">
        <v>0</v>
      </c>
      <c r="Q2143" t="n">
        <v>0</v>
      </c>
      <c r="R2143" s="2" t="inlineStr"/>
    </row>
    <row r="2144" ht="15" customHeight="1">
      <c r="A2144" t="inlineStr">
        <is>
          <t>A 15745-2019</t>
        </is>
      </c>
      <c r="B2144" s="1" t="n">
        <v>43542</v>
      </c>
      <c r="C2144" s="1" t="n">
        <v>45212</v>
      </c>
      <c r="D2144" t="inlineStr">
        <is>
          <t>VÄSTRA GÖTALANDS LÄN</t>
        </is>
      </c>
      <c r="E2144" t="inlineStr">
        <is>
          <t>MELLERUD</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15788-2019</t>
        </is>
      </c>
      <c r="B2145" s="1" t="n">
        <v>43542</v>
      </c>
      <c r="C2145" s="1" t="n">
        <v>45212</v>
      </c>
      <c r="D2145" t="inlineStr">
        <is>
          <t>VÄSTRA GÖTALANDS LÄN</t>
        </is>
      </c>
      <c r="E2145" t="inlineStr">
        <is>
          <t>VARA</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15809-2019</t>
        </is>
      </c>
      <c r="B2146" s="1" t="n">
        <v>43542</v>
      </c>
      <c r="C2146" s="1" t="n">
        <v>45212</v>
      </c>
      <c r="D2146" t="inlineStr">
        <is>
          <t>VÄSTRA GÖTALANDS LÄN</t>
        </is>
      </c>
      <c r="E2146" t="inlineStr">
        <is>
          <t>DALS-ED</t>
        </is>
      </c>
      <c r="F2146" t="inlineStr">
        <is>
          <t>Kyrkan</t>
        </is>
      </c>
      <c r="G2146" t="n">
        <v>6.9</v>
      </c>
      <c r="H2146" t="n">
        <v>0</v>
      </c>
      <c r="I2146" t="n">
        <v>0</v>
      </c>
      <c r="J2146" t="n">
        <v>0</v>
      </c>
      <c r="K2146" t="n">
        <v>0</v>
      </c>
      <c r="L2146" t="n">
        <v>0</v>
      </c>
      <c r="M2146" t="n">
        <v>0</v>
      </c>
      <c r="N2146" t="n">
        <v>0</v>
      </c>
      <c r="O2146" t="n">
        <v>0</v>
      </c>
      <c r="P2146" t="n">
        <v>0</v>
      </c>
      <c r="Q2146" t="n">
        <v>0</v>
      </c>
      <c r="R2146" s="2" t="inlineStr"/>
    </row>
    <row r="2147" ht="15" customHeight="1">
      <c r="A2147" t="inlineStr">
        <is>
          <t>A 15447-2019</t>
        </is>
      </c>
      <c r="B2147" s="1" t="n">
        <v>43542</v>
      </c>
      <c r="C2147" s="1" t="n">
        <v>45212</v>
      </c>
      <c r="D2147" t="inlineStr">
        <is>
          <t>VÄSTRA GÖTALANDS LÄN</t>
        </is>
      </c>
      <c r="E2147" t="inlineStr">
        <is>
          <t>MELLERUD</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15743-2019</t>
        </is>
      </c>
      <c r="B2148" s="1" t="n">
        <v>43542</v>
      </c>
      <c r="C2148" s="1" t="n">
        <v>45212</v>
      </c>
      <c r="D2148" t="inlineStr">
        <is>
          <t>VÄSTRA GÖTALANDS LÄN</t>
        </is>
      </c>
      <c r="E2148" t="inlineStr">
        <is>
          <t>FALKÖPING</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15803-2019</t>
        </is>
      </c>
      <c r="B2149" s="1" t="n">
        <v>43542</v>
      </c>
      <c r="C2149" s="1" t="n">
        <v>45212</v>
      </c>
      <c r="D2149" t="inlineStr">
        <is>
          <t>VÄSTRA GÖTALANDS LÄN</t>
        </is>
      </c>
      <c r="E2149" t="inlineStr">
        <is>
          <t>FALKÖPING</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15819-2019</t>
        </is>
      </c>
      <c r="B2150" s="1" t="n">
        <v>43542</v>
      </c>
      <c r="C2150" s="1" t="n">
        <v>45212</v>
      </c>
      <c r="D2150" t="inlineStr">
        <is>
          <t>VÄSTRA GÖTALANDS LÄN</t>
        </is>
      </c>
      <c r="E2150" t="inlineStr">
        <is>
          <t>BENGTSFORS</t>
        </is>
      </c>
      <c r="G2150" t="n">
        <v>3.5</v>
      </c>
      <c r="H2150" t="n">
        <v>0</v>
      </c>
      <c r="I2150" t="n">
        <v>0</v>
      </c>
      <c r="J2150" t="n">
        <v>0</v>
      </c>
      <c r="K2150" t="n">
        <v>0</v>
      </c>
      <c r="L2150" t="n">
        <v>0</v>
      </c>
      <c r="M2150" t="n">
        <v>0</v>
      </c>
      <c r="N2150" t="n">
        <v>0</v>
      </c>
      <c r="O2150" t="n">
        <v>0</v>
      </c>
      <c r="P2150" t="n">
        <v>0</v>
      </c>
      <c r="Q2150" t="n">
        <v>0</v>
      </c>
      <c r="R2150" s="2" t="inlineStr"/>
    </row>
    <row r="2151" ht="15" customHeight="1">
      <c r="A2151" t="inlineStr">
        <is>
          <t>A 15298-2019</t>
        </is>
      </c>
      <c r="B2151" s="1" t="n">
        <v>43542</v>
      </c>
      <c r="C2151" s="1" t="n">
        <v>45212</v>
      </c>
      <c r="D2151" t="inlineStr">
        <is>
          <t>VÄSTRA GÖTALANDS LÄN</t>
        </is>
      </c>
      <c r="E2151" t="inlineStr">
        <is>
          <t>SKÖVDE</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15384-2019</t>
        </is>
      </c>
      <c r="B2152" s="1" t="n">
        <v>43542</v>
      </c>
      <c r="C2152" s="1" t="n">
        <v>45212</v>
      </c>
      <c r="D2152" t="inlineStr">
        <is>
          <t>VÄSTRA GÖTALANDS LÄN</t>
        </is>
      </c>
      <c r="E2152" t="inlineStr">
        <is>
          <t>TRANEMO</t>
        </is>
      </c>
      <c r="G2152" t="n">
        <v>2.9</v>
      </c>
      <c r="H2152" t="n">
        <v>0</v>
      </c>
      <c r="I2152" t="n">
        <v>0</v>
      </c>
      <c r="J2152" t="n">
        <v>0</v>
      </c>
      <c r="K2152" t="n">
        <v>0</v>
      </c>
      <c r="L2152" t="n">
        <v>0</v>
      </c>
      <c r="M2152" t="n">
        <v>0</v>
      </c>
      <c r="N2152" t="n">
        <v>0</v>
      </c>
      <c r="O2152" t="n">
        <v>0</v>
      </c>
      <c r="P2152" t="n">
        <v>0</v>
      </c>
      <c r="Q2152" t="n">
        <v>0</v>
      </c>
      <c r="R2152" s="2" t="inlineStr"/>
    </row>
    <row r="2153" ht="15" customHeight="1">
      <c r="A2153" t="inlineStr">
        <is>
          <t>A 15529-2019</t>
        </is>
      </c>
      <c r="B2153" s="1" t="n">
        <v>43542</v>
      </c>
      <c r="C2153" s="1" t="n">
        <v>45212</v>
      </c>
      <c r="D2153" t="inlineStr">
        <is>
          <t>VÄSTRA GÖTALANDS LÄN</t>
        </is>
      </c>
      <c r="E2153" t="inlineStr">
        <is>
          <t>GÖTENE</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15555-2019</t>
        </is>
      </c>
      <c r="B2154" s="1" t="n">
        <v>43542</v>
      </c>
      <c r="C2154" s="1" t="n">
        <v>45212</v>
      </c>
      <c r="D2154" t="inlineStr">
        <is>
          <t>VÄSTRA GÖTALANDS LÄN</t>
        </is>
      </c>
      <c r="E2154" t="inlineStr">
        <is>
          <t>VÄNERSBORG</t>
        </is>
      </c>
      <c r="G2154" t="n">
        <v>5.4</v>
      </c>
      <c r="H2154" t="n">
        <v>0</v>
      </c>
      <c r="I2154" t="n">
        <v>0</v>
      </c>
      <c r="J2154" t="n">
        <v>0</v>
      </c>
      <c r="K2154" t="n">
        <v>0</v>
      </c>
      <c r="L2154" t="n">
        <v>0</v>
      </c>
      <c r="M2154" t="n">
        <v>0</v>
      </c>
      <c r="N2154" t="n">
        <v>0</v>
      </c>
      <c r="O2154" t="n">
        <v>0</v>
      </c>
      <c r="P2154" t="n">
        <v>0</v>
      </c>
      <c r="Q2154" t="n">
        <v>0</v>
      </c>
      <c r="R2154" s="2" t="inlineStr"/>
    </row>
    <row r="2155" ht="15" customHeight="1">
      <c r="A2155" t="inlineStr">
        <is>
          <t>A 15686-2019</t>
        </is>
      </c>
      <c r="B2155" s="1" t="n">
        <v>43542</v>
      </c>
      <c r="C2155" s="1" t="n">
        <v>45212</v>
      </c>
      <c r="D2155" t="inlineStr">
        <is>
          <t>VÄSTRA GÖTALANDS LÄN</t>
        </is>
      </c>
      <c r="E2155" t="inlineStr">
        <is>
          <t>FALKÖPING</t>
        </is>
      </c>
      <c r="G2155" t="n">
        <v>6.2</v>
      </c>
      <c r="H2155" t="n">
        <v>0</v>
      </c>
      <c r="I2155" t="n">
        <v>0</v>
      </c>
      <c r="J2155" t="n">
        <v>0</v>
      </c>
      <c r="K2155" t="n">
        <v>0</v>
      </c>
      <c r="L2155" t="n">
        <v>0</v>
      </c>
      <c r="M2155" t="n">
        <v>0</v>
      </c>
      <c r="N2155" t="n">
        <v>0</v>
      </c>
      <c r="O2155" t="n">
        <v>0</v>
      </c>
      <c r="P2155" t="n">
        <v>0</v>
      </c>
      <c r="Q2155" t="n">
        <v>0</v>
      </c>
      <c r="R2155" s="2" t="inlineStr"/>
    </row>
    <row r="2156" ht="15" customHeight="1">
      <c r="A2156" t="inlineStr">
        <is>
          <t>A 15744-2019</t>
        </is>
      </c>
      <c r="B2156" s="1" t="n">
        <v>43542</v>
      </c>
      <c r="C2156" s="1" t="n">
        <v>45212</v>
      </c>
      <c r="D2156" t="inlineStr">
        <is>
          <t>VÄSTRA GÖTALANDS LÄN</t>
        </is>
      </c>
      <c r="E2156" t="inlineStr">
        <is>
          <t>MELLERUD</t>
        </is>
      </c>
      <c r="G2156" t="n">
        <v>5.1</v>
      </c>
      <c r="H2156" t="n">
        <v>0</v>
      </c>
      <c r="I2156" t="n">
        <v>0</v>
      </c>
      <c r="J2156" t="n">
        <v>0</v>
      </c>
      <c r="K2156" t="n">
        <v>0</v>
      </c>
      <c r="L2156" t="n">
        <v>0</v>
      </c>
      <c r="M2156" t="n">
        <v>0</v>
      </c>
      <c r="N2156" t="n">
        <v>0</v>
      </c>
      <c r="O2156" t="n">
        <v>0</v>
      </c>
      <c r="P2156" t="n">
        <v>0</v>
      </c>
      <c r="Q2156" t="n">
        <v>0</v>
      </c>
      <c r="R2156" s="2" t="inlineStr"/>
    </row>
    <row r="2157" ht="15" customHeight="1">
      <c r="A2157" t="inlineStr">
        <is>
          <t>A 15782-2019</t>
        </is>
      </c>
      <c r="B2157" s="1" t="n">
        <v>43542</v>
      </c>
      <c r="C2157" s="1" t="n">
        <v>45212</v>
      </c>
      <c r="D2157" t="inlineStr">
        <is>
          <t>VÄSTRA GÖTALANDS LÄN</t>
        </is>
      </c>
      <c r="E2157" t="inlineStr">
        <is>
          <t>SOTENÄS</t>
        </is>
      </c>
      <c r="G2157" t="n">
        <v>2.6</v>
      </c>
      <c r="H2157" t="n">
        <v>0</v>
      </c>
      <c r="I2157" t="n">
        <v>0</v>
      </c>
      <c r="J2157" t="n">
        <v>0</v>
      </c>
      <c r="K2157" t="n">
        <v>0</v>
      </c>
      <c r="L2157" t="n">
        <v>0</v>
      </c>
      <c r="M2157" t="n">
        <v>0</v>
      </c>
      <c r="N2157" t="n">
        <v>0</v>
      </c>
      <c r="O2157" t="n">
        <v>0</v>
      </c>
      <c r="P2157" t="n">
        <v>0</v>
      </c>
      <c r="Q2157" t="n">
        <v>0</v>
      </c>
      <c r="R2157" s="2" t="inlineStr"/>
    </row>
    <row r="2158" ht="15" customHeight="1">
      <c r="A2158" t="inlineStr">
        <is>
          <t>A 15823-2019</t>
        </is>
      </c>
      <c r="B2158" s="1" t="n">
        <v>43542</v>
      </c>
      <c r="C2158" s="1" t="n">
        <v>45212</v>
      </c>
      <c r="D2158" t="inlineStr">
        <is>
          <t>VÄSTRA GÖTALANDS LÄN</t>
        </is>
      </c>
      <c r="E2158" t="inlineStr">
        <is>
          <t>ULRICEHAMN</t>
        </is>
      </c>
      <c r="G2158" t="n">
        <v>7</v>
      </c>
      <c r="H2158" t="n">
        <v>0</v>
      </c>
      <c r="I2158" t="n">
        <v>0</v>
      </c>
      <c r="J2158" t="n">
        <v>0</v>
      </c>
      <c r="K2158" t="n">
        <v>0</v>
      </c>
      <c r="L2158" t="n">
        <v>0</v>
      </c>
      <c r="M2158" t="n">
        <v>0</v>
      </c>
      <c r="N2158" t="n">
        <v>0</v>
      </c>
      <c r="O2158" t="n">
        <v>0</v>
      </c>
      <c r="P2158" t="n">
        <v>0</v>
      </c>
      <c r="Q2158" t="n">
        <v>0</v>
      </c>
      <c r="R2158" s="2" t="inlineStr"/>
    </row>
    <row r="2159" ht="15" customHeight="1">
      <c r="A2159" t="inlineStr">
        <is>
          <t>A 15295-2019</t>
        </is>
      </c>
      <c r="B2159" s="1" t="n">
        <v>43542</v>
      </c>
      <c r="C2159" s="1" t="n">
        <v>45212</v>
      </c>
      <c r="D2159" t="inlineStr">
        <is>
          <t>VÄSTRA GÖTALANDS LÄN</t>
        </is>
      </c>
      <c r="E2159" t="inlineStr">
        <is>
          <t>SVENLJUNGA</t>
        </is>
      </c>
      <c r="G2159" t="n">
        <v>8.699999999999999</v>
      </c>
      <c r="H2159" t="n">
        <v>0</v>
      </c>
      <c r="I2159" t="n">
        <v>0</v>
      </c>
      <c r="J2159" t="n">
        <v>0</v>
      </c>
      <c r="K2159" t="n">
        <v>0</v>
      </c>
      <c r="L2159" t="n">
        <v>0</v>
      </c>
      <c r="M2159" t="n">
        <v>0</v>
      </c>
      <c r="N2159" t="n">
        <v>0</v>
      </c>
      <c r="O2159" t="n">
        <v>0</v>
      </c>
      <c r="P2159" t="n">
        <v>0</v>
      </c>
      <c r="Q2159" t="n">
        <v>0</v>
      </c>
      <c r="R2159" s="2" t="inlineStr"/>
    </row>
    <row r="2160" ht="15" customHeight="1">
      <c r="A2160" t="inlineStr">
        <is>
          <t>A 15409-2019</t>
        </is>
      </c>
      <c r="B2160" s="1" t="n">
        <v>43542</v>
      </c>
      <c r="C2160" s="1" t="n">
        <v>45212</v>
      </c>
      <c r="D2160" t="inlineStr">
        <is>
          <t>VÄSTRA GÖTALANDS LÄN</t>
        </is>
      </c>
      <c r="E2160" t="inlineStr">
        <is>
          <t>MARK</t>
        </is>
      </c>
      <c r="G2160" t="n">
        <v>1.5</v>
      </c>
      <c r="H2160" t="n">
        <v>0</v>
      </c>
      <c r="I2160" t="n">
        <v>0</v>
      </c>
      <c r="J2160" t="n">
        <v>0</v>
      </c>
      <c r="K2160" t="n">
        <v>0</v>
      </c>
      <c r="L2160" t="n">
        <v>0</v>
      </c>
      <c r="M2160" t="n">
        <v>0</v>
      </c>
      <c r="N2160" t="n">
        <v>0</v>
      </c>
      <c r="O2160" t="n">
        <v>0</v>
      </c>
      <c r="P2160" t="n">
        <v>0</v>
      </c>
      <c r="Q2160" t="n">
        <v>0</v>
      </c>
      <c r="R2160" s="2" t="inlineStr"/>
    </row>
    <row r="2161" ht="15" customHeight="1">
      <c r="A2161" t="inlineStr">
        <is>
          <t>A 15443-2019</t>
        </is>
      </c>
      <c r="B2161" s="1" t="n">
        <v>43542</v>
      </c>
      <c r="C2161" s="1" t="n">
        <v>45212</v>
      </c>
      <c r="D2161" t="inlineStr">
        <is>
          <t>VÄSTRA GÖTALANDS LÄN</t>
        </is>
      </c>
      <c r="E2161" t="inlineStr">
        <is>
          <t>ALE</t>
        </is>
      </c>
      <c r="G2161" t="n">
        <v>2.2</v>
      </c>
      <c r="H2161" t="n">
        <v>0</v>
      </c>
      <c r="I2161" t="n">
        <v>0</v>
      </c>
      <c r="J2161" t="n">
        <v>0</v>
      </c>
      <c r="K2161" t="n">
        <v>0</v>
      </c>
      <c r="L2161" t="n">
        <v>0</v>
      </c>
      <c r="M2161" t="n">
        <v>0</v>
      </c>
      <c r="N2161" t="n">
        <v>0</v>
      </c>
      <c r="O2161" t="n">
        <v>0</v>
      </c>
      <c r="P2161" t="n">
        <v>0</v>
      </c>
      <c r="Q2161" t="n">
        <v>0</v>
      </c>
      <c r="R2161" s="2" t="inlineStr"/>
    </row>
    <row r="2162" ht="15" customHeight="1">
      <c r="A2162" t="inlineStr">
        <is>
          <t>A 15558-2019</t>
        </is>
      </c>
      <c r="B2162" s="1" t="n">
        <v>43542</v>
      </c>
      <c r="C2162" s="1" t="n">
        <v>45212</v>
      </c>
      <c r="D2162" t="inlineStr">
        <is>
          <t>VÄSTRA GÖTALANDS LÄN</t>
        </is>
      </c>
      <c r="E2162" t="inlineStr">
        <is>
          <t>BOLLEBYGD</t>
        </is>
      </c>
      <c r="G2162" t="n">
        <v>2.1</v>
      </c>
      <c r="H2162" t="n">
        <v>0</v>
      </c>
      <c r="I2162" t="n">
        <v>0</v>
      </c>
      <c r="J2162" t="n">
        <v>0</v>
      </c>
      <c r="K2162" t="n">
        <v>0</v>
      </c>
      <c r="L2162" t="n">
        <v>0</v>
      </c>
      <c r="M2162" t="n">
        <v>0</v>
      </c>
      <c r="N2162" t="n">
        <v>0</v>
      </c>
      <c r="O2162" t="n">
        <v>0</v>
      </c>
      <c r="P2162" t="n">
        <v>0</v>
      </c>
      <c r="Q2162" t="n">
        <v>0</v>
      </c>
      <c r="R2162" s="2" t="inlineStr"/>
    </row>
    <row r="2163" ht="15" customHeight="1">
      <c r="A2163" t="inlineStr">
        <is>
          <t>A 15741-2019</t>
        </is>
      </c>
      <c r="B2163" s="1" t="n">
        <v>43542</v>
      </c>
      <c r="C2163" s="1" t="n">
        <v>45212</v>
      </c>
      <c r="D2163" t="inlineStr">
        <is>
          <t>VÄSTRA GÖTALANDS LÄN</t>
        </is>
      </c>
      <c r="E2163" t="inlineStr">
        <is>
          <t>MELLERUD</t>
        </is>
      </c>
      <c r="G2163" t="n">
        <v>9.4</v>
      </c>
      <c r="H2163" t="n">
        <v>0</v>
      </c>
      <c r="I2163" t="n">
        <v>0</v>
      </c>
      <c r="J2163" t="n">
        <v>0</v>
      </c>
      <c r="K2163" t="n">
        <v>0</v>
      </c>
      <c r="L2163" t="n">
        <v>0</v>
      </c>
      <c r="M2163" t="n">
        <v>0</v>
      </c>
      <c r="N2163" t="n">
        <v>0</v>
      </c>
      <c r="O2163" t="n">
        <v>0</v>
      </c>
      <c r="P2163" t="n">
        <v>0</v>
      </c>
      <c r="Q2163" t="n">
        <v>0</v>
      </c>
      <c r="R2163" s="2" t="inlineStr"/>
    </row>
    <row r="2164" ht="15" customHeight="1">
      <c r="A2164" t="inlineStr">
        <is>
          <t>A 15802-2019</t>
        </is>
      </c>
      <c r="B2164" s="1" t="n">
        <v>43542</v>
      </c>
      <c r="C2164" s="1" t="n">
        <v>45212</v>
      </c>
      <c r="D2164" t="inlineStr">
        <is>
          <t>VÄSTRA GÖTALANDS LÄN</t>
        </is>
      </c>
      <c r="E2164" t="inlineStr">
        <is>
          <t>FALKÖPING</t>
        </is>
      </c>
      <c r="G2164" t="n">
        <v>2.8</v>
      </c>
      <c r="H2164" t="n">
        <v>0</v>
      </c>
      <c r="I2164" t="n">
        <v>0</v>
      </c>
      <c r="J2164" t="n">
        <v>0</v>
      </c>
      <c r="K2164" t="n">
        <v>0</v>
      </c>
      <c r="L2164" t="n">
        <v>0</v>
      </c>
      <c r="M2164" t="n">
        <v>0</v>
      </c>
      <c r="N2164" t="n">
        <v>0</v>
      </c>
      <c r="O2164" t="n">
        <v>0</v>
      </c>
      <c r="P2164" t="n">
        <v>0</v>
      </c>
      <c r="Q2164" t="n">
        <v>0</v>
      </c>
      <c r="R2164" s="2" t="inlineStr"/>
    </row>
    <row r="2165" ht="15" customHeight="1">
      <c r="A2165" t="inlineStr">
        <is>
          <t>A 15601-2019</t>
        </is>
      </c>
      <c r="B2165" s="1" t="n">
        <v>43543</v>
      </c>
      <c r="C2165" s="1" t="n">
        <v>45212</v>
      </c>
      <c r="D2165" t="inlineStr">
        <is>
          <t>VÄSTRA GÖTALANDS LÄN</t>
        </is>
      </c>
      <c r="E2165" t="inlineStr">
        <is>
          <t>GÖTENE</t>
        </is>
      </c>
      <c r="G2165" t="n">
        <v>1.1</v>
      </c>
      <c r="H2165" t="n">
        <v>0</v>
      </c>
      <c r="I2165" t="n">
        <v>0</v>
      </c>
      <c r="J2165" t="n">
        <v>0</v>
      </c>
      <c r="K2165" t="n">
        <v>0</v>
      </c>
      <c r="L2165" t="n">
        <v>0</v>
      </c>
      <c r="M2165" t="n">
        <v>0</v>
      </c>
      <c r="N2165" t="n">
        <v>0</v>
      </c>
      <c r="O2165" t="n">
        <v>0</v>
      </c>
      <c r="P2165" t="n">
        <v>0</v>
      </c>
      <c r="Q2165" t="n">
        <v>0</v>
      </c>
      <c r="R2165" s="2" t="inlineStr"/>
    </row>
    <row r="2166" ht="15" customHeight="1">
      <c r="A2166" t="inlineStr">
        <is>
          <t>A 15636-2019</t>
        </is>
      </c>
      <c r="B2166" s="1" t="n">
        <v>43543</v>
      </c>
      <c r="C2166" s="1" t="n">
        <v>45212</v>
      </c>
      <c r="D2166" t="inlineStr">
        <is>
          <t>VÄSTRA GÖTALANDS LÄN</t>
        </is>
      </c>
      <c r="E2166" t="inlineStr">
        <is>
          <t>MARK</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15608-2019</t>
        </is>
      </c>
      <c r="B2167" s="1" t="n">
        <v>43543</v>
      </c>
      <c r="C2167" s="1" t="n">
        <v>45212</v>
      </c>
      <c r="D2167" t="inlineStr">
        <is>
          <t>VÄSTRA GÖTALANDS LÄN</t>
        </is>
      </c>
      <c r="E2167" t="inlineStr">
        <is>
          <t>GÖTENE</t>
        </is>
      </c>
      <c r="G2167" t="n">
        <v>1.1</v>
      </c>
      <c r="H2167" t="n">
        <v>0</v>
      </c>
      <c r="I2167" t="n">
        <v>0</v>
      </c>
      <c r="J2167" t="n">
        <v>0</v>
      </c>
      <c r="K2167" t="n">
        <v>0</v>
      </c>
      <c r="L2167" t="n">
        <v>0</v>
      </c>
      <c r="M2167" t="n">
        <v>0</v>
      </c>
      <c r="N2167" t="n">
        <v>0</v>
      </c>
      <c r="O2167" t="n">
        <v>0</v>
      </c>
      <c r="P2167" t="n">
        <v>0</v>
      </c>
      <c r="Q2167" t="n">
        <v>0</v>
      </c>
      <c r="R2167" s="2" t="inlineStr"/>
    </row>
    <row r="2168" ht="15" customHeight="1">
      <c r="A2168" t="inlineStr">
        <is>
          <t>A 15648-2019</t>
        </is>
      </c>
      <c r="B2168" s="1" t="n">
        <v>43543</v>
      </c>
      <c r="C2168" s="1" t="n">
        <v>45212</v>
      </c>
      <c r="D2168" t="inlineStr">
        <is>
          <t>VÄSTRA GÖTALANDS LÄN</t>
        </is>
      </c>
      <c r="E2168" t="inlineStr">
        <is>
          <t>FÄRGELANDA</t>
        </is>
      </c>
      <c r="G2168" t="n">
        <v>19.1</v>
      </c>
      <c r="H2168" t="n">
        <v>0</v>
      </c>
      <c r="I2168" t="n">
        <v>0</v>
      </c>
      <c r="J2168" t="n">
        <v>0</v>
      </c>
      <c r="K2168" t="n">
        <v>0</v>
      </c>
      <c r="L2168" t="n">
        <v>0</v>
      </c>
      <c r="M2168" t="n">
        <v>0</v>
      </c>
      <c r="N2168" t="n">
        <v>0</v>
      </c>
      <c r="O2168" t="n">
        <v>0</v>
      </c>
      <c r="P2168" t="n">
        <v>0</v>
      </c>
      <c r="Q2168" t="n">
        <v>0</v>
      </c>
      <c r="R2168" s="2" t="inlineStr"/>
    </row>
    <row r="2169" ht="15" customHeight="1">
      <c r="A2169" t="inlineStr">
        <is>
          <t>A 15771-2019</t>
        </is>
      </c>
      <c r="B2169" s="1" t="n">
        <v>43543</v>
      </c>
      <c r="C2169" s="1" t="n">
        <v>45212</v>
      </c>
      <c r="D2169" t="inlineStr">
        <is>
          <t>VÄSTRA GÖTALANDS LÄN</t>
        </is>
      </c>
      <c r="E2169" t="inlineStr">
        <is>
          <t>SKARA</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15847-2019</t>
        </is>
      </c>
      <c r="B2170" s="1" t="n">
        <v>43543</v>
      </c>
      <c r="C2170" s="1" t="n">
        <v>45212</v>
      </c>
      <c r="D2170" t="inlineStr">
        <is>
          <t>VÄSTRA GÖTALANDS LÄN</t>
        </is>
      </c>
      <c r="E2170" t="inlineStr">
        <is>
          <t>TIDAHOLM</t>
        </is>
      </c>
      <c r="G2170" t="n">
        <v>0.3</v>
      </c>
      <c r="H2170" t="n">
        <v>0</v>
      </c>
      <c r="I2170" t="n">
        <v>0</v>
      </c>
      <c r="J2170" t="n">
        <v>0</v>
      </c>
      <c r="K2170" t="n">
        <v>0</v>
      </c>
      <c r="L2170" t="n">
        <v>0</v>
      </c>
      <c r="M2170" t="n">
        <v>0</v>
      </c>
      <c r="N2170" t="n">
        <v>0</v>
      </c>
      <c r="O2170" t="n">
        <v>0</v>
      </c>
      <c r="P2170" t="n">
        <v>0</v>
      </c>
      <c r="Q2170" t="n">
        <v>0</v>
      </c>
      <c r="R2170" s="2" t="inlineStr"/>
    </row>
    <row r="2171" ht="15" customHeight="1">
      <c r="A2171" t="inlineStr">
        <is>
          <t>A 15928-2019</t>
        </is>
      </c>
      <c r="B2171" s="1" t="n">
        <v>43543</v>
      </c>
      <c r="C2171" s="1" t="n">
        <v>45212</v>
      </c>
      <c r="D2171" t="inlineStr">
        <is>
          <t>VÄSTRA GÖTALANDS LÄN</t>
        </is>
      </c>
      <c r="E2171" t="inlineStr">
        <is>
          <t>GÖTENE</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15593-2019</t>
        </is>
      </c>
      <c r="B2172" s="1" t="n">
        <v>43543</v>
      </c>
      <c r="C2172" s="1" t="n">
        <v>45212</v>
      </c>
      <c r="D2172" t="inlineStr">
        <is>
          <t>VÄSTRA GÖTALANDS LÄN</t>
        </is>
      </c>
      <c r="E2172" t="inlineStr">
        <is>
          <t>GÖTENE</t>
        </is>
      </c>
      <c r="G2172" t="n">
        <v>6.8</v>
      </c>
      <c r="H2172" t="n">
        <v>0</v>
      </c>
      <c r="I2172" t="n">
        <v>0</v>
      </c>
      <c r="J2172" t="n">
        <v>0</v>
      </c>
      <c r="K2172" t="n">
        <v>0</v>
      </c>
      <c r="L2172" t="n">
        <v>0</v>
      </c>
      <c r="M2172" t="n">
        <v>0</v>
      </c>
      <c r="N2172" t="n">
        <v>0</v>
      </c>
      <c r="O2172" t="n">
        <v>0</v>
      </c>
      <c r="P2172" t="n">
        <v>0</v>
      </c>
      <c r="Q2172" t="n">
        <v>0</v>
      </c>
      <c r="R2172" s="2" t="inlineStr"/>
    </row>
    <row r="2173" ht="15" customHeight="1">
      <c r="A2173" t="inlineStr">
        <is>
          <t>A 15604-2019</t>
        </is>
      </c>
      <c r="B2173" s="1" t="n">
        <v>43543</v>
      </c>
      <c r="C2173" s="1" t="n">
        <v>45212</v>
      </c>
      <c r="D2173" t="inlineStr">
        <is>
          <t>VÄSTRA GÖTALANDS LÄN</t>
        </is>
      </c>
      <c r="E2173" t="inlineStr">
        <is>
          <t>GÖTENE</t>
        </is>
      </c>
      <c r="G2173" t="n">
        <v>7.2</v>
      </c>
      <c r="H2173" t="n">
        <v>0</v>
      </c>
      <c r="I2173" t="n">
        <v>0</v>
      </c>
      <c r="J2173" t="n">
        <v>0</v>
      </c>
      <c r="K2173" t="n">
        <v>0</v>
      </c>
      <c r="L2173" t="n">
        <v>0</v>
      </c>
      <c r="M2173" t="n">
        <v>0</v>
      </c>
      <c r="N2173" t="n">
        <v>0</v>
      </c>
      <c r="O2173" t="n">
        <v>0</v>
      </c>
      <c r="P2173" t="n">
        <v>0</v>
      </c>
      <c r="Q2173" t="n">
        <v>0</v>
      </c>
      <c r="R2173" s="2" t="inlineStr"/>
    </row>
    <row r="2174" ht="15" customHeight="1">
      <c r="A2174" t="inlineStr">
        <is>
          <t>A 15674-2019</t>
        </is>
      </c>
      <c r="B2174" s="1" t="n">
        <v>43543</v>
      </c>
      <c r="C2174" s="1" t="n">
        <v>45212</v>
      </c>
      <c r="D2174" t="inlineStr">
        <is>
          <t>VÄSTRA GÖTALANDS LÄN</t>
        </is>
      </c>
      <c r="E2174" t="inlineStr">
        <is>
          <t>TÖREBODA</t>
        </is>
      </c>
      <c r="G2174" t="n">
        <v>0.6</v>
      </c>
      <c r="H2174" t="n">
        <v>0</v>
      </c>
      <c r="I2174" t="n">
        <v>0</v>
      </c>
      <c r="J2174" t="n">
        <v>0</v>
      </c>
      <c r="K2174" t="n">
        <v>0</v>
      </c>
      <c r="L2174" t="n">
        <v>0</v>
      </c>
      <c r="M2174" t="n">
        <v>0</v>
      </c>
      <c r="N2174" t="n">
        <v>0</v>
      </c>
      <c r="O2174" t="n">
        <v>0</v>
      </c>
      <c r="P2174" t="n">
        <v>0</v>
      </c>
      <c r="Q2174" t="n">
        <v>0</v>
      </c>
      <c r="R2174" s="2" t="inlineStr"/>
    </row>
    <row r="2175" ht="15" customHeight="1">
      <c r="A2175" t="inlineStr">
        <is>
          <t>A 15759-2019</t>
        </is>
      </c>
      <c r="B2175" s="1" t="n">
        <v>43543</v>
      </c>
      <c r="C2175" s="1" t="n">
        <v>45212</v>
      </c>
      <c r="D2175" t="inlineStr">
        <is>
          <t>VÄSTRA GÖTALANDS LÄN</t>
        </is>
      </c>
      <c r="E2175" t="inlineStr">
        <is>
          <t>FALKÖPING</t>
        </is>
      </c>
      <c r="G2175" t="n">
        <v>1.4</v>
      </c>
      <c r="H2175" t="n">
        <v>0</v>
      </c>
      <c r="I2175" t="n">
        <v>0</v>
      </c>
      <c r="J2175" t="n">
        <v>0</v>
      </c>
      <c r="K2175" t="n">
        <v>0</v>
      </c>
      <c r="L2175" t="n">
        <v>0</v>
      </c>
      <c r="M2175" t="n">
        <v>0</v>
      </c>
      <c r="N2175" t="n">
        <v>0</v>
      </c>
      <c r="O2175" t="n">
        <v>0</v>
      </c>
      <c r="P2175" t="n">
        <v>0</v>
      </c>
      <c r="Q2175" t="n">
        <v>0</v>
      </c>
      <c r="R2175" s="2" t="inlineStr"/>
    </row>
    <row r="2176" ht="15" customHeight="1">
      <c r="A2176" t="inlineStr">
        <is>
          <t>A 15717-2019</t>
        </is>
      </c>
      <c r="B2176" s="1" t="n">
        <v>43543</v>
      </c>
      <c r="C2176" s="1" t="n">
        <v>45212</v>
      </c>
      <c r="D2176" t="inlineStr">
        <is>
          <t>VÄSTRA GÖTALANDS LÄN</t>
        </is>
      </c>
      <c r="E2176" t="inlineStr">
        <is>
          <t>BORÅS</t>
        </is>
      </c>
      <c r="G2176" t="n">
        <v>2.9</v>
      </c>
      <c r="H2176" t="n">
        <v>0</v>
      </c>
      <c r="I2176" t="n">
        <v>0</v>
      </c>
      <c r="J2176" t="n">
        <v>0</v>
      </c>
      <c r="K2176" t="n">
        <v>0</v>
      </c>
      <c r="L2176" t="n">
        <v>0</v>
      </c>
      <c r="M2176" t="n">
        <v>0</v>
      </c>
      <c r="N2176" t="n">
        <v>0</v>
      </c>
      <c r="O2176" t="n">
        <v>0</v>
      </c>
      <c r="P2176" t="n">
        <v>0</v>
      </c>
      <c r="Q2176" t="n">
        <v>0</v>
      </c>
      <c r="R2176" s="2" t="inlineStr"/>
    </row>
    <row r="2177" ht="15" customHeight="1">
      <c r="A2177" t="inlineStr">
        <is>
          <t>A 15933-2019</t>
        </is>
      </c>
      <c r="B2177" s="1" t="n">
        <v>43543</v>
      </c>
      <c r="C2177" s="1" t="n">
        <v>45212</v>
      </c>
      <c r="D2177" t="inlineStr">
        <is>
          <t>VÄSTRA GÖTALANDS LÄN</t>
        </is>
      </c>
      <c r="E2177" t="inlineStr">
        <is>
          <t>GÖTENE</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15917-2019</t>
        </is>
      </c>
      <c r="B2178" s="1" t="n">
        <v>43544</v>
      </c>
      <c r="C2178" s="1" t="n">
        <v>45212</v>
      </c>
      <c r="D2178" t="inlineStr">
        <is>
          <t>VÄSTRA GÖTALANDS LÄN</t>
        </is>
      </c>
      <c r="E2178" t="inlineStr">
        <is>
          <t>TIDAHOLM</t>
        </is>
      </c>
      <c r="G2178" t="n">
        <v>0.5</v>
      </c>
      <c r="H2178" t="n">
        <v>0</v>
      </c>
      <c r="I2178" t="n">
        <v>0</v>
      </c>
      <c r="J2178" t="n">
        <v>0</v>
      </c>
      <c r="K2178" t="n">
        <v>0</v>
      </c>
      <c r="L2178" t="n">
        <v>0</v>
      </c>
      <c r="M2178" t="n">
        <v>0</v>
      </c>
      <c r="N2178" t="n">
        <v>0</v>
      </c>
      <c r="O2178" t="n">
        <v>0</v>
      </c>
      <c r="P2178" t="n">
        <v>0</v>
      </c>
      <c r="Q2178" t="n">
        <v>0</v>
      </c>
      <c r="R2178" s="2" t="inlineStr"/>
    </row>
    <row r="2179" ht="15" customHeight="1">
      <c r="A2179" t="inlineStr">
        <is>
          <t>A 15935-2019</t>
        </is>
      </c>
      <c r="B2179" s="1" t="n">
        <v>43544</v>
      </c>
      <c r="C2179" s="1" t="n">
        <v>45212</v>
      </c>
      <c r="D2179" t="inlineStr">
        <is>
          <t>VÄSTRA GÖTALANDS LÄN</t>
        </is>
      </c>
      <c r="E2179" t="inlineStr">
        <is>
          <t>SVENLJUNGA</t>
        </is>
      </c>
      <c r="F2179" t="inlineStr">
        <is>
          <t>Sveaskog</t>
        </is>
      </c>
      <c r="G2179" t="n">
        <v>6.3</v>
      </c>
      <c r="H2179" t="n">
        <v>0</v>
      </c>
      <c r="I2179" t="n">
        <v>0</v>
      </c>
      <c r="J2179" t="n">
        <v>0</v>
      </c>
      <c r="K2179" t="n">
        <v>0</v>
      </c>
      <c r="L2179" t="n">
        <v>0</v>
      </c>
      <c r="M2179" t="n">
        <v>0</v>
      </c>
      <c r="N2179" t="n">
        <v>0</v>
      </c>
      <c r="O2179" t="n">
        <v>0</v>
      </c>
      <c r="P2179" t="n">
        <v>0</v>
      </c>
      <c r="Q2179" t="n">
        <v>0</v>
      </c>
      <c r="R2179" s="2" t="inlineStr"/>
    </row>
    <row r="2180" ht="15" customHeight="1">
      <c r="A2180" t="inlineStr">
        <is>
          <t>A 16104-2019</t>
        </is>
      </c>
      <c r="B2180" s="1" t="n">
        <v>43544</v>
      </c>
      <c r="C2180" s="1" t="n">
        <v>45212</v>
      </c>
      <c r="D2180" t="inlineStr">
        <is>
          <t>VÄSTRA GÖTALANDS LÄN</t>
        </is>
      </c>
      <c r="E2180" t="inlineStr">
        <is>
          <t>TIDAHOLM</t>
        </is>
      </c>
      <c r="G2180" t="n">
        <v>2.5</v>
      </c>
      <c r="H2180" t="n">
        <v>0</v>
      </c>
      <c r="I2180" t="n">
        <v>0</v>
      </c>
      <c r="J2180" t="n">
        <v>0</v>
      </c>
      <c r="K2180" t="n">
        <v>0</v>
      </c>
      <c r="L2180" t="n">
        <v>0</v>
      </c>
      <c r="M2180" t="n">
        <v>0</v>
      </c>
      <c r="N2180" t="n">
        <v>0</v>
      </c>
      <c r="O2180" t="n">
        <v>0</v>
      </c>
      <c r="P2180" t="n">
        <v>0</v>
      </c>
      <c r="Q2180" t="n">
        <v>0</v>
      </c>
      <c r="R2180" s="2" t="inlineStr"/>
    </row>
    <row r="2181" ht="15" customHeight="1">
      <c r="A2181" t="inlineStr">
        <is>
          <t>A 16127-2019</t>
        </is>
      </c>
      <c r="B2181" s="1" t="n">
        <v>43544</v>
      </c>
      <c r="C2181" s="1" t="n">
        <v>45212</v>
      </c>
      <c r="D2181" t="inlineStr">
        <is>
          <t>VÄSTRA GÖTALANDS LÄN</t>
        </is>
      </c>
      <c r="E2181" t="inlineStr">
        <is>
          <t>MELLERUD</t>
        </is>
      </c>
      <c r="G2181" t="n">
        <v>0.6</v>
      </c>
      <c r="H2181" t="n">
        <v>0</v>
      </c>
      <c r="I2181" t="n">
        <v>0</v>
      </c>
      <c r="J2181" t="n">
        <v>0</v>
      </c>
      <c r="K2181" t="n">
        <v>0</v>
      </c>
      <c r="L2181" t="n">
        <v>0</v>
      </c>
      <c r="M2181" t="n">
        <v>0</v>
      </c>
      <c r="N2181" t="n">
        <v>0</v>
      </c>
      <c r="O2181" t="n">
        <v>0</v>
      </c>
      <c r="P2181" t="n">
        <v>0</v>
      </c>
      <c r="Q2181" t="n">
        <v>0</v>
      </c>
      <c r="R2181" s="2" t="inlineStr"/>
    </row>
    <row r="2182" ht="15" customHeight="1">
      <c r="A2182" t="inlineStr">
        <is>
          <t>A 16153-2019</t>
        </is>
      </c>
      <c r="B2182" s="1" t="n">
        <v>43544</v>
      </c>
      <c r="C2182" s="1" t="n">
        <v>45212</v>
      </c>
      <c r="D2182" t="inlineStr">
        <is>
          <t>VÄSTRA GÖTALANDS LÄN</t>
        </is>
      </c>
      <c r="E2182" t="inlineStr">
        <is>
          <t>BENGTSFORS</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15930-2019</t>
        </is>
      </c>
      <c r="B2183" s="1" t="n">
        <v>43544</v>
      </c>
      <c r="C2183" s="1" t="n">
        <v>45212</v>
      </c>
      <c r="D2183" t="inlineStr">
        <is>
          <t>VÄSTRA GÖTALANDS LÄN</t>
        </is>
      </c>
      <c r="E2183" t="inlineStr">
        <is>
          <t>SVENLJUNGA</t>
        </is>
      </c>
      <c r="F2183" t="inlineStr">
        <is>
          <t>Sveaskog</t>
        </is>
      </c>
      <c r="G2183" t="n">
        <v>2.5</v>
      </c>
      <c r="H2183" t="n">
        <v>0</v>
      </c>
      <c r="I2183" t="n">
        <v>0</v>
      </c>
      <c r="J2183" t="n">
        <v>0</v>
      </c>
      <c r="K2183" t="n">
        <v>0</v>
      </c>
      <c r="L2183" t="n">
        <v>0</v>
      </c>
      <c r="M2183" t="n">
        <v>0</v>
      </c>
      <c r="N2183" t="n">
        <v>0</v>
      </c>
      <c r="O2183" t="n">
        <v>0</v>
      </c>
      <c r="P2183" t="n">
        <v>0</v>
      </c>
      <c r="Q2183" t="n">
        <v>0</v>
      </c>
      <c r="R2183" s="2" t="inlineStr"/>
    </row>
    <row r="2184" ht="15" customHeight="1">
      <c r="A2184" t="inlineStr">
        <is>
          <t>A 15970-2019</t>
        </is>
      </c>
      <c r="B2184" s="1" t="n">
        <v>43544</v>
      </c>
      <c r="C2184" s="1" t="n">
        <v>45212</v>
      </c>
      <c r="D2184" t="inlineStr">
        <is>
          <t>VÄSTRA GÖTALANDS LÄN</t>
        </is>
      </c>
      <c r="E2184" t="inlineStr">
        <is>
          <t>SKÖVDE</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15981-2019</t>
        </is>
      </c>
      <c r="B2185" s="1" t="n">
        <v>43544</v>
      </c>
      <c r="C2185" s="1" t="n">
        <v>45212</v>
      </c>
      <c r="D2185" t="inlineStr">
        <is>
          <t>VÄSTRA GÖTALANDS LÄN</t>
        </is>
      </c>
      <c r="E2185" t="inlineStr">
        <is>
          <t>GULLSPÅNG</t>
        </is>
      </c>
      <c r="G2185" t="n">
        <v>3.7</v>
      </c>
      <c r="H2185" t="n">
        <v>0</v>
      </c>
      <c r="I2185" t="n">
        <v>0</v>
      </c>
      <c r="J2185" t="n">
        <v>0</v>
      </c>
      <c r="K2185" t="n">
        <v>0</v>
      </c>
      <c r="L2185" t="n">
        <v>0</v>
      </c>
      <c r="M2185" t="n">
        <v>0</v>
      </c>
      <c r="N2185" t="n">
        <v>0</v>
      </c>
      <c r="O2185" t="n">
        <v>0</v>
      </c>
      <c r="P2185" t="n">
        <v>0</v>
      </c>
      <c r="Q2185" t="n">
        <v>0</v>
      </c>
      <c r="R2185" s="2" t="inlineStr"/>
    </row>
    <row r="2186" ht="15" customHeight="1">
      <c r="A2186" t="inlineStr">
        <is>
          <t>A 16082-2019</t>
        </is>
      </c>
      <c r="B2186" s="1" t="n">
        <v>43544</v>
      </c>
      <c r="C2186" s="1" t="n">
        <v>45212</v>
      </c>
      <c r="D2186" t="inlineStr">
        <is>
          <t>VÄSTRA GÖTALANDS LÄN</t>
        </is>
      </c>
      <c r="E2186" t="inlineStr">
        <is>
          <t>HÄRRYDA</t>
        </is>
      </c>
      <c r="G2186" t="n">
        <v>1.2</v>
      </c>
      <c r="H2186" t="n">
        <v>0</v>
      </c>
      <c r="I2186" t="n">
        <v>0</v>
      </c>
      <c r="J2186" t="n">
        <v>0</v>
      </c>
      <c r="K2186" t="n">
        <v>0</v>
      </c>
      <c r="L2186" t="n">
        <v>0</v>
      </c>
      <c r="M2186" t="n">
        <v>0</v>
      </c>
      <c r="N2186" t="n">
        <v>0</v>
      </c>
      <c r="O2186" t="n">
        <v>0</v>
      </c>
      <c r="P2186" t="n">
        <v>0</v>
      </c>
      <c r="Q2186" t="n">
        <v>0</v>
      </c>
      <c r="R2186" s="2" t="inlineStr"/>
    </row>
    <row r="2187" ht="15" customHeight="1">
      <c r="A2187" t="inlineStr">
        <is>
          <t>A 16100-2019</t>
        </is>
      </c>
      <c r="B2187" s="1" t="n">
        <v>43544</v>
      </c>
      <c r="C2187" s="1" t="n">
        <v>45212</v>
      </c>
      <c r="D2187" t="inlineStr">
        <is>
          <t>VÄSTRA GÖTALANDS LÄN</t>
        </is>
      </c>
      <c r="E2187" t="inlineStr">
        <is>
          <t>BOLLEBYGD</t>
        </is>
      </c>
      <c r="G2187" t="n">
        <v>1.4</v>
      </c>
      <c r="H2187" t="n">
        <v>0</v>
      </c>
      <c r="I2187" t="n">
        <v>0</v>
      </c>
      <c r="J2187" t="n">
        <v>0</v>
      </c>
      <c r="K2187" t="n">
        <v>0</v>
      </c>
      <c r="L2187" t="n">
        <v>0</v>
      </c>
      <c r="M2187" t="n">
        <v>0</v>
      </c>
      <c r="N2187" t="n">
        <v>0</v>
      </c>
      <c r="O2187" t="n">
        <v>0</v>
      </c>
      <c r="P2187" t="n">
        <v>0</v>
      </c>
      <c r="Q2187" t="n">
        <v>0</v>
      </c>
      <c r="R2187" s="2" t="inlineStr"/>
    </row>
    <row r="2188" ht="15" customHeight="1">
      <c r="A2188" t="inlineStr">
        <is>
          <t>A 16125-2019</t>
        </is>
      </c>
      <c r="B2188" s="1" t="n">
        <v>43544</v>
      </c>
      <c r="C2188" s="1" t="n">
        <v>45212</v>
      </c>
      <c r="D2188" t="inlineStr">
        <is>
          <t>VÄSTRA GÖTALANDS LÄN</t>
        </is>
      </c>
      <c r="E2188" t="inlineStr">
        <is>
          <t>ÅMÅL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16146-2019</t>
        </is>
      </c>
      <c r="B2189" s="1" t="n">
        <v>43544</v>
      </c>
      <c r="C2189" s="1" t="n">
        <v>45212</v>
      </c>
      <c r="D2189" t="inlineStr">
        <is>
          <t>VÄSTRA GÖTALANDS LÄN</t>
        </is>
      </c>
      <c r="E2189" t="inlineStr">
        <is>
          <t>BENGTSFORS</t>
        </is>
      </c>
      <c r="G2189" t="n">
        <v>19.4</v>
      </c>
      <c r="H2189" t="n">
        <v>0</v>
      </c>
      <c r="I2189" t="n">
        <v>0</v>
      </c>
      <c r="J2189" t="n">
        <v>0</v>
      </c>
      <c r="K2189" t="n">
        <v>0</v>
      </c>
      <c r="L2189" t="n">
        <v>0</v>
      </c>
      <c r="M2189" t="n">
        <v>0</v>
      </c>
      <c r="N2189" t="n">
        <v>0</v>
      </c>
      <c r="O2189" t="n">
        <v>0</v>
      </c>
      <c r="P2189" t="n">
        <v>0</v>
      </c>
      <c r="Q2189" t="n">
        <v>0</v>
      </c>
      <c r="R2189" s="2" t="inlineStr"/>
    </row>
    <row r="2190" ht="15" customHeight="1">
      <c r="A2190" t="inlineStr">
        <is>
          <t>A 16182-2019</t>
        </is>
      </c>
      <c r="B2190" s="1" t="n">
        <v>43544</v>
      </c>
      <c r="C2190" s="1" t="n">
        <v>45212</v>
      </c>
      <c r="D2190" t="inlineStr">
        <is>
          <t>VÄSTRA GÖTALANDS LÄN</t>
        </is>
      </c>
      <c r="E2190" t="inlineStr">
        <is>
          <t>BENGTSFORS</t>
        </is>
      </c>
      <c r="G2190" t="n">
        <v>4.5</v>
      </c>
      <c r="H2190" t="n">
        <v>0</v>
      </c>
      <c r="I2190" t="n">
        <v>0</v>
      </c>
      <c r="J2190" t="n">
        <v>0</v>
      </c>
      <c r="K2190" t="n">
        <v>0</v>
      </c>
      <c r="L2190" t="n">
        <v>0</v>
      </c>
      <c r="M2190" t="n">
        <v>0</v>
      </c>
      <c r="N2190" t="n">
        <v>0</v>
      </c>
      <c r="O2190" t="n">
        <v>0</v>
      </c>
      <c r="P2190" t="n">
        <v>0</v>
      </c>
      <c r="Q2190" t="n">
        <v>0</v>
      </c>
      <c r="R2190" s="2" t="inlineStr"/>
    </row>
    <row r="2191" ht="15" customHeight="1">
      <c r="A2191" t="inlineStr">
        <is>
          <t>A 15918-2019</t>
        </is>
      </c>
      <c r="B2191" s="1" t="n">
        <v>43544</v>
      </c>
      <c r="C2191" s="1" t="n">
        <v>45212</v>
      </c>
      <c r="D2191" t="inlineStr">
        <is>
          <t>VÄSTRA GÖTALANDS LÄN</t>
        </is>
      </c>
      <c r="E2191" t="inlineStr">
        <is>
          <t>KUNGÄLV</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15929-2019</t>
        </is>
      </c>
      <c r="B2192" s="1" t="n">
        <v>43544</v>
      </c>
      <c r="C2192" s="1" t="n">
        <v>45212</v>
      </c>
      <c r="D2192" t="inlineStr">
        <is>
          <t>VÄSTRA GÖTALANDS LÄN</t>
        </is>
      </c>
      <c r="E2192" t="inlineStr">
        <is>
          <t>MARIESTAD</t>
        </is>
      </c>
      <c r="F2192" t="inlineStr">
        <is>
          <t>Sveaskog</t>
        </is>
      </c>
      <c r="G2192" t="n">
        <v>0.7</v>
      </c>
      <c r="H2192" t="n">
        <v>0</v>
      </c>
      <c r="I2192" t="n">
        <v>0</v>
      </c>
      <c r="J2192" t="n">
        <v>0</v>
      </c>
      <c r="K2192" t="n">
        <v>0</v>
      </c>
      <c r="L2192" t="n">
        <v>0</v>
      </c>
      <c r="M2192" t="n">
        <v>0</v>
      </c>
      <c r="N2192" t="n">
        <v>0</v>
      </c>
      <c r="O2192" t="n">
        <v>0</v>
      </c>
      <c r="P2192" t="n">
        <v>0</v>
      </c>
      <c r="Q2192" t="n">
        <v>0</v>
      </c>
      <c r="R2192" s="2" t="inlineStr"/>
    </row>
    <row r="2193" ht="15" customHeight="1">
      <c r="A2193" t="inlineStr">
        <is>
          <t>A 15937-2019</t>
        </is>
      </c>
      <c r="B2193" s="1" t="n">
        <v>43544</v>
      </c>
      <c r="C2193" s="1" t="n">
        <v>45212</v>
      </c>
      <c r="D2193" t="inlineStr">
        <is>
          <t>VÄSTRA GÖTALANDS LÄN</t>
        </is>
      </c>
      <c r="E2193" t="inlineStr">
        <is>
          <t>TIDAHOLM</t>
        </is>
      </c>
      <c r="F2193" t="inlineStr">
        <is>
          <t>Sveaskog</t>
        </is>
      </c>
      <c r="G2193" t="n">
        <v>1</v>
      </c>
      <c r="H2193" t="n">
        <v>0</v>
      </c>
      <c r="I2193" t="n">
        <v>0</v>
      </c>
      <c r="J2193" t="n">
        <v>0</v>
      </c>
      <c r="K2193" t="n">
        <v>0</v>
      </c>
      <c r="L2193" t="n">
        <v>0</v>
      </c>
      <c r="M2193" t="n">
        <v>0</v>
      </c>
      <c r="N2193" t="n">
        <v>0</v>
      </c>
      <c r="O2193" t="n">
        <v>0</v>
      </c>
      <c r="P2193" t="n">
        <v>0</v>
      </c>
      <c r="Q2193" t="n">
        <v>0</v>
      </c>
      <c r="R2193" s="2" t="inlineStr"/>
    </row>
    <row r="2194" ht="15" customHeight="1">
      <c r="A2194" t="inlineStr">
        <is>
          <t>A 16013-2019</t>
        </is>
      </c>
      <c r="B2194" s="1" t="n">
        <v>43544</v>
      </c>
      <c r="C2194" s="1" t="n">
        <v>45212</v>
      </c>
      <c r="D2194" t="inlineStr">
        <is>
          <t>VÄSTRA GÖTALANDS LÄN</t>
        </is>
      </c>
      <c r="E2194" t="inlineStr">
        <is>
          <t>DALS-ED</t>
        </is>
      </c>
      <c r="G2194" t="n">
        <v>9.300000000000001</v>
      </c>
      <c r="H2194" t="n">
        <v>0</v>
      </c>
      <c r="I2194" t="n">
        <v>0</v>
      </c>
      <c r="J2194" t="n">
        <v>0</v>
      </c>
      <c r="K2194" t="n">
        <v>0</v>
      </c>
      <c r="L2194" t="n">
        <v>0</v>
      </c>
      <c r="M2194" t="n">
        <v>0</v>
      </c>
      <c r="N2194" t="n">
        <v>0</v>
      </c>
      <c r="O2194" t="n">
        <v>0</v>
      </c>
      <c r="P2194" t="n">
        <v>0</v>
      </c>
      <c r="Q2194" t="n">
        <v>0</v>
      </c>
      <c r="R2194" s="2" t="inlineStr"/>
    </row>
    <row r="2195" ht="15" customHeight="1">
      <c r="A2195" t="inlineStr">
        <is>
          <t>A 16020-2019</t>
        </is>
      </c>
      <c r="B2195" s="1" t="n">
        <v>43544</v>
      </c>
      <c r="C2195" s="1" t="n">
        <v>45212</v>
      </c>
      <c r="D2195" t="inlineStr">
        <is>
          <t>VÄSTRA GÖTALANDS LÄN</t>
        </is>
      </c>
      <c r="E2195" t="inlineStr">
        <is>
          <t>MARIESTAD</t>
        </is>
      </c>
      <c r="G2195" t="n">
        <v>5.6</v>
      </c>
      <c r="H2195" t="n">
        <v>0</v>
      </c>
      <c r="I2195" t="n">
        <v>0</v>
      </c>
      <c r="J2195" t="n">
        <v>0</v>
      </c>
      <c r="K2195" t="n">
        <v>0</v>
      </c>
      <c r="L2195" t="n">
        <v>0</v>
      </c>
      <c r="M2195" t="n">
        <v>0</v>
      </c>
      <c r="N2195" t="n">
        <v>0</v>
      </c>
      <c r="O2195" t="n">
        <v>0</v>
      </c>
      <c r="P2195" t="n">
        <v>0</v>
      </c>
      <c r="Q2195" t="n">
        <v>0</v>
      </c>
      <c r="R2195" s="2" t="inlineStr"/>
    </row>
    <row r="2196" ht="15" customHeight="1">
      <c r="A2196" t="inlineStr">
        <is>
          <t>A 16037-2019</t>
        </is>
      </c>
      <c r="B2196" s="1" t="n">
        <v>43544</v>
      </c>
      <c r="C2196" s="1" t="n">
        <v>45212</v>
      </c>
      <c r="D2196" t="inlineStr">
        <is>
          <t>VÄSTRA GÖTALANDS LÄN</t>
        </is>
      </c>
      <c r="E2196" t="inlineStr">
        <is>
          <t>TRANEMO</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16065-2019</t>
        </is>
      </c>
      <c r="B2197" s="1" t="n">
        <v>43544</v>
      </c>
      <c r="C2197" s="1" t="n">
        <v>45212</v>
      </c>
      <c r="D2197" t="inlineStr">
        <is>
          <t>VÄSTRA GÖTALANDS LÄN</t>
        </is>
      </c>
      <c r="E2197" t="inlineStr">
        <is>
          <t>HÄRRYDA</t>
        </is>
      </c>
      <c r="G2197" t="n">
        <v>4.6</v>
      </c>
      <c r="H2197" t="n">
        <v>0</v>
      </c>
      <c r="I2197" t="n">
        <v>0</v>
      </c>
      <c r="J2197" t="n">
        <v>0</v>
      </c>
      <c r="K2197" t="n">
        <v>0</v>
      </c>
      <c r="L2197" t="n">
        <v>0</v>
      </c>
      <c r="M2197" t="n">
        <v>0</v>
      </c>
      <c r="N2197" t="n">
        <v>0</v>
      </c>
      <c r="O2197" t="n">
        <v>0</v>
      </c>
      <c r="P2197" t="n">
        <v>0</v>
      </c>
      <c r="Q2197" t="n">
        <v>0</v>
      </c>
      <c r="R2197" s="2" t="inlineStr"/>
    </row>
    <row r="2198" ht="15" customHeight="1">
      <c r="A2198" t="inlineStr">
        <is>
          <t>A 16166-2019</t>
        </is>
      </c>
      <c r="B2198" s="1" t="n">
        <v>43544</v>
      </c>
      <c r="C2198" s="1" t="n">
        <v>45212</v>
      </c>
      <c r="D2198" t="inlineStr">
        <is>
          <t>VÄSTRA GÖTALANDS LÄN</t>
        </is>
      </c>
      <c r="E2198" t="inlineStr">
        <is>
          <t>BENGTSFORS</t>
        </is>
      </c>
      <c r="G2198" t="n">
        <v>6.6</v>
      </c>
      <c r="H2198" t="n">
        <v>0</v>
      </c>
      <c r="I2198" t="n">
        <v>0</v>
      </c>
      <c r="J2198" t="n">
        <v>0</v>
      </c>
      <c r="K2198" t="n">
        <v>0</v>
      </c>
      <c r="L2198" t="n">
        <v>0</v>
      </c>
      <c r="M2198" t="n">
        <v>0</v>
      </c>
      <c r="N2198" t="n">
        <v>0</v>
      </c>
      <c r="O2198" t="n">
        <v>0</v>
      </c>
      <c r="P2198" t="n">
        <v>0</v>
      </c>
      <c r="Q2198" t="n">
        <v>0</v>
      </c>
      <c r="R2198" s="2" t="inlineStr"/>
    </row>
    <row r="2199" ht="15" customHeight="1">
      <c r="A2199" t="inlineStr">
        <is>
          <t>A 15934-2019</t>
        </is>
      </c>
      <c r="B2199" s="1" t="n">
        <v>43544</v>
      </c>
      <c r="C2199" s="1" t="n">
        <v>45212</v>
      </c>
      <c r="D2199" t="inlineStr">
        <is>
          <t>VÄSTRA GÖTALANDS LÄN</t>
        </is>
      </c>
      <c r="E2199" t="inlineStr">
        <is>
          <t>TIDAHOLM</t>
        </is>
      </c>
      <c r="F2199" t="inlineStr">
        <is>
          <t>Sveaskog</t>
        </is>
      </c>
      <c r="G2199" t="n">
        <v>1.5</v>
      </c>
      <c r="H2199" t="n">
        <v>0</v>
      </c>
      <c r="I2199" t="n">
        <v>0</v>
      </c>
      <c r="J2199" t="n">
        <v>0</v>
      </c>
      <c r="K2199" t="n">
        <v>0</v>
      </c>
      <c r="L2199" t="n">
        <v>0</v>
      </c>
      <c r="M2199" t="n">
        <v>0</v>
      </c>
      <c r="N2199" t="n">
        <v>0</v>
      </c>
      <c r="O2199" t="n">
        <v>0</v>
      </c>
      <c r="P2199" t="n">
        <v>0</v>
      </c>
      <c r="Q2199" t="n">
        <v>0</v>
      </c>
      <c r="R2199" s="2" t="inlineStr"/>
    </row>
    <row r="2200" ht="15" customHeight="1">
      <c r="A2200" t="inlineStr">
        <is>
          <t>A 16026-2019</t>
        </is>
      </c>
      <c r="B2200" s="1" t="n">
        <v>43544</v>
      </c>
      <c r="C2200" s="1" t="n">
        <v>45212</v>
      </c>
      <c r="D2200" t="inlineStr">
        <is>
          <t>VÄSTRA GÖTALANDS LÄN</t>
        </is>
      </c>
      <c r="E2200" t="inlineStr">
        <is>
          <t>BENGTSFORS</t>
        </is>
      </c>
      <c r="G2200" t="n">
        <v>3.5</v>
      </c>
      <c r="H2200" t="n">
        <v>0</v>
      </c>
      <c r="I2200" t="n">
        <v>0</v>
      </c>
      <c r="J2200" t="n">
        <v>0</v>
      </c>
      <c r="K2200" t="n">
        <v>0</v>
      </c>
      <c r="L2200" t="n">
        <v>0</v>
      </c>
      <c r="M2200" t="n">
        <v>0</v>
      </c>
      <c r="N2200" t="n">
        <v>0</v>
      </c>
      <c r="O2200" t="n">
        <v>0</v>
      </c>
      <c r="P2200" t="n">
        <v>0</v>
      </c>
      <c r="Q2200" t="n">
        <v>0</v>
      </c>
      <c r="R2200" s="2" t="inlineStr"/>
    </row>
    <row r="2201" ht="15" customHeight="1">
      <c r="A2201" t="inlineStr">
        <is>
          <t>A 16058-2019</t>
        </is>
      </c>
      <c r="B2201" s="1" t="n">
        <v>43544</v>
      </c>
      <c r="C2201" s="1" t="n">
        <v>45212</v>
      </c>
      <c r="D2201" t="inlineStr">
        <is>
          <t>VÄSTRA GÖTALANDS LÄN</t>
        </is>
      </c>
      <c r="E2201" t="inlineStr">
        <is>
          <t>BENGTSFORS</t>
        </is>
      </c>
      <c r="G2201" t="n">
        <v>7.5</v>
      </c>
      <c r="H2201" t="n">
        <v>0</v>
      </c>
      <c r="I2201" t="n">
        <v>0</v>
      </c>
      <c r="J2201" t="n">
        <v>0</v>
      </c>
      <c r="K2201" t="n">
        <v>0</v>
      </c>
      <c r="L2201" t="n">
        <v>0</v>
      </c>
      <c r="M2201" t="n">
        <v>0</v>
      </c>
      <c r="N2201" t="n">
        <v>0</v>
      </c>
      <c r="O2201" t="n">
        <v>0</v>
      </c>
      <c r="P2201" t="n">
        <v>0</v>
      </c>
      <c r="Q2201" t="n">
        <v>0</v>
      </c>
      <c r="R2201" s="2" t="inlineStr"/>
    </row>
    <row r="2202" ht="15" customHeight="1">
      <c r="A2202" t="inlineStr">
        <is>
          <t>A 16183-2019</t>
        </is>
      </c>
      <c r="B2202" s="1" t="n">
        <v>43544</v>
      </c>
      <c r="C2202" s="1" t="n">
        <v>45212</v>
      </c>
      <c r="D2202" t="inlineStr">
        <is>
          <t>VÄSTRA GÖTALANDS LÄN</t>
        </is>
      </c>
      <c r="E2202" t="inlineStr">
        <is>
          <t>BENGTSFORS</t>
        </is>
      </c>
      <c r="G2202" t="n">
        <v>4.4</v>
      </c>
      <c r="H2202" t="n">
        <v>0</v>
      </c>
      <c r="I2202" t="n">
        <v>0</v>
      </c>
      <c r="J2202" t="n">
        <v>0</v>
      </c>
      <c r="K2202" t="n">
        <v>0</v>
      </c>
      <c r="L2202" t="n">
        <v>0</v>
      </c>
      <c r="M2202" t="n">
        <v>0</v>
      </c>
      <c r="N2202" t="n">
        <v>0</v>
      </c>
      <c r="O2202" t="n">
        <v>0</v>
      </c>
      <c r="P2202" t="n">
        <v>0</v>
      </c>
      <c r="Q2202" t="n">
        <v>0</v>
      </c>
      <c r="R2202" s="2" t="inlineStr"/>
    </row>
    <row r="2203" ht="15" customHeight="1">
      <c r="A2203" t="inlineStr">
        <is>
          <t>A 16202-2019</t>
        </is>
      </c>
      <c r="B2203" s="1" t="n">
        <v>43545</v>
      </c>
      <c r="C2203" s="1" t="n">
        <v>45212</v>
      </c>
      <c r="D2203" t="inlineStr">
        <is>
          <t>VÄSTRA GÖTALANDS LÄN</t>
        </is>
      </c>
      <c r="E2203" t="inlineStr">
        <is>
          <t>LYSEKIL</t>
        </is>
      </c>
      <c r="G2203" t="n">
        <v>2.5</v>
      </c>
      <c r="H2203" t="n">
        <v>0</v>
      </c>
      <c r="I2203" t="n">
        <v>0</v>
      </c>
      <c r="J2203" t="n">
        <v>0</v>
      </c>
      <c r="K2203" t="n">
        <v>0</v>
      </c>
      <c r="L2203" t="n">
        <v>0</v>
      </c>
      <c r="M2203" t="n">
        <v>0</v>
      </c>
      <c r="N2203" t="n">
        <v>0</v>
      </c>
      <c r="O2203" t="n">
        <v>0</v>
      </c>
      <c r="P2203" t="n">
        <v>0</v>
      </c>
      <c r="Q2203" t="n">
        <v>0</v>
      </c>
      <c r="R2203" s="2" t="inlineStr"/>
    </row>
    <row r="2204" ht="15" customHeight="1">
      <c r="A2204" t="inlineStr">
        <is>
          <t>A 16291-2019</t>
        </is>
      </c>
      <c r="B2204" s="1" t="n">
        <v>43545</v>
      </c>
      <c r="C2204" s="1" t="n">
        <v>45212</v>
      </c>
      <c r="D2204" t="inlineStr">
        <is>
          <t>VÄSTRA GÖTALANDS LÄN</t>
        </is>
      </c>
      <c r="E2204" t="inlineStr">
        <is>
          <t>VÄNERSBORG</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16223-2019</t>
        </is>
      </c>
      <c r="B2205" s="1" t="n">
        <v>43545</v>
      </c>
      <c r="C2205" s="1" t="n">
        <v>45212</v>
      </c>
      <c r="D2205" t="inlineStr">
        <is>
          <t>VÄSTRA GÖTALANDS LÄN</t>
        </is>
      </c>
      <c r="E2205" t="inlineStr">
        <is>
          <t>HJO</t>
        </is>
      </c>
      <c r="G2205" t="n">
        <v>3.1</v>
      </c>
      <c r="H2205" t="n">
        <v>0</v>
      </c>
      <c r="I2205" t="n">
        <v>0</v>
      </c>
      <c r="J2205" t="n">
        <v>0</v>
      </c>
      <c r="K2205" t="n">
        <v>0</v>
      </c>
      <c r="L2205" t="n">
        <v>0</v>
      </c>
      <c r="M2205" t="n">
        <v>0</v>
      </c>
      <c r="N2205" t="n">
        <v>0</v>
      </c>
      <c r="O2205" t="n">
        <v>0</v>
      </c>
      <c r="P2205" t="n">
        <v>0</v>
      </c>
      <c r="Q2205" t="n">
        <v>0</v>
      </c>
      <c r="R2205" s="2" t="inlineStr"/>
    </row>
    <row r="2206" ht="15" customHeight="1">
      <c r="A2206" t="inlineStr">
        <is>
          <t>A 16243-2019</t>
        </is>
      </c>
      <c r="B2206" s="1" t="n">
        <v>43545</v>
      </c>
      <c r="C2206" s="1" t="n">
        <v>45212</v>
      </c>
      <c r="D2206" t="inlineStr">
        <is>
          <t>VÄSTRA GÖTALANDS LÄN</t>
        </is>
      </c>
      <c r="E2206" t="inlineStr">
        <is>
          <t>UDDEVALLA</t>
        </is>
      </c>
      <c r="G2206" t="n">
        <v>4.9</v>
      </c>
      <c r="H2206" t="n">
        <v>0</v>
      </c>
      <c r="I2206" t="n">
        <v>0</v>
      </c>
      <c r="J2206" t="n">
        <v>0</v>
      </c>
      <c r="K2206" t="n">
        <v>0</v>
      </c>
      <c r="L2206" t="n">
        <v>0</v>
      </c>
      <c r="M2206" t="n">
        <v>0</v>
      </c>
      <c r="N2206" t="n">
        <v>0</v>
      </c>
      <c r="O2206" t="n">
        <v>0</v>
      </c>
      <c r="P2206" t="n">
        <v>0</v>
      </c>
      <c r="Q2206" t="n">
        <v>0</v>
      </c>
      <c r="R2206" s="2" t="inlineStr"/>
    </row>
    <row r="2207" ht="15" customHeight="1">
      <c r="A2207" t="inlineStr">
        <is>
          <t>A 16273-2019</t>
        </is>
      </c>
      <c r="B2207" s="1" t="n">
        <v>43545</v>
      </c>
      <c r="C2207" s="1" t="n">
        <v>45212</v>
      </c>
      <c r="D2207" t="inlineStr">
        <is>
          <t>VÄSTRA GÖTALANDS LÄN</t>
        </is>
      </c>
      <c r="E2207" t="inlineStr">
        <is>
          <t>HJO</t>
        </is>
      </c>
      <c r="F2207" t="inlineStr">
        <is>
          <t>Övriga Aktiebolag</t>
        </is>
      </c>
      <c r="G2207" t="n">
        <v>3.1</v>
      </c>
      <c r="H2207" t="n">
        <v>0</v>
      </c>
      <c r="I2207" t="n">
        <v>0</v>
      </c>
      <c r="J2207" t="n">
        <v>0</v>
      </c>
      <c r="K2207" t="n">
        <v>0</v>
      </c>
      <c r="L2207" t="n">
        <v>0</v>
      </c>
      <c r="M2207" t="n">
        <v>0</v>
      </c>
      <c r="N2207" t="n">
        <v>0</v>
      </c>
      <c r="O2207" t="n">
        <v>0</v>
      </c>
      <c r="P2207" t="n">
        <v>0</v>
      </c>
      <c r="Q2207" t="n">
        <v>0</v>
      </c>
      <c r="R2207" s="2" t="inlineStr"/>
    </row>
    <row r="2208" ht="15" customHeight="1">
      <c r="A2208" t="inlineStr">
        <is>
          <t>A 16316-2019</t>
        </is>
      </c>
      <c r="B2208" s="1" t="n">
        <v>43545</v>
      </c>
      <c r="C2208" s="1" t="n">
        <v>45212</v>
      </c>
      <c r="D2208" t="inlineStr">
        <is>
          <t>VÄSTRA GÖTALANDS LÄN</t>
        </is>
      </c>
      <c r="E2208" t="inlineStr">
        <is>
          <t>MARIESTAD</t>
        </is>
      </c>
      <c r="G2208" t="n">
        <v>0.8</v>
      </c>
      <c r="H2208" t="n">
        <v>0</v>
      </c>
      <c r="I2208" t="n">
        <v>0</v>
      </c>
      <c r="J2208" t="n">
        <v>0</v>
      </c>
      <c r="K2208" t="n">
        <v>0</v>
      </c>
      <c r="L2208" t="n">
        <v>0</v>
      </c>
      <c r="M2208" t="n">
        <v>0</v>
      </c>
      <c r="N2208" t="n">
        <v>0</v>
      </c>
      <c r="O2208" t="n">
        <v>0</v>
      </c>
      <c r="P2208" t="n">
        <v>0</v>
      </c>
      <c r="Q2208" t="n">
        <v>0</v>
      </c>
      <c r="R2208" s="2" t="inlineStr"/>
    </row>
    <row r="2209" ht="15" customHeight="1">
      <c r="A2209" t="inlineStr">
        <is>
          <t>A 16190-2019</t>
        </is>
      </c>
      <c r="B2209" s="1" t="n">
        <v>43545</v>
      </c>
      <c r="C2209" s="1" t="n">
        <v>45212</v>
      </c>
      <c r="D2209" t="inlineStr">
        <is>
          <t>VÄSTRA GÖTALANDS LÄN</t>
        </is>
      </c>
      <c r="E2209" t="inlineStr">
        <is>
          <t>STRÖMSTAD</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16204-2019</t>
        </is>
      </c>
      <c r="B2210" s="1" t="n">
        <v>43545</v>
      </c>
      <c r="C2210" s="1" t="n">
        <v>45212</v>
      </c>
      <c r="D2210" t="inlineStr">
        <is>
          <t>VÄSTRA GÖTALANDS LÄN</t>
        </is>
      </c>
      <c r="E2210" t="inlineStr">
        <is>
          <t>TANUM</t>
        </is>
      </c>
      <c r="G2210" t="n">
        <v>5.4</v>
      </c>
      <c r="H2210" t="n">
        <v>0</v>
      </c>
      <c r="I2210" t="n">
        <v>0</v>
      </c>
      <c r="J2210" t="n">
        <v>0</v>
      </c>
      <c r="K2210" t="n">
        <v>0</v>
      </c>
      <c r="L2210" t="n">
        <v>0</v>
      </c>
      <c r="M2210" t="n">
        <v>0</v>
      </c>
      <c r="N2210" t="n">
        <v>0</v>
      </c>
      <c r="O2210" t="n">
        <v>0</v>
      </c>
      <c r="P2210" t="n">
        <v>0</v>
      </c>
      <c r="Q2210" t="n">
        <v>0</v>
      </c>
      <c r="R2210" s="2" t="inlineStr"/>
    </row>
    <row r="2211" ht="15" customHeight="1">
      <c r="A2211" t="inlineStr">
        <is>
          <t>A 16216-2019</t>
        </is>
      </c>
      <c r="B2211" s="1" t="n">
        <v>43545</v>
      </c>
      <c r="C2211" s="1" t="n">
        <v>45212</v>
      </c>
      <c r="D2211" t="inlineStr">
        <is>
          <t>VÄSTRA GÖTALANDS LÄN</t>
        </is>
      </c>
      <c r="E2211" t="inlineStr">
        <is>
          <t>FÄRGELANDA</t>
        </is>
      </c>
      <c r="G2211" t="n">
        <v>5.9</v>
      </c>
      <c r="H2211" t="n">
        <v>0</v>
      </c>
      <c r="I2211" t="n">
        <v>0</v>
      </c>
      <c r="J2211" t="n">
        <v>0</v>
      </c>
      <c r="K2211" t="n">
        <v>0</v>
      </c>
      <c r="L2211" t="n">
        <v>0</v>
      </c>
      <c r="M2211" t="n">
        <v>0</v>
      </c>
      <c r="N2211" t="n">
        <v>0</v>
      </c>
      <c r="O2211" t="n">
        <v>0</v>
      </c>
      <c r="P2211" t="n">
        <v>0</v>
      </c>
      <c r="Q2211" t="n">
        <v>0</v>
      </c>
      <c r="R2211" s="2" t="inlineStr"/>
    </row>
    <row r="2212" ht="15" customHeight="1">
      <c r="A2212" t="inlineStr">
        <is>
          <t>A 16241-2019</t>
        </is>
      </c>
      <c r="B2212" s="1" t="n">
        <v>43545</v>
      </c>
      <c r="C2212" s="1" t="n">
        <v>45212</v>
      </c>
      <c r="D2212" t="inlineStr">
        <is>
          <t>VÄSTRA GÖTALANDS LÄN</t>
        </is>
      </c>
      <c r="E2212" t="inlineStr">
        <is>
          <t>UDDEVALLA</t>
        </is>
      </c>
      <c r="G2212" t="n">
        <v>3.9</v>
      </c>
      <c r="H2212" t="n">
        <v>0</v>
      </c>
      <c r="I2212" t="n">
        <v>0</v>
      </c>
      <c r="J2212" t="n">
        <v>0</v>
      </c>
      <c r="K2212" t="n">
        <v>0</v>
      </c>
      <c r="L2212" t="n">
        <v>0</v>
      </c>
      <c r="M2212" t="n">
        <v>0</v>
      </c>
      <c r="N2212" t="n">
        <v>0</v>
      </c>
      <c r="O2212" t="n">
        <v>0</v>
      </c>
      <c r="P2212" t="n">
        <v>0</v>
      </c>
      <c r="Q2212" t="n">
        <v>0</v>
      </c>
      <c r="R2212" s="2" t="inlineStr"/>
    </row>
    <row r="2213" ht="15" customHeight="1">
      <c r="A2213" t="inlineStr">
        <is>
          <t>A 16400-2019</t>
        </is>
      </c>
      <c r="B2213" s="1" t="n">
        <v>43546</v>
      </c>
      <c r="C2213" s="1" t="n">
        <v>45212</v>
      </c>
      <c r="D2213" t="inlineStr">
        <is>
          <t>VÄSTRA GÖTALANDS LÄN</t>
        </is>
      </c>
      <c r="E2213" t="inlineStr">
        <is>
          <t>VARA</t>
        </is>
      </c>
      <c r="G2213" t="n">
        <v>1.8</v>
      </c>
      <c r="H2213" t="n">
        <v>0</v>
      </c>
      <c r="I2213" t="n">
        <v>0</v>
      </c>
      <c r="J2213" t="n">
        <v>0</v>
      </c>
      <c r="K2213" t="n">
        <v>0</v>
      </c>
      <c r="L2213" t="n">
        <v>0</v>
      </c>
      <c r="M2213" t="n">
        <v>0</v>
      </c>
      <c r="N2213" t="n">
        <v>0</v>
      </c>
      <c r="O2213" t="n">
        <v>0</v>
      </c>
      <c r="P2213" t="n">
        <v>0</v>
      </c>
      <c r="Q2213" t="n">
        <v>0</v>
      </c>
      <c r="R2213" s="2" t="inlineStr"/>
    </row>
    <row r="2214" ht="15" customHeight="1">
      <c r="A2214" t="inlineStr">
        <is>
          <t>A 16404-2019</t>
        </is>
      </c>
      <c r="B2214" s="1" t="n">
        <v>43546</v>
      </c>
      <c r="C2214" s="1" t="n">
        <v>45212</v>
      </c>
      <c r="D2214" t="inlineStr">
        <is>
          <t>VÄSTRA GÖTALANDS LÄN</t>
        </is>
      </c>
      <c r="E2214" t="inlineStr">
        <is>
          <t>TANUM</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16471-2019</t>
        </is>
      </c>
      <c r="B2215" s="1" t="n">
        <v>43546</v>
      </c>
      <c r="C2215" s="1" t="n">
        <v>45212</v>
      </c>
      <c r="D2215" t="inlineStr">
        <is>
          <t>VÄSTRA GÖTALANDS LÄN</t>
        </is>
      </c>
      <c r="E2215" t="inlineStr">
        <is>
          <t>VÄNERSBORG</t>
        </is>
      </c>
      <c r="G2215" t="n">
        <v>5.9</v>
      </c>
      <c r="H2215" t="n">
        <v>0</v>
      </c>
      <c r="I2215" t="n">
        <v>0</v>
      </c>
      <c r="J2215" t="n">
        <v>0</v>
      </c>
      <c r="K2215" t="n">
        <v>0</v>
      </c>
      <c r="L2215" t="n">
        <v>0</v>
      </c>
      <c r="M2215" t="n">
        <v>0</v>
      </c>
      <c r="N2215" t="n">
        <v>0</v>
      </c>
      <c r="O2215" t="n">
        <v>0</v>
      </c>
      <c r="P2215" t="n">
        <v>0</v>
      </c>
      <c r="Q2215" t="n">
        <v>0</v>
      </c>
      <c r="R2215" s="2" t="inlineStr"/>
    </row>
    <row r="2216" ht="15" customHeight="1">
      <c r="A2216" t="inlineStr">
        <is>
          <t>A 16477-2019</t>
        </is>
      </c>
      <c r="B2216" s="1" t="n">
        <v>43546</v>
      </c>
      <c r="C2216" s="1" t="n">
        <v>45212</v>
      </c>
      <c r="D2216" t="inlineStr">
        <is>
          <t>VÄSTRA GÖTALANDS LÄN</t>
        </is>
      </c>
      <c r="E2216" t="inlineStr">
        <is>
          <t>SKÖVDE</t>
        </is>
      </c>
      <c r="G2216" t="n">
        <v>4</v>
      </c>
      <c r="H2216" t="n">
        <v>0</v>
      </c>
      <c r="I2216" t="n">
        <v>0</v>
      </c>
      <c r="J2216" t="n">
        <v>0</v>
      </c>
      <c r="K2216" t="n">
        <v>0</v>
      </c>
      <c r="L2216" t="n">
        <v>0</v>
      </c>
      <c r="M2216" t="n">
        <v>0</v>
      </c>
      <c r="N2216" t="n">
        <v>0</v>
      </c>
      <c r="O2216" t="n">
        <v>0</v>
      </c>
      <c r="P2216" t="n">
        <v>0</v>
      </c>
      <c r="Q2216" t="n">
        <v>0</v>
      </c>
      <c r="R2216" s="2" t="inlineStr"/>
    </row>
    <row r="2217" ht="15" customHeight="1">
      <c r="A2217" t="inlineStr">
        <is>
          <t>A 16420-2019</t>
        </is>
      </c>
      <c r="B2217" s="1" t="n">
        <v>43546</v>
      </c>
      <c r="C2217" s="1" t="n">
        <v>45212</v>
      </c>
      <c r="D2217" t="inlineStr">
        <is>
          <t>VÄSTRA GÖTALANDS LÄN</t>
        </is>
      </c>
      <c r="E2217" t="inlineStr">
        <is>
          <t>STRÖMSTAD</t>
        </is>
      </c>
      <c r="G2217" t="n">
        <v>2.3</v>
      </c>
      <c r="H2217" t="n">
        <v>0</v>
      </c>
      <c r="I2217" t="n">
        <v>0</v>
      </c>
      <c r="J2217" t="n">
        <v>0</v>
      </c>
      <c r="K2217" t="n">
        <v>0</v>
      </c>
      <c r="L2217" t="n">
        <v>0</v>
      </c>
      <c r="M2217" t="n">
        <v>0</v>
      </c>
      <c r="N2217" t="n">
        <v>0</v>
      </c>
      <c r="O2217" t="n">
        <v>0</v>
      </c>
      <c r="P2217" t="n">
        <v>0</v>
      </c>
      <c r="Q2217" t="n">
        <v>0</v>
      </c>
      <c r="R2217" s="2" t="inlineStr"/>
    </row>
    <row r="2218" ht="15" customHeight="1">
      <c r="A2218" t="inlineStr">
        <is>
          <t>A 16447-2019</t>
        </is>
      </c>
      <c r="B2218" s="1" t="n">
        <v>43546</v>
      </c>
      <c r="C2218" s="1" t="n">
        <v>45212</v>
      </c>
      <c r="D2218" t="inlineStr">
        <is>
          <t>VÄSTRA GÖTALANDS LÄN</t>
        </is>
      </c>
      <c r="E2218" t="inlineStr">
        <is>
          <t>HJO</t>
        </is>
      </c>
      <c r="G2218" t="n">
        <v>9.300000000000001</v>
      </c>
      <c r="H2218" t="n">
        <v>0</v>
      </c>
      <c r="I2218" t="n">
        <v>0</v>
      </c>
      <c r="J2218" t="n">
        <v>0</v>
      </c>
      <c r="K2218" t="n">
        <v>0</v>
      </c>
      <c r="L2218" t="n">
        <v>0</v>
      </c>
      <c r="M2218" t="n">
        <v>0</v>
      </c>
      <c r="N2218" t="n">
        <v>0</v>
      </c>
      <c r="O2218" t="n">
        <v>0</v>
      </c>
      <c r="P2218" t="n">
        <v>0</v>
      </c>
      <c r="Q2218" t="n">
        <v>0</v>
      </c>
      <c r="R2218" s="2" t="inlineStr"/>
    </row>
    <row r="2219" ht="15" customHeight="1">
      <c r="A2219" t="inlineStr">
        <is>
          <t>A 16474-2019</t>
        </is>
      </c>
      <c r="B2219" s="1" t="n">
        <v>43546</v>
      </c>
      <c r="C2219" s="1" t="n">
        <v>45212</v>
      </c>
      <c r="D2219" t="inlineStr">
        <is>
          <t>VÄSTRA GÖTALANDS LÄN</t>
        </is>
      </c>
      <c r="E2219" t="inlineStr">
        <is>
          <t>SKÖVDE</t>
        </is>
      </c>
      <c r="G2219" t="n">
        <v>5.2</v>
      </c>
      <c r="H2219" t="n">
        <v>0</v>
      </c>
      <c r="I2219" t="n">
        <v>0</v>
      </c>
      <c r="J2219" t="n">
        <v>0</v>
      </c>
      <c r="K2219" t="n">
        <v>0</v>
      </c>
      <c r="L2219" t="n">
        <v>0</v>
      </c>
      <c r="M2219" t="n">
        <v>0</v>
      </c>
      <c r="N2219" t="n">
        <v>0</v>
      </c>
      <c r="O2219" t="n">
        <v>0</v>
      </c>
      <c r="P2219" t="n">
        <v>0</v>
      </c>
      <c r="Q2219" t="n">
        <v>0</v>
      </c>
      <c r="R2219" s="2" t="inlineStr"/>
    </row>
    <row r="2220" ht="15" customHeight="1">
      <c r="A2220" t="inlineStr">
        <is>
          <t>A 16486-2019</t>
        </is>
      </c>
      <c r="B2220" s="1" t="n">
        <v>43546</v>
      </c>
      <c r="C2220" s="1" t="n">
        <v>45212</v>
      </c>
      <c r="D2220" t="inlineStr">
        <is>
          <t>VÄSTRA GÖTALANDS LÄN</t>
        </is>
      </c>
      <c r="E2220" t="inlineStr">
        <is>
          <t>ULRICEHAMN</t>
        </is>
      </c>
      <c r="G2220" t="n">
        <v>2.5</v>
      </c>
      <c r="H2220" t="n">
        <v>0</v>
      </c>
      <c r="I2220" t="n">
        <v>0</v>
      </c>
      <c r="J2220" t="n">
        <v>0</v>
      </c>
      <c r="K2220" t="n">
        <v>0</v>
      </c>
      <c r="L2220" t="n">
        <v>0</v>
      </c>
      <c r="M2220" t="n">
        <v>0</v>
      </c>
      <c r="N2220" t="n">
        <v>0</v>
      </c>
      <c r="O2220" t="n">
        <v>0</v>
      </c>
      <c r="P2220" t="n">
        <v>0</v>
      </c>
      <c r="Q2220" t="n">
        <v>0</v>
      </c>
      <c r="R2220" s="2" t="inlineStr"/>
    </row>
    <row r="2221" ht="15" customHeight="1">
      <c r="A2221" t="inlineStr">
        <is>
          <t>A 16597-2019</t>
        </is>
      </c>
      <c r="B2221" s="1" t="n">
        <v>43546</v>
      </c>
      <c r="C2221" s="1" t="n">
        <v>45212</v>
      </c>
      <c r="D2221" t="inlineStr">
        <is>
          <t>VÄSTRA GÖTALANDS LÄN</t>
        </is>
      </c>
      <c r="E2221" t="inlineStr">
        <is>
          <t>BORÅS</t>
        </is>
      </c>
      <c r="F2221" t="inlineStr">
        <is>
          <t>Kommuner</t>
        </is>
      </c>
      <c r="G2221" t="n">
        <v>4.5</v>
      </c>
      <c r="H2221" t="n">
        <v>0</v>
      </c>
      <c r="I2221" t="n">
        <v>0</v>
      </c>
      <c r="J2221" t="n">
        <v>0</v>
      </c>
      <c r="K2221" t="n">
        <v>0</v>
      </c>
      <c r="L2221" t="n">
        <v>0</v>
      </c>
      <c r="M2221" t="n">
        <v>0</v>
      </c>
      <c r="N2221" t="n">
        <v>0</v>
      </c>
      <c r="O2221" t="n">
        <v>0</v>
      </c>
      <c r="P2221" t="n">
        <v>0</v>
      </c>
      <c r="Q2221" t="n">
        <v>0</v>
      </c>
      <c r="R2221" s="2" t="inlineStr"/>
    </row>
    <row r="2222" ht="15" customHeight="1">
      <c r="A2222" t="inlineStr">
        <is>
          <t>A 16472-2019</t>
        </is>
      </c>
      <c r="B2222" s="1" t="n">
        <v>43546</v>
      </c>
      <c r="C2222" s="1" t="n">
        <v>45212</v>
      </c>
      <c r="D2222" t="inlineStr">
        <is>
          <t>VÄSTRA GÖTALANDS LÄN</t>
        </is>
      </c>
      <c r="E2222" t="inlineStr">
        <is>
          <t>LILLA EDET</t>
        </is>
      </c>
      <c r="G2222" t="n">
        <v>3.3</v>
      </c>
      <c r="H2222" t="n">
        <v>0</v>
      </c>
      <c r="I2222" t="n">
        <v>0</v>
      </c>
      <c r="J2222" t="n">
        <v>0</v>
      </c>
      <c r="K2222" t="n">
        <v>0</v>
      </c>
      <c r="L2222" t="n">
        <v>0</v>
      </c>
      <c r="M2222" t="n">
        <v>0</v>
      </c>
      <c r="N2222" t="n">
        <v>0</v>
      </c>
      <c r="O2222" t="n">
        <v>0</v>
      </c>
      <c r="P2222" t="n">
        <v>0</v>
      </c>
      <c r="Q2222" t="n">
        <v>0</v>
      </c>
      <c r="R2222" s="2" t="inlineStr"/>
    </row>
    <row r="2223" ht="15" customHeight="1">
      <c r="A2223" t="inlineStr">
        <is>
          <t>A 16532-2019</t>
        </is>
      </c>
      <c r="B2223" s="1" t="n">
        <v>43546</v>
      </c>
      <c r="C2223" s="1" t="n">
        <v>45212</v>
      </c>
      <c r="D2223" t="inlineStr">
        <is>
          <t>VÄSTRA GÖTALANDS LÄN</t>
        </is>
      </c>
      <c r="E2223" t="inlineStr">
        <is>
          <t>SKÖVDE</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16657-2019</t>
        </is>
      </c>
      <c r="B2224" s="1" t="n">
        <v>43549</v>
      </c>
      <c r="C2224" s="1" t="n">
        <v>45212</v>
      </c>
      <c r="D2224" t="inlineStr">
        <is>
          <t>VÄSTRA GÖTALANDS LÄN</t>
        </is>
      </c>
      <c r="E2224" t="inlineStr">
        <is>
          <t>LILLA EDET</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16745-2019</t>
        </is>
      </c>
      <c r="B2225" s="1" t="n">
        <v>43549</v>
      </c>
      <c r="C2225" s="1" t="n">
        <v>45212</v>
      </c>
      <c r="D2225" t="inlineStr">
        <is>
          <t>VÄSTRA GÖTALANDS LÄN</t>
        </is>
      </c>
      <c r="E2225" t="inlineStr">
        <is>
          <t>DALS-ED</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16768-2019</t>
        </is>
      </c>
      <c r="B2226" s="1" t="n">
        <v>43549</v>
      </c>
      <c r="C2226" s="1" t="n">
        <v>45212</v>
      </c>
      <c r="D2226" t="inlineStr">
        <is>
          <t>VÄSTRA GÖTALANDS LÄN</t>
        </is>
      </c>
      <c r="E2226" t="inlineStr">
        <is>
          <t>DALS-ED</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16779-2019</t>
        </is>
      </c>
      <c r="B2227" s="1" t="n">
        <v>43549</v>
      </c>
      <c r="C2227" s="1" t="n">
        <v>45212</v>
      </c>
      <c r="D2227" t="inlineStr">
        <is>
          <t>VÄSTRA GÖTALANDS LÄN</t>
        </is>
      </c>
      <c r="E2227" t="inlineStr">
        <is>
          <t>FÄRGELANDA</t>
        </is>
      </c>
      <c r="G2227" t="n">
        <v>5.6</v>
      </c>
      <c r="H2227" t="n">
        <v>0</v>
      </c>
      <c r="I2227" t="n">
        <v>0</v>
      </c>
      <c r="J2227" t="n">
        <v>0</v>
      </c>
      <c r="K2227" t="n">
        <v>0</v>
      </c>
      <c r="L2227" t="n">
        <v>0</v>
      </c>
      <c r="M2227" t="n">
        <v>0</v>
      </c>
      <c r="N2227" t="n">
        <v>0</v>
      </c>
      <c r="O2227" t="n">
        <v>0</v>
      </c>
      <c r="P2227" t="n">
        <v>0</v>
      </c>
      <c r="Q2227" t="n">
        <v>0</v>
      </c>
      <c r="R2227" s="2" t="inlineStr"/>
    </row>
    <row r="2228" ht="15" customHeight="1">
      <c r="A2228" t="inlineStr">
        <is>
          <t>A 16886-2019</t>
        </is>
      </c>
      <c r="B2228" s="1" t="n">
        <v>43549</v>
      </c>
      <c r="C2228" s="1" t="n">
        <v>45212</v>
      </c>
      <c r="D2228" t="inlineStr">
        <is>
          <t>VÄSTRA GÖTALANDS LÄN</t>
        </is>
      </c>
      <c r="E2228" t="inlineStr">
        <is>
          <t>MUNKEDAL</t>
        </is>
      </c>
      <c r="F2228" t="inlineStr">
        <is>
          <t>Kyrkan</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17138-2019</t>
        </is>
      </c>
      <c r="B2229" s="1" t="n">
        <v>43549</v>
      </c>
      <c r="C2229" s="1" t="n">
        <v>45212</v>
      </c>
      <c r="D2229" t="inlineStr">
        <is>
          <t>VÄSTRA GÖTALANDS LÄN</t>
        </is>
      </c>
      <c r="E2229" t="inlineStr">
        <is>
          <t>LYSEKIL</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16762-2019</t>
        </is>
      </c>
      <c r="B2230" s="1" t="n">
        <v>43549</v>
      </c>
      <c r="C2230" s="1" t="n">
        <v>45212</v>
      </c>
      <c r="D2230" t="inlineStr">
        <is>
          <t>VÄSTRA GÖTALANDS LÄN</t>
        </is>
      </c>
      <c r="E2230" t="inlineStr">
        <is>
          <t>STRÖMSTAD</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16795-2019</t>
        </is>
      </c>
      <c r="B2231" s="1" t="n">
        <v>43549</v>
      </c>
      <c r="C2231" s="1" t="n">
        <v>45212</v>
      </c>
      <c r="D2231" t="inlineStr">
        <is>
          <t>VÄSTRA GÖTALANDS LÄN</t>
        </is>
      </c>
      <c r="E2231" t="inlineStr">
        <is>
          <t>MELLERUD</t>
        </is>
      </c>
      <c r="G2231" t="n">
        <v>2</v>
      </c>
      <c r="H2231" t="n">
        <v>0</v>
      </c>
      <c r="I2231" t="n">
        <v>0</v>
      </c>
      <c r="J2231" t="n">
        <v>0</v>
      </c>
      <c r="K2231" t="n">
        <v>0</v>
      </c>
      <c r="L2231" t="n">
        <v>0</v>
      </c>
      <c r="M2231" t="n">
        <v>0</v>
      </c>
      <c r="N2231" t="n">
        <v>0</v>
      </c>
      <c r="O2231" t="n">
        <v>0</v>
      </c>
      <c r="P2231" t="n">
        <v>0</v>
      </c>
      <c r="Q2231" t="n">
        <v>0</v>
      </c>
      <c r="R2231" s="2" t="inlineStr"/>
    </row>
    <row r="2232" ht="15" customHeight="1">
      <c r="A2232" t="inlineStr">
        <is>
          <t>A 16817-2019</t>
        </is>
      </c>
      <c r="B2232" s="1" t="n">
        <v>43549</v>
      </c>
      <c r="C2232" s="1" t="n">
        <v>45212</v>
      </c>
      <c r="D2232" t="inlineStr">
        <is>
          <t>VÄSTRA GÖTALANDS LÄN</t>
        </is>
      </c>
      <c r="E2232" t="inlineStr">
        <is>
          <t>ALINGSÅS</t>
        </is>
      </c>
      <c r="G2232" t="n">
        <v>0.8</v>
      </c>
      <c r="H2232" t="n">
        <v>0</v>
      </c>
      <c r="I2232" t="n">
        <v>0</v>
      </c>
      <c r="J2232" t="n">
        <v>0</v>
      </c>
      <c r="K2232" t="n">
        <v>0</v>
      </c>
      <c r="L2232" t="n">
        <v>0</v>
      </c>
      <c r="M2232" t="n">
        <v>0</v>
      </c>
      <c r="N2232" t="n">
        <v>0</v>
      </c>
      <c r="O2232" t="n">
        <v>0</v>
      </c>
      <c r="P2232" t="n">
        <v>0</v>
      </c>
      <c r="Q2232" t="n">
        <v>0</v>
      </c>
      <c r="R2232" s="2" t="inlineStr"/>
    </row>
    <row r="2233" ht="15" customHeight="1">
      <c r="A2233" t="inlineStr">
        <is>
          <t>A 16692-2019</t>
        </is>
      </c>
      <c r="B2233" s="1" t="n">
        <v>43549</v>
      </c>
      <c r="C2233" s="1" t="n">
        <v>45212</v>
      </c>
      <c r="D2233" t="inlineStr">
        <is>
          <t>VÄSTRA GÖTALANDS LÄN</t>
        </is>
      </c>
      <c r="E2233" t="inlineStr">
        <is>
          <t>GULLSPÅNG</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16721-2019</t>
        </is>
      </c>
      <c r="B2234" s="1" t="n">
        <v>43549</v>
      </c>
      <c r="C2234" s="1" t="n">
        <v>45212</v>
      </c>
      <c r="D2234" t="inlineStr">
        <is>
          <t>VÄSTRA GÖTALANDS LÄN</t>
        </is>
      </c>
      <c r="E2234" t="inlineStr">
        <is>
          <t>FÄRGELANDA</t>
        </is>
      </c>
      <c r="G2234" t="n">
        <v>1</v>
      </c>
      <c r="H2234" t="n">
        <v>0</v>
      </c>
      <c r="I2234" t="n">
        <v>0</v>
      </c>
      <c r="J2234" t="n">
        <v>0</v>
      </c>
      <c r="K2234" t="n">
        <v>0</v>
      </c>
      <c r="L2234" t="n">
        <v>0</v>
      </c>
      <c r="M2234" t="n">
        <v>0</v>
      </c>
      <c r="N2234" t="n">
        <v>0</v>
      </c>
      <c r="O2234" t="n">
        <v>0</v>
      </c>
      <c r="P2234" t="n">
        <v>0</v>
      </c>
      <c r="Q2234" t="n">
        <v>0</v>
      </c>
      <c r="R2234" s="2" t="inlineStr"/>
    </row>
    <row r="2235" ht="15" customHeight="1">
      <c r="A2235" t="inlineStr">
        <is>
          <t>A 16772-2019</t>
        </is>
      </c>
      <c r="B2235" s="1" t="n">
        <v>43549</v>
      </c>
      <c r="C2235" s="1" t="n">
        <v>45212</v>
      </c>
      <c r="D2235" t="inlineStr">
        <is>
          <t>VÄSTRA GÖTALANDS LÄN</t>
        </is>
      </c>
      <c r="E2235" t="inlineStr">
        <is>
          <t>MUNKEDAL</t>
        </is>
      </c>
      <c r="G2235" t="n">
        <v>1.7</v>
      </c>
      <c r="H2235" t="n">
        <v>0</v>
      </c>
      <c r="I2235" t="n">
        <v>0</v>
      </c>
      <c r="J2235" t="n">
        <v>0</v>
      </c>
      <c r="K2235" t="n">
        <v>0</v>
      </c>
      <c r="L2235" t="n">
        <v>0</v>
      </c>
      <c r="M2235" t="n">
        <v>0</v>
      </c>
      <c r="N2235" t="n">
        <v>0</v>
      </c>
      <c r="O2235" t="n">
        <v>0</v>
      </c>
      <c r="P2235" t="n">
        <v>0</v>
      </c>
      <c r="Q2235" t="n">
        <v>0</v>
      </c>
      <c r="R2235" s="2" t="inlineStr"/>
    </row>
    <row r="2236" ht="15" customHeight="1">
      <c r="A2236" t="inlineStr">
        <is>
          <t>A 16792-2019</t>
        </is>
      </c>
      <c r="B2236" s="1" t="n">
        <v>43549</v>
      </c>
      <c r="C2236" s="1" t="n">
        <v>45212</v>
      </c>
      <c r="D2236" t="inlineStr">
        <is>
          <t>VÄSTRA GÖTALANDS LÄN</t>
        </is>
      </c>
      <c r="E2236" t="inlineStr">
        <is>
          <t>FÄRGELANDA</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17135-2019</t>
        </is>
      </c>
      <c r="B2237" s="1" t="n">
        <v>43549</v>
      </c>
      <c r="C2237" s="1" t="n">
        <v>45212</v>
      </c>
      <c r="D2237" t="inlineStr">
        <is>
          <t>VÄSTRA GÖTALANDS LÄN</t>
        </is>
      </c>
      <c r="E2237" t="inlineStr">
        <is>
          <t>LYSEKIL</t>
        </is>
      </c>
      <c r="G2237" t="n">
        <v>0.2</v>
      </c>
      <c r="H2237" t="n">
        <v>0</v>
      </c>
      <c r="I2237" t="n">
        <v>0</v>
      </c>
      <c r="J2237" t="n">
        <v>0</v>
      </c>
      <c r="K2237" t="n">
        <v>0</v>
      </c>
      <c r="L2237" t="n">
        <v>0</v>
      </c>
      <c r="M2237" t="n">
        <v>0</v>
      </c>
      <c r="N2237" t="n">
        <v>0</v>
      </c>
      <c r="O2237" t="n">
        <v>0</v>
      </c>
      <c r="P2237" t="n">
        <v>0</v>
      </c>
      <c r="Q2237" t="n">
        <v>0</v>
      </c>
      <c r="R2237" s="2" t="inlineStr"/>
    </row>
    <row r="2238" ht="15" customHeight="1">
      <c r="A2238" t="inlineStr">
        <is>
          <t>A 16729-2019</t>
        </is>
      </c>
      <c r="B2238" s="1" t="n">
        <v>43549</v>
      </c>
      <c r="C2238" s="1" t="n">
        <v>45212</v>
      </c>
      <c r="D2238" t="inlineStr">
        <is>
          <t>VÄSTRA GÖTALANDS LÄN</t>
        </is>
      </c>
      <c r="E2238" t="inlineStr">
        <is>
          <t>VARA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16786-2019</t>
        </is>
      </c>
      <c r="B2239" s="1" t="n">
        <v>43549</v>
      </c>
      <c r="C2239" s="1" t="n">
        <v>45212</v>
      </c>
      <c r="D2239" t="inlineStr">
        <is>
          <t>VÄSTRA GÖTALANDS LÄN</t>
        </is>
      </c>
      <c r="E2239" t="inlineStr">
        <is>
          <t>FÄRGELANDA</t>
        </is>
      </c>
      <c r="G2239" t="n">
        <v>5.1</v>
      </c>
      <c r="H2239" t="n">
        <v>0</v>
      </c>
      <c r="I2239" t="n">
        <v>0</v>
      </c>
      <c r="J2239" t="n">
        <v>0</v>
      </c>
      <c r="K2239" t="n">
        <v>0</v>
      </c>
      <c r="L2239" t="n">
        <v>0</v>
      </c>
      <c r="M2239" t="n">
        <v>0</v>
      </c>
      <c r="N2239" t="n">
        <v>0</v>
      </c>
      <c r="O2239" t="n">
        <v>0</v>
      </c>
      <c r="P2239" t="n">
        <v>0</v>
      </c>
      <c r="Q2239" t="n">
        <v>0</v>
      </c>
      <c r="R2239" s="2" t="inlineStr"/>
    </row>
    <row r="2240" ht="15" customHeight="1">
      <c r="A2240" t="inlineStr">
        <is>
          <t>A 16893-2019</t>
        </is>
      </c>
      <c r="B2240" s="1" t="n">
        <v>43549</v>
      </c>
      <c r="C2240" s="1" t="n">
        <v>45212</v>
      </c>
      <c r="D2240" t="inlineStr">
        <is>
          <t>VÄSTRA GÖTALANDS LÄN</t>
        </is>
      </c>
      <c r="E2240" t="inlineStr">
        <is>
          <t>TANUM</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17276-2019</t>
        </is>
      </c>
      <c r="B2241" s="1" t="n">
        <v>43549</v>
      </c>
      <c r="C2241" s="1" t="n">
        <v>45212</v>
      </c>
      <c r="D2241" t="inlineStr">
        <is>
          <t>VÄSTRA GÖTALANDS LÄN</t>
        </is>
      </c>
      <c r="E2241" t="inlineStr">
        <is>
          <t>MUNKEDAL</t>
        </is>
      </c>
      <c r="F2241" t="inlineStr">
        <is>
          <t>Övriga Aktiebolag</t>
        </is>
      </c>
      <c r="G2241" t="n">
        <v>19.1</v>
      </c>
      <c r="H2241" t="n">
        <v>0</v>
      </c>
      <c r="I2241" t="n">
        <v>0</v>
      </c>
      <c r="J2241" t="n">
        <v>0</v>
      </c>
      <c r="K2241" t="n">
        <v>0</v>
      </c>
      <c r="L2241" t="n">
        <v>0</v>
      </c>
      <c r="M2241" t="n">
        <v>0</v>
      </c>
      <c r="N2241" t="n">
        <v>0</v>
      </c>
      <c r="O2241" t="n">
        <v>0</v>
      </c>
      <c r="P2241" t="n">
        <v>0</v>
      </c>
      <c r="Q2241" t="n">
        <v>0</v>
      </c>
      <c r="R2241" s="2" t="inlineStr"/>
    </row>
    <row r="2242" ht="15" customHeight="1">
      <c r="A2242" t="inlineStr">
        <is>
          <t>A 17019-2019</t>
        </is>
      </c>
      <c r="B2242" s="1" t="n">
        <v>43550</v>
      </c>
      <c r="C2242" s="1" t="n">
        <v>45212</v>
      </c>
      <c r="D2242" t="inlineStr">
        <is>
          <t>VÄSTRA GÖTALANDS LÄN</t>
        </is>
      </c>
      <c r="E2242" t="inlineStr">
        <is>
          <t>VARA</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16927-2019</t>
        </is>
      </c>
      <c r="B2243" s="1" t="n">
        <v>43550</v>
      </c>
      <c r="C2243" s="1" t="n">
        <v>45212</v>
      </c>
      <c r="D2243" t="inlineStr">
        <is>
          <t>VÄSTRA GÖTALANDS LÄN</t>
        </is>
      </c>
      <c r="E2243" t="inlineStr">
        <is>
          <t>VÅRGÅRDA</t>
        </is>
      </c>
      <c r="G2243" t="n">
        <v>1.4</v>
      </c>
      <c r="H2243" t="n">
        <v>0</v>
      </c>
      <c r="I2243" t="n">
        <v>0</v>
      </c>
      <c r="J2243" t="n">
        <v>0</v>
      </c>
      <c r="K2243" t="n">
        <v>0</v>
      </c>
      <c r="L2243" t="n">
        <v>0</v>
      </c>
      <c r="M2243" t="n">
        <v>0</v>
      </c>
      <c r="N2243" t="n">
        <v>0</v>
      </c>
      <c r="O2243" t="n">
        <v>0</v>
      </c>
      <c r="P2243" t="n">
        <v>0</v>
      </c>
      <c r="Q2243" t="n">
        <v>0</v>
      </c>
      <c r="R2243" s="2" t="inlineStr"/>
    </row>
    <row r="2244" ht="15" customHeight="1">
      <c r="A2244" t="inlineStr">
        <is>
          <t>A 17024-2019</t>
        </is>
      </c>
      <c r="B2244" s="1" t="n">
        <v>43550</v>
      </c>
      <c r="C2244" s="1" t="n">
        <v>45212</v>
      </c>
      <c r="D2244" t="inlineStr">
        <is>
          <t>VÄSTRA GÖTALANDS LÄN</t>
        </is>
      </c>
      <c r="E2244" t="inlineStr">
        <is>
          <t>BENGTSFORS</t>
        </is>
      </c>
      <c r="G2244" t="n">
        <v>2.9</v>
      </c>
      <c r="H2244" t="n">
        <v>0</v>
      </c>
      <c r="I2244" t="n">
        <v>0</v>
      </c>
      <c r="J2244" t="n">
        <v>0</v>
      </c>
      <c r="K2244" t="n">
        <v>0</v>
      </c>
      <c r="L2244" t="n">
        <v>0</v>
      </c>
      <c r="M2244" t="n">
        <v>0</v>
      </c>
      <c r="N2244" t="n">
        <v>0</v>
      </c>
      <c r="O2244" t="n">
        <v>0</v>
      </c>
      <c r="P2244" t="n">
        <v>0</v>
      </c>
      <c r="Q2244" t="n">
        <v>0</v>
      </c>
      <c r="R2244" s="2" t="inlineStr"/>
    </row>
    <row r="2245" ht="15" customHeight="1">
      <c r="A2245" t="inlineStr">
        <is>
          <t>A 16940-2019</t>
        </is>
      </c>
      <c r="B2245" s="1" t="n">
        <v>43550</v>
      </c>
      <c r="C2245" s="1" t="n">
        <v>45212</v>
      </c>
      <c r="D2245" t="inlineStr">
        <is>
          <t>VÄSTRA GÖTALANDS LÄN</t>
        </is>
      </c>
      <c r="E2245" t="inlineStr">
        <is>
          <t>STENUNGSUND</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17238-2019</t>
        </is>
      </c>
      <c r="B2246" s="1" t="n">
        <v>43550</v>
      </c>
      <c r="C2246" s="1" t="n">
        <v>45212</v>
      </c>
      <c r="D2246" t="inlineStr">
        <is>
          <t>VÄSTRA GÖTALANDS LÄN</t>
        </is>
      </c>
      <c r="E2246" t="inlineStr">
        <is>
          <t>MUNKEDAL</t>
        </is>
      </c>
      <c r="F2246" t="inlineStr">
        <is>
          <t>Övriga Aktiebolag</t>
        </is>
      </c>
      <c r="G2246" t="n">
        <v>1.5</v>
      </c>
      <c r="H2246" t="n">
        <v>0</v>
      </c>
      <c r="I2246" t="n">
        <v>0</v>
      </c>
      <c r="J2246" t="n">
        <v>0</v>
      </c>
      <c r="K2246" t="n">
        <v>0</v>
      </c>
      <c r="L2246" t="n">
        <v>0</v>
      </c>
      <c r="M2246" t="n">
        <v>0</v>
      </c>
      <c r="N2246" t="n">
        <v>0</v>
      </c>
      <c r="O2246" t="n">
        <v>0</v>
      </c>
      <c r="P2246" t="n">
        <v>0</v>
      </c>
      <c r="Q2246" t="n">
        <v>0</v>
      </c>
      <c r="R2246" s="2" t="inlineStr"/>
    </row>
    <row r="2247" ht="15" customHeight="1">
      <c r="A2247" t="inlineStr">
        <is>
          <t>A 17052-2019</t>
        </is>
      </c>
      <c r="B2247" s="1" t="n">
        <v>43551</v>
      </c>
      <c r="C2247" s="1" t="n">
        <v>45212</v>
      </c>
      <c r="D2247" t="inlineStr">
        <is>
          <t>VÄSTRA GÖTALANDS LÄN</t>
        </is>
      </c>
      <c r="E2247" t="inlineStr">
        <is>
          <t>BENGTSFORS</t>
        </is>
      </c>
      <c r="G2247" t="n">
        <v>0.2</v>
      </c>
      <c r="H2247" t="n">
        <v>0</v>
      </c>
      <c r="I2247" t="n">
        <v>0</v>
      </c>
      <c r="J2247" t="n">
        <v>0</v>
      </c>
      <c r="K2247" t="n">
        <v>0</v>
      </c>
      <c r="L2247" t="n">
        <v>0</v>
      </c>
      <c r="M2247" t="n">
        <v>0</v>
      </c>
      <c r="N2247" t="n">
        <v>0</v>
      </c>
      <c r="O2247" t="n">
        <v>0</v>
      </c>
      <c r="P2247" t="n">
        <v>0</v>
      </c>
      <c r="Q2247" t="n">
        <v>0</v>
      </c>
      <c r="R2247" s="2" t="inlineStr"/>
    </row>
    <row r="2248" ht="15" customHeight="1">
      <c r="A2248" t="inlineStr">
        <is>
          <t>A 17088-2019</t>
        </is>
      </c>
      <c r="B2248" s="1" t="n">
        <v>43551</v>
      </c>
      <c r="C2248" s="1" t="n">
        <v>45212</v>
      </c>
      <c r="D2248" t="inlineStr">
        <is>
          <t>VÄSTRA GÖTALANDS LÄN</t>
        </is>
      </c>
      <c r="E2248" t="inlineStr">
        <is>
          <t>DALS-ED</t>
        </is>
      </c>
      <c r="G2248" t="n">
        <v>5.9</v>
      </c>
      <c r="H2248" t="n">
        <v>0</v>
      </c>
      <c r="I2248" t="n">
        <v>0</v>
      </c>
      <c r="J2248" t="n">
        <v>0</v>
      </c>
      <c r="K2248" t="n">
        <v>0</v>
      </c>
      <c r="L2248" t="n">
        <v>0</v>
      </c>
      <c r="M2248" t="n">
        <v>0</v>
      </c>
      <c r="N2248" t="n">
        <v>0</v>
      </c>
      <c r="O2248" t="n">
        <v>0</v>
      </c>
      <c r="P2248" t="n">
        <v>0</v>
      </c>
      <c r="Q2248" t="n">
        <v>0</v>
      </c>
      <c r="R2248" s="2" t="inlineStr"/>
    </row>
    <row r="2249" ht="15" customHeight="1">
      <c r="A2249" t="inlineStr">
        <is>
          <t>A 17349-2019</t>
        </is>
      </c>
      <c r="B2249" s="1" t="n">
        <v>43551</v>
      </c>
      <c r="C2249" s="1" t="n">
        <v>45212</v>
      </c>
      <c r="D2249" t="inlineStr">
        <is>
          <t>VÄSTRA GÖTALANDS LÄN</t>
        </is>
      </c>
      <c r="E2249" t="inlineStr">
        <is>
          <t>VÅRGÅRDA</t>
        </is>
      </c>
      <c r="G2249" t="n">
        <v>3.2</v>
      </c>
      <c r="H2249" t="n">
        <v>0</v>
      </c>
      <c r="I2249" t="n">
        <v>0</v>
      </c>
      <c r="J2249" t="n">
        <v>0</v>
      </c>
      <c r="K2249" t="n">
        <v>0</v>
      </c>
      <c r="L2249" t="n">
        <v>0</v>
      </c>
      <c r="M2249" t="n">
        <v>0</v>
      </c>
      <c r="N2249" t="n">
        <v>0</v>
      </c>
      <c r="O2249" t="n">
        <v>0</v>
      </c>
      <c r="P2249" t="n">
        <v>0</v>
      </c>
      <c r="Q2249" t="n">
        <v>0</v>
      </c>
      <c r="R2249" s="2" t="inlineStr"/>
    </row>
    <row r="2250" ht="15" customHeight="1">
      <c r="A2250" t="inlineStr">
        <is>
          <t>A 17123-2019</t>
        </is>
      </c>
      <c r="B2250" s="1" t="n">
        <v>43551</v>
      </c>
      <c r="C2250" s="1" t="n">
        <v>45212</v>
      </c>
      <c r="D2250" t="inlineStr">
        <is>
          <t>VÄSTRA GÖTALANDS LÄN</t>
        </is>
      </c>
      <c r="E2250" t="inlineStr">
        <is>
          <t>TRANEMO</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17139-2019</t>
        </is>
      </c>
      <c r="B2251" s="1" t="n">
        <v>43551</v>
      </c>
      <c r="C2251" s="1" t="n">
        <v>45212</v>
      </c>
      <c r="D2251" t="inlineStr">
        <is>
          <t>VÄSTRA GÖTALANDS LÄN</t>
        </is>
      </c>
      <c r="E2251" t="inlineStr">
        <is>
          <t>TRANEMO</t>
        </is>
      </c>
      <c r="G2251" t="n">
        <v>10.6</v>
      </c>
      <c r="H2251" t="n">
        <v>0</v>
      </c>
      <c r="I2251" t="n">
        <v>0</v>
      </c>
      <c r="J2251" t="n">
        <v>0</v>
      </c>
      <c r="K2251" t="n">
        <v>0</v>
      </c>
      <c r="L2251" t="n">
        <v>0</v>
      </c>
      <c r="M2251" t="n">
        <v>0</v>
      </c>
      <c r="N2251" t="n">
        <v>0</v>
      </c>
      <c r="O2251" t="n">
        <v>0</v>
      </c>
      <c r="P2251" t="n">
        <v>0</v>
      </c>
      <c r="Q2251" t="n">
        <v>0</v>
      </c>
      <c r="R2251" s="2" t="inlineStr"/>
    </row>
    <row r="2252" ht="15" customHeight="1">
      <c r="A2252" t="inlineStr">
        <is>
          <t>A 17206-2019</t>
        </is>
      </c>
      <c r="B2252" s="1" t="n">
        <v>43551</v>
      </c>
      <c r="C2252" s="1" t="n">
        <v>45212</v>
      </c>
      <c r="D2252" t="inlineStr">
        <is>
          <t>VÄSTRA GÖTALANDS LÄN</t>
        </is>
      </c>
      <c r="E2252" t="inlineStr">
        <is>
          <t>GULLSPÅNG</t>
        </is>
      </c>
      <c r="G2252" t="n">
        <v>2.6</v>
      </c>
      <c r="H2252" t="n">
        <v>0</v>
      </c>
      <c r="I2252" t="n">
        <v>0</v>
      </c>
      <c r="J2252" t="n">
        <v>0</v>
      </c>
      <c r="K2252" t="n">
        <v>0</v>
      </c>
      <c r="L2252" t="n">
        <v>0</v>
      </c>
      <c r="M2252" t="n">
        <v>0</v>
      </c>
      <c r="N2252" t="n">
        <v>0</v>
      </c>
      <c r="O2252" t="n">
        <v>0</v>
      </c>
      <c r="P2252" t="n">
        <v>0</v>
      </c>
      <c r="Q2252" t="n">
        <v>0</v>
      </c>
      <c r="R2252" s="2" t="inlineStr"/>
    </row>
    <row r="2253" ht="15" customHeight="1">
      <c r="A2253" t="inlineStr">
        <is>
          <t>A 17050-2019</t>
        </is>
      </c>
      <c r="B2253" s="1" t="n">
        <v>43551</v>
      </c>
      <c r="C2253" s="1" t="n">
        <v>45212</v>
      </c>
      <c r="D2253" t="inlineStr">
        <is>
          <t>VÄSTRA GÖTALANDS LÄN</t>
        </is>
      </c>
      <c r="E2253" t="inlineStr">
        <is>
          <t>MARK</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17093-2019</t>
        </is>
      </c>
      <c r="B2254" s="1" t="n">
        <v>43551</v>
      </c>
      <c r="C2254" s="1" t="n">
        <v>45212</v>
      </c>
      <c r="D2254" t="inlineStr">
        <is>
          <t>VÄSTRA GÖTALANDS LÄN</t>
        </is>
      </c>
      <c r="E2254" t="inlineStr">
        <is>
          <t>DALS-ED</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17211-2019</t>
        </is>
      </c>
      <c r="B2255" s="1" t="n">
        <v>43552</v>
      </c>
      <c r="C2255" s="1" t="n">
        <v>45212</v>
      </c>
      <c r="D2255" t="inlineStr">
        <is>
          <t>VÄSTRA GÖTALANDS LÄN</t>
        </is>
      </c>
      <c r="E2255" t="inlineStr">
        <is>
          <t>VARA</t>
        </is>
      </c>
      <c r="G2255" t="n">
        <v>1.2</v>
      </c>
      <c r="H2255" t="n">
        <v>0</v>
      </c>
      <c r="I2255" t="n">
        <v>0</v>
      </c>
      <c r="J2255" t="n">
        <v>0</v>
      </c>
      <c r="K2255" t="n">
        <v>0</v>
      </c>
      <c r="L2255" t="n">
        <v>0</v>
      </c>
      <c r="M2255" t="n">
        <v>0</v>
      </c>
      <c r="N2255" t="n">
        <v>0</v>
      </c>
      <c r="O2255" t="n">
        <v>0</v>
      </c>
      <c r="P2255" t="n">
        <v>0</v>
      </c>
      <c r="Q2255" t="n">
        <v>0</v>
      </c>
      <c r="R2255" s="2" t="inlineStr"/>
    </row>
    <row r="2256" ht="15" customHeight="1">
      <c r="A2256" t="inlineStr">
        <is>
          <t>A 17358-2019</t>
        </is>
      </c>
      <c r="B2256" s="1" t="n">
        <v>43552</v>
      </c>
      <c r="C2256" s="1" t="n">
        <v>45212</v>
      </c>
      <c r="D2256" t="inlineStr">
        <is>
          <t>VÄSTRA GÖTALANDS LÄN</t>
        </is>
      </c>
      <c r="E2256" t="inlineStr">
        <is>
          <t>ORUST</t>
        </is>
      </c>
      <c r="G2256" t="n">
        <v>3.1</v>
      </c>
      <c r="H2256" t="n">
        <v>0</v>
      </c>
      <c r="I2256" t="n">
        <v>0</v>
      </c>
      <c r="J2256" t="n">
        <v>0</v>
      </c>
      <c r="K2256" t="n">
        <v>0</v>
      </c>
      <c r="L2256" t="n">
        <v>0</v>
      </c>
      <c r="M2256" t="n">
        <v>0</v>
      </c>
      <c r="N2256" t="n">
        <v>0</v>
      </c>
      <c r="O2256" t="n">
        <v>0</v>
      </c>
      <c r="P2256" t="n">
        <v>0</v>
      </c>
      <c r="Q2256" t="n">
        <v>0</v>
      </c>
      <c r="R2256" s="2" t="inlineStr"/>
    </row>
    <row r="2257" ht="15" customHeight="1">
      <c r="A2257" t="inlineStr">
        <is>
          <t>A 18203-2019</t>
        </is>
      </c>
      <c r="B2257" s="1" t="n">
        <v>43552</v>
      </c>
      <c r="C2257" s="1" t="n">
        <v>45212</v>
      </c>
      <c r="D2257" t="inlineStr">
        <is>
          <t>VÄSTRA GÖTALANDS LÄN</t>
        </is>
      </c>
      <c r="E2257" t="inlineStr">
        <is>
          <t>BENGTSFORS</t>
        </is>
      </c>
      <c r="G2257" t="n">
        <v>0.7</v>
      </c>
      <c r="H2257" t="n">
        <v>0</v>
      </c>
      <c r="I2257" t="n">
        <v>0</v>
      </c>
      <c r="J2257" t="n">
        <v>0</v>
      </c>
      <c r="K2257" t="n">
        <v>0</v>
      </c>
      <c r="L2257" t="n">
        <v>0</v>
      </c>
      <c r="M2257" t="n">
        <v>0</v>
      </c>
      <c r="N2257" t="n">
        <v>0</v>
      </c>
      <c r="O2257" t="n">
        <v>0</v>
      </c>
      <c r="P2257" t="n">
        <v>0</v>
      </c>
      <c r="Q2257" t="n">
        <v>0</v>
      </c>
      <c r="R2257" s="2" t="inlineStr"/>
    </row>
    <row r="2258" ht="15" customHeight="1">
      <c r="A2258" t="inlineStr">
        <is>
          <t>A 17362-2019</t>
        </is>
      </c>
      <c r="B2258" s="1" t="n">
        <v>43552</v>
      </c>
      <c r="C2258" s="1" t="n">
        <v>45212</v>
      </c>
      <c r="D2258" t="inlineStr">
        <is>
          <t>VÄSTRA GÖTALANDS LÄN</t>
        </is>
      </c>
      <c r="E2258" t="inlineStr">
        <is>
          <t>FÄRGELANDA</t>
        </is>
      </c>
      <c r="G2258" t="n">
        <v>1.1</v>
      </c>
      <c r="H2258" t="n">
        <v>0</v>
      </c>
      <c r="I2258" t="n">
        <v>0</v>
      </c>
      <c r="J2258" t="n">
        <v>0</v>
      </c>
      <c r="K2258" t="n">
        <v>0</v>
      </c>
      <c r="L2258" t="n">
        <v>0</v>
      </c>
      <c r="M2258" t="n">
        <v>0</v>
      </c>
      <c r="N2258" t="n">
        <v>0</v>
      </c>
      <c r="O2258" t="n">
        <v>0</v>
      </c>
      <c r="P2258" t="n">
        <v>0</v>
      </c>
      <c r="Q2258" t="n">
        <v>0</v>
      </c>
      <c r="R2258" s="2" t="inlineStr"/>
    </row>
    <row r="2259" ht="15" customHeight="1">
      <c r="A2259" t="inlineStr">
        <is>
          <t>A 17880-2019</t>
        </is>
      </c>
      <c r="B2259" s="1" t="n">
        <v>43553</v>
      </c>
      <c r="C2259" s="1" t="n">
        <v>45212</v>
      </c>
      <c r="D2259" t="inlineStr">
        <is>
          <t>VÄSTRA GÖTALANDS LÄN</t>
        </is>
      </c>
      <c r="E2259" t="inlineStr">
        <is>
          <t>TANUM</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17451-2019</t>
        </is>
      </c>
      <c r="B2260" s="1" t="n">
        <v>43553</v>
      </c>
      <c r="C2260" s="1" t="n">
        <v>45212</v>
      </c>
      <c r="D2260" t="inlineStr">
        <is>
          <t>VÄSTRA GÖTALANDS LÄN</t>
        </is>
      </c>
      <c r="E2260" t="inlineStr">
        <is>
          <t>DALS-ED</t>
        </is>
      </c>
      <c r="G2260" t="n">
        <v>1.9</v>
      </c>
      <c r="H2260" t="n">
        <v>0</v>
      </c>
      <c r="I2260" t="n">
        <v>0</v>
      </c>
      <c r="J2260" t="n">
        <v>0</v>
      </c>
      <c r="K2260" t="n">
        <v>0</v>
      </c>
      <c r="L2260" t="n">
        <v>0</v>
      </c>
      <c r="M2260" t="n">
        <v>0</v>
      </c>
      <c r="N2260" t="n">
        <v>0</v>
      </c>
      <c r="O2260" t="n">
        <v>0</v>
      </c>
      <c r="P2260" t="n">
        <v>0</v>
      </c>
      <c r="Q2260" t="n">
        <v>0</v>
      </c>
      <c r="R2260" s="2" t="inlineStr"/>
    </row>
    <row r="2261" ht="15" customHeight="1">
      <c r="A2261" t="inlineStr">
        <is>
          <t>A 17503-2019</t>
        </is>
      </c>
      <c r="B2261" s="1" t="n">
        <v>43553</v>
      </c>
      <c r="C2261" s="1" t="n">
        <v>45212</v>
      </c>
      <c r="D2261" t="inlineStr">
        <is>
          <t>VÄSTRA GÖTALANDS LÄN</t>
        </is>
      </c>
      <c r="E2261" t="inlineStr">
        <is>
          <t>TIDAHOLM</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17608-2019</t>
        </is>
      </c>
      <c r="B2262" s="1" t="n">
        <v>43554</v>
      </c>
      <c r="C2262" s="1" t="n">
        <v>45212</v>
      </c>
      <c r="D2262" t="inlineStr">
        <is>
          <t>VÄSTRA GÖTALANDS LÄN</t>
        </is>
      </c>
      <c r="E2262" t="inlineStr">
        <is>
          <t>SVENLJUNGA</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17607-2019</t>
        </is>
      </c>
      <c r="B2263" s="1" t="n">
        <v>43554</v>
      </c>
      <c r="C2263" s="1" t="n">
        <v>45212</v>
      </c>
      <c r="D2263" t="inlineStr">
        <is>
          <t>VÄSTRA GÖTALANDS LÄN</t>
        </is>
      </c>
      <c r="E2263" t="inlineStr">
        <is>
          <t>SVENLJUNGA</t>
        </is>
      </c>
      <c r="G2263" t="n">
        <v>1.3</v>
      </c>
      <c r="H2263" t="n">
        <v>0</v>
      </c>
      <c r="I2263" t="n">
        <v>0</v>
      </c>
      <c r="J2263" t="n">
        <v>0</v>
      </c>
      <c r="K2263" t="n">
        <v>0</v>
      </c>
      <c r="L2263" t="n">
        <v>0</v>
      </c>
      <c r="M2263" t="n">
        <v>0</v>
      </c>
      <c r="N2263" t="n">
        <v>0</v>
      </c>
      <c r="O2263" t="n">
        <v>0</v>
      </c>
      <c r="P2263" t="n">
        <v>0</v>
      </c>
      <c r="Q2263" t="n">
        <v>0</v>
      </c>
      <c r="R2263" s="2" t="inlineStr"/>
    </row>
    <row r="2264" ht="15" customHeight="1">
      <c r="A2264" t="inlineStr">
        <is>
          <t>A 17609-2019</t>
        </is>
      </c>
      <c r="B2264" s="1" t="n">
        <v>43554</v>
      </c>
      <c r="C2264" s="1" t="n">
        <v>45212</v>
      </c>
      <c r="D2264" t="inlineStr">
        <is>
          <t>VÄSTRA GÖTALANDS LÄN</t>
        </is>
      </c>
      <c r="E2264" t="inlineStr">
        <is>
          <t>SVENLJUNGA</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17598-2019</t>
        </is>
      </c>
      <c r="B2265" s="1" t="n">
        <v>43554</v>
      </c>
      <c r="C2265" s="1" t="n">
        <v>45212</v>
      </c>
      <c r="D2265" t="inlineStr">
        <is>
          <t>VÄSTRA GÖTALANDS LÄN</t>
        </is>
      </c>
      <c r="E2265" t="inlineStr">
        <is>
          <t>TIDAHOLM</t>
        </is>
      </c>
      <c r="G2265" t="n">
        <v>6.8</v>
      </c>
      <c r="H2265" t="n">
        <v>0</v>
      </c>
      <c r="I2265" t="n">
        <v>0</v>
      </c>
      <c r="J2265" t="n">
        <v>0</v>
      </c>
      <c r="K2265" t="n">
        <v>0</v>
      </c>
      <c r="L2265" t="n">
        <v>0</v>
      </c>
      <c r="M2265" t="n">
        <v>0</v>
      </c>
      <c r="N2265" t="n">
        <v>0</v>
      </c>
      <c r="O2265" t="n">
        <v>0</v>
      </c>
      <c r="P2265" t="n">
        <v>0</v>
      </c>
      <c r="Q2265" t="n">
        <v>0</v>
      </c>
      <c r="R2265" s="2" t="inlineStr"/>
    </row>
    <row r="2266" ht="15" customHeight="1">
      <c r="A2266" t="inlineStr">
        <is>
          <t>A 17641-2019</t>
        </is>
      </c>
      <c r="B2266" s="1" t="n">
        <v>43556</v>
      </c>
      <c r="C2266" s="1" t="n">
        <v>45212</v>
      </c>
      <c r="D2266" t="inlineStr">
        <is>
          <t>VÄSTRA GÖTALANDS LÄN</t>
        </is>
      </c>
      <c r="E2266" t="inlineStr">
        <is>
          <t>ULRICEHAMN</t>
        </is>
      </c>
      <c r="G2266" t="n">
        <v>2.8</v>
      </c>
      <c r="H2266" t="n">
        <v>0</v>
      </c>
      <c r="I2266" t="n">
        <v>0</v>
      </c>
      <c r="J2266" t="n">
        <v>0</v>
      </c>
      <c r="K2266" t="n">
        <v>0</v>
      </c>
      <c r="L2266" t="n">
        <v>0</v>
      </c>
      <c r="M2266" t="n">
        <v>0</v>
      </c>
      <c r="N2266" t="n">
        <v>0</v>
      </c>
      <c r="O2266" t="n">
        <v>0</v>
      </c>
      <c r="P2266" t="n">
        <v>0</v>
      </c>
      <c r="Q2266" t="n">
        <v>0</v>
      </c>
      <c r="R2266" s="2" t="inlineStr"/>
    </row>
    <row r="2267" ht="15" customHeight="1">
      <c r="A2267" t="inlineStr">
        <is>
          <t>A 17650-2019</t>
        </is>
      </c>
      <c r="B2267" s="1" t="n">
        <v>43556</v>
      </c>
      <c r="C2267" s="1" t="n">
        <v>45212</v>
      </c>
      <c r="D2267" t="inlineStr">
        <is>
          <t>VÄSTRA GÖTALANDS LÄN</t>
        </is>
      </c>
      <c r="E2267" t="inlineStr">
        <is>
          <t>VÅRGÅRDA</t>
        </is>
      </c>
      <c r="F2267" t="inlineStr">
        <is>
          <t>Kyrkan</t>
        </is>
      </c>
      <c r="G2267" t="n">
        <v>3.6</v>
      </c>
      <c r="H2267" t="n">
        <v>0</v>
      </c>
      <c r="I2267" t="n">
        <v>0</v>
      </c>
      <c r="J2267" t="n">
        <v>0</v>
      </c>
      <c r="K2267" t="n">
        <v>0</v>
      </c>
      <c r="L2267" t="n">
        <v>0</v>
      </c>
      <c r="M2267" t="n">
        <v>0</v>
      </c>
      <c r="N2267" t="n">
        <v>0</v>
      </c>
      <c r="O2267" t="n">
        <v>0</v>
      </c>
      <c r="P2267" t="n">
        <v>0</v>
      </c>
      <c r="Q2267" t="n">
        <v>0</v>
      </c>
      <c r="R2267" s="2" t="inlineStr"/>
    </row>
    <row r="2268" ht="15" customHeight="1">
      <c r="A2268" t="inlineStr">
        <is>
          <t>A 17801-2019</t>
        </is>
      </c>
      <c r="B2268" s="1" t="n">
        <v>43556</v>
      </c>
      <c r="C2268" s="1" t="n">
        <v>45212</v>
      </c>
      <c r="D2268" t="inlineStr">
        <is>
          <t>VÄSTRA GÖTALANDS LÄN</t>
        </is>
      </c>
      <c r="E2268" t="inlineStr">
        <is>
          <t>BORÅS</t>
        </is>
      </c>
      <c r="G2268" t="n">
        <v>1.4</v>
      </c>
      <c r="H2268" t="n">
        <v>0</v>
      </c>
      <c r="I2268" t="n">
        <v>0</v>
      </c>
      <c r="J2268" t="n">
        <v>0</v>
      </c>
      <c r="K2268" t="n">
        <v>0</v>
      </c>
      <c r="L2268" t="n">
        <v>0</v>
      </c>
      <c r="M2268" t="n">
        <v>0</v>
      </c>
      <c r="N2268" t="n">
        <v>0</v>
      </c>
      <c r="O2268" t="n">
        <v>0</v>
      </c>
      <c r="P2268" t="n">
        <v>0</v>
      </c>
      <c r="Q2268" t="n">
        <v>0</v>
      </c>
      <c r="R2268" s="2" t="inlineStr"/>
    </row>
    <row r="2269" ht="15" customHeight="1">
      <c r="A2269" t="inlineStr">
        <is>
          <t>A 17958-2019</t>
        </is>
      </c>
      <c r="B2269" s="1" t="n">
        <v>43556</v>
      </c>
      <c r="C2269" s="1" t="n">
        <v>45212</v>
      </c>
      <c r="D2269" t="inlineStr">
        <is>
          <t>VÄSTRA GÖTALANDS LÄN</t>
        </is>
      </c>
      <c r="E2269" t="inlineStr">
        <is>
          <t>ÅMÅL</t>
        </is>
      </c>
      <c r="F2269" t="inlineStr">
        <is>
          <t>Kommuner</t>
        </is>
      </c>
      <c r="G2269" t="n">
        <v>0.8</v>
      </c>
      <c r="H2269" t="n">
        <v>0</v>
      </c>
      <c r="I2269" t="n">
        <v>0</v>
      </c>
      <c r="J2269" t="n">
        <v>0</v>
      </c>
      <c r="K2269" t="n">
        <v>0</v>
      </c>
      <c r="L2269" t="n">
        <v>0</v>
      </c>
      <c r="M2269" t="n">
        <v>0</v>
      </c>
      <c r="N2269" t="n">
        <v>0</v>
      </c>
      <c r="O2269" t="n">
        <v>0</v>
      </c>
      <c r="P2269" t="n">
        <v>0</v>
      </c>
      <c r="Q2269" t="n">
        <v>0</v>
      </c>
      <c r="R2269" s="2" t="inlineStr"/>
    </row>
    <row r="2270" ht="15" customHeight="1">
      <c r="A2270" t="inlineStr">
        <is>
          <t>A 17625-2019</t>
        </is>
      </c>
      <c r="B2270" s="1" t="n">
        <v>43556</v>
      </c>
      <c r="C2270" s="1" t="n">
        <v>45212</v>
      </c>
      <c r="D2270" t="inlineStr">
        <is>
          <t>VÄSTRA GÖTALANDS LÄN</t>
        </is>
      </c>
      <c r="E2270" t="inlineStr">
        <is>
          <t>UDDEVALLA</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17638-2019</t>
        </is>
      </c>
      <c r="B2271" s="1" t="n">
        <v>43556</v>
      </c>
      <c r="C2271" s="1" t="n">
        <v>45212</v>
      </c>
      <c r="D2271" t="inlineStr">
        <is>
          <t>VÄSTRA GÖTALANDS LÄN</t>
        </is>
      </c>
      <c r="E2271" t="inlineStr">
        <is>
          <t>ULRICEHAMN</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17649-2019</t>
        </is>
      </c>
      <c r="B2272" s="1" t="n">
        <v>43556</v>
      </c>
      <c r="C2272" s="1" t="n">
        <v>45212</v>
      </c>
      <c r="D2272" t="inlineStr">
        <is>
          <t>VÄSTRA GÖTALANDS LÄN</t>
        </is>
      </c>
      <c r="E2272" t="inlineStr">
        <is>
          <t>VÅRGÅRDA</t>
        </is>
      </c>
      <c r="F2272" t="inlineStr">
        <is>
          <t>Kyrkan</t>
        </is>
      </c>
      <c r="G2272" t="n">
        <v>1.6</v>
      </c>
      <c r="H2272" t="n">
        <v>0</v>
      </c>
      <c r="I2272" t="n">
        <v>0</v>
      </c>
      <c r="J2272" t="n">
        <v>0</v>
      </c>
      <c r="K2272" t="n">
        <v>0</v>
      </c>
      <c r="L2272" t="n">
        <v>0</v>
      </c>
      <c r="M2272" t="n">
        <v>0</v>
      </c>
      <c r="N2272" t="n">
        <v>0</v>
      </c>
      <c r="O2272" t="n">
        <v>0</v>
      </c>
      <c r="P2272" t="n">
        <v>0</v>
      </c>
      <c r="Q2272" t="n">
        <v>0</v>
      </c>
      <c r="R2272" s="2" t="inlineStr"/>
    </row>
    <row r="2273" ht="15" customHeight="1">
      <c r="A2273" t="inlineStr">
        <is>
          <t>A 17734-2019</t>
        </is>
      </c>
      <c r="B2273" s="1" t="n">
        <v>43556</v>
      </c>
      <c r="C2273" s="1" t="n">
        <v>45212</v>
      </c>
      <c r="D2273" t="inlineStr">
        <is>
          <t>VÄSTRA GÖTALANDS LÄN</t>
        </is>
      </c>
      <c r="E2273" t="inlineStr">
        <is>
          <t>ALINGSÅS</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17765-2019</t>
        </is>
      </c>
      <c r="B2274" s="1" t="n">
        <v>43556</v>
      </c>
      <c r="C2274" s="1" t="n">
        <v>45212</v>
      </c>
      <c r="D2274" t="inlineStr">
        <is>
          <t>VÄSTRA GÖTALANDS LÄN</t>
        </is>
      </c>
      <c r="E2274" t="inlineStr">
        <is>
          <t>SKARA</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17645-2019</t>
        </is>
      </c>
      <c r="B2275" s="1" t="n">
        <v>43556</v>
      </c>
      <c r="C2275" s="1" t="n">
        <v>45212</v>
      </c>
      <c r="D2275" t="inlineStr">
        <is>
          <t>VÄSTRA GÖTALANDS LÄN</t>
        </is>
      </c>
      <c r="E2275" t="inlineStr">
        <is>
          <t>VÅRGÅRDA</t>
        </is>
      </c>
      <c r="F2275" t="inlineStr">
        <is>
          <t>Kyrkan</t>
        </is>
      </c>
      <c r="G2275" t="n">
        <v>2.6</v>
      </c>
      <c r="H2275" t="n">
        <v>0</v>
      </c>
      <c r="I2275" t="n">
        <v>0</v>
      </c>
      <c r="J2275" t="n">
        <v>0</v>
      </c>
      <c r="K2275" t="n">
        <v>0</v>
      </c>
      <c r="L2275" t="n">
        <v>0</v>
      </c>
      <c r="M2275" t="n">
        <v>0</v>
      </c>
      <c r="N2275" t="n">
        <v>0</v>
      </c>
      <c r="O2275" t="n">
        <v>0</v>
      </c>
      <c r="P2275" t="n">
        <v>0</v>
      </c>
      <c r="Q2275" t="n">
        <v>0</v>
      </c>
      <c r="R2275" s="2" t="inlineStr"/>
    </row>
    <row r="2276" ht="15" customHeight="1">
      <c r="A2276" t="inlineStr">
        <is>
          <t>A 17687-2019</t>
        </is>
      </c>
      <c r="B2276" s="1" t="n">
        <v>43556</v>
      </c>
      <c r="C2276" s="1" t="n">
        <v>45212</v>
      </c>
      <c r="D2276" t="inlineStr">
        <is>
          <t>VÄSTRA GÖTALANDS LÄN</t>
        </is>
      </c>
      <c r="E2276" t="inlineStr">
        <is>
          <t>MARIESTAD</t>
        </is>
      </c>
      <c r="G2276" t="n">
        <v>1.5</v>
      </c>
      <c r="H2276" t="n">
        <v>0</v>
      </c>
      <c r="I2276" t="n">
        <v>0</v>
      </c>
      <c r="J2276" t="n">
        <v>0</v>
      </c>
      <c r="K2276" t="n">
        <v>0</v>
      </c>
      <c r="L2276" t="n">
        <v>0</v>
      </c>
      <c r="M2276" t="n">
        <v>0</v>
      </c>
      <c r="N2276" t="n">
        <v>0</v>
      </c>
      <c r="O2276" t="n">
        <v>0</v>
      </c>
      <c r="P2276" t="n">
        <v>0</v>
      </c>
      <c r="Q2276" t="n">
        <v>0</v>
      </c>
      <c r="R2276" s="2" t="inlineStr"/>
    </row>
    <row r="2277" ht="15" customHeight="1">
      <c r="A2277" t="inlineStr">
        <is>
          <t>A 17772-2019</t>
        </is>
      </c>
      <c r="B2277" s="1" t="n">
        <v>43556</v>
      </c>
      <c r="C2277" s="1" t="n">
        <v>45212</v>
      </c>
      <c r="D2277" t="inlineStr">
        <is>
          <t>VÄSTRA GÖTALANDS LÄN</t>
        </is>
      </c>
      <c r="E2277" t="inlineStr">
        <is>
          <t>BENGTSFORS</t>
        </is>
      </c>
      <c r="G2277" t="n">
        <v>0.7</v>
      </c>
      <c r="H2277" t="n">
        <v>0</v>
      </c>
      <c r="I2277" t="n">
        <v>0</v>
      </c>
      <c r="J2277" t="n">
        <v>0</v>
      </c>
      <c r="K2277" t="n">
        <v>0</v>
      </c>
      <c r="L2277" t="n">
        <v>0</v>
      </c>
      <c r="M2277" t="n">
        <v>0</v>
      </c>
      <c r="N2277" t="n">
        <v>0</v>
      </c>
      <c r="O2277" t="n">
        <v>0</v>
      </c>
      <c r="P2277" t="n">
        <v>0</v>
      </c>
      <c r="Q2277" t="n">
        <v>0</v>
      </c>
      <c r="R2277" s="2" t="inlineStr"/>
    </row>
    <row r="2278" ht="15" customHeight="1">
      <c r="A2278" t="inlineStr">
        <is>
          <t>A 17866-2019</t>
        </is>
      </c>
      <c r="B2278" s="1" t="n">
        <v>43557</v>
      </c>
      <c r="C2278" s="1" t="n">
        <v>45212</v>
      </c>
      <c r="D2278" t="inlineStr">
        <is>
          <t>VÄSTRA GÖTALANDS LÄN</t>
        </is>
      </c>
      <c r="E2278" t="inlineStr">
        <is>
          <t>MELLERUD</t>
        </is>
      </c>
      <c r="G2278" t="n">
        <v>17.6</v>
      </c>
      <c r="H2278" t="n">
        <v>0</v>
      </c>
      <c r="I2278" t="n">
        <v>0</v>
      </c>
      <c r="J2278" t="n">
        <v>0</v>
      </c>
      <c r="K2278" t="n">
        <v>0</v>
      </c>
      <c r="L2278" t="n">
        <v>0</v>
      </c>
      <c r="M2278" t="n">
        <v>0</v>
      </c>
      <c r="N2278" t="n">
        <v>0</v>
      </c>
      <c r="O2278" t="n">
        <v>0</v>
      </c>
      <c r="P2278" t="n">
        <v>0</v>
      </c>
      <c r="Q2278" t="n">
        <v>0</v>
      </c>
      <c r="R2278" s="2" t="inlineStr"/>
    </row>
    <row r="2279" ht="15" customHeight="1">
      <c r="A2279" t="inlineStr">
        <is>
          <t>A 18371-2019</t>
        </is>
      </c>
      <c r="B2279" s="1" t="n">
        <v>43557</v>
      </c>
      <c r="C2279" s="1" t="n">
        <v>45212</v>
      </c>
      <c r="D2279" t="inlineStr">
        <is>
          <t>VÄSTRA GÖTALANDS LÄN</t>
        </is>
      </c>
      <c r="E2279" t="inlineStr">
        <is>
          <t>VARA</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17863-2019</t>
        </is>
      </c>
      <c r="B2280" s="1" t="n">
        <v>43557</v>
      </c>
      <c r="C2280" s="1" t="n">
        <v>45212</v>
      </c>
      <c r="D2280" t="inlineStr">
        <is>
          <t>VÄSTRA GÖTALANDS LÄN</t>
        </is>
      </c>
      <c r="E2280" t="inlineStr">
        <is>
          <t>MELLERUD</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17920-2019</t>
        </is>
      </c>
      <c r="B2281" s="1" t="n">
        <v>43557</v>
      </c>
      <c r="C2281" s="1" t="n">
        <v>45212</v>
      </c>
      <c r="D2281" t="inlineStr">
        <is>
          <t>VÄSTRA GÖTALANDS LÄN</t>
        </is>
      </c>
      <c r="E2281" t="inlineStr">
        <is>
          <t>KARLSBORG</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18062-2019</t>
        </is>
      </c>
      <c r="B2282" s="1" t="n">
        <v>43557</v>
      </c>
      <c r="C2282" s="1" t="n">
        <v>45212</v>
      </c>
      <c r="D2282" t="inlineStr">
        <is>
          <t>VÄSTRA GÖTALANDS LÄN</t>
        </is>
      </c>
      <c r="E2282" t="inlineStr">
        <is>
          <t>TIDAHOLM</t>
        </is>
      </c>
      <c r="G2282" t="n">
        <v>7.3</v>
      </c>
      <c r="H2282" t="n">
        <v>0</v>
      </c>
      <c r="I2282" t="n">
        <v>0</v>
      </c>
      <c r="J2282" t="n">
        <v>0</v>
      </c>
      <c r="K2282" t="n">
        <v>0</v>
      </c>
      <c r="L2282" t="n">
        <v>0</v>
      </c>
      <c r="M2282" t="n">
        <v>0</v>
      </c>
      <c r="N2282" t="n">
        <v>0</v>
      </c>
      <c r="O2282" t="n">
        <v>0</v>
      </c>
      <c r="P2282" t="n">
        <v>0</v>
      </c>
      <c r="Q2282" t="n">
        <v>0</v>
      </c>
      <c r="R2282" s="2" t="inlineStr"/>
    </row>
    <row r="2283" ht="15" customHeight="1">
      <c r="A2283" t="inlineStr">
        <is>
          <t>A 18387-2019</t>
        </is>
      </c>
      <c r="B2283" s="1" t="n">
        <v>43557</v>
      </c>
      <c r="C2283" s="1" t="n">
        <v>45212</v>
      </c>
      <c r="D2283" t="inlineStr">
        <is>
          <t>VÄSTRA GÖTALANDS LÄN</t>
        </is>
      </c>
      <c r="E2283" t="inlineStr">
        <is>
          <t>ÅMÅL</t>
        </is>
      </c>
      <c r="G2283" t="n">
        <v>1.7</v>
      </c>
      <c r="H2283" t="n">
        <v>0</v>
      </c>
      <c r="I2283" t="n">
        <v>0</v>
      </c>
      <c r="J2283" t="n">
        <v>0</v>
      </c>
      <c r="K2283" t="n">
        <v>0</v>
      </c>
      <c r="L2283" t="n">
        <v>0</v>
      </c>
      <c r="M2283" t="n">
        <v>0</v>
      </c>
      <c r="N2283" t="n">
        <v>0</v>
      </c>
      <c r="O2283" t="n">
        <v>0</v>
      </c>
      <c r="P2283" t="n">
        <v>0</v>
      </c>
      <c r="Q2283" t="n">
        <v>0</v>
      </c>
      <c r="R2283" s="2" t="inlineStr"/>
    </row>
    <row r="2284" ht="15" customHeight="1">
      <c r="A2284" t="inlineStr">
        <is>
          <t>A 17861-2019</t>
        </is>
      </c>
      <c r="B2284" s="1" t="n">
        <v>43557</v>
      </c>
      <c r="C2284" s="1" t="n">
        <v>45212</v>
      </c>
      <c r="D2284" t="inlineStr">
        <is>
          <t>VÄSTRA GÖTALANDS LÄN</t>
        </is>
      </c>
      <c r="E2284" t="inlineStr">
        <is>
          <t>MELLERUD</t>
        </is>
      </c>
      <c r="G2284" t="n">
        <v>12.9</v>
      </c>
      <c r="H2284" t="n">
        <v>0</v>
      </c>
      <c r="I2284" t="n">
        <v>0</v>
      </c>
      <c r="J2284" t="n">
        <v>0</v>
      </c>
      <c r="K2284" t="n">
        <v>0</v>
      </c>
      <c r="L2284" t="n">
        <v>0</v>
      </c>
      <c r="M2284" t="n">
        <v>0</v>
      </c>
      <c r="N2284" t="n">
        <v>0</v>
      </c>
      <c r="O2284" t="n">
        <v>0</v>
      </c>
      <c r="P2284" t="n">
        <v>0</v>
      </c>
      <c r="Q2284" t="n">
        <v>0</v>
      </c>
      <c r="R2284" s="2" t="inlineStr"/>
    </row>
    <row r="2285" ht="15" customHeight="1">
      <c r="A2285" t="inlineStr">
        <is>
          <t>A 18004-2019</t>
        </is>
      </c>
      <c r="B2285" s="1" t="n">
        <v>43557</v>
      </c>
      <c r="C2285" s="1" t="n">
        <v>45212</v>
      </c>
      <c r="D2285" t="inlineStr">
        <is>
          <t>VÄSTRA GÖTALANDS LÄN</t>
        </is>
      </c>
      <c r="E2285" t="inlineStr">
        <is>
          <t>FÄRGELANDA</t>
        </is>
      </c>
      <c r="G2285" t="n">
        <v>16.6</v>
      </c>
      <c r="H2285" t="n">
        <v>0</v>
      </c>
      <c r="I2285" t="n">
        <v>0</v>
      </c>
      <c r="J2285" t="n">
        <v>0</v>
      </c>
      <c r="K2285" t="n">
        <v>0</v>
      </c>
      <c r="L2285" t="n">
        <v>0</v>
      </c>
      <c r="M2285" t="n">
        <v>0</v>
      </c>
      <c r="N2285" t="n">
        <v>0</v>
      </c>
      <c r="O2285" t="n">
        <v>0</v>
      </c>
      <c r="P2285" t="n">
        <v>0</v>
      </c>
      <c r="Q2285" t="n">
        <v>0</v>
      </c>
      <c r="R2285" s="2" t="inlineStr"/>
    </row>
    <row r="2286" ht="15" customHeight="1">
      <c r="A2286" t="inlineStr">
        <is>
          <t>A 18080-2019</t>
        </is>
      </c>
      <c r="B2286" s="1" t="n">
        <v>43558</v>
      </c>
      <c r="C2286" s="1" t="n">
        <v>45212</v>
      </c>
      <c r="D2286" t="inlineStr">
        <is>
          <t>VÄSTRA GÖTALANDS LÄN</t>
        </is>
      </c>
      <c r="E2286" t="inlineStr">
        <is>
          <t>ALINGSÅS</t>
        </is>
      </c>
      <c r="G2286" t="n">
        <v>1.1</v>
      </c>
      <c r="H2286" t="n">
        <v>0</v>
      </c>
      <c r="I2286" t="n">
        <v>0</v>
      </c>
      <c r="J2286" t="n">
        <v>0</v>
      </c>
      <c r="K2286" t="n">
        <v>0</v>
      </c>
      <c r="L2286" t="n">
        <v>0</v>
      </c>
      <c r="M2286" t="n">
        <v>0</v>
      </c>
      <c r="N2286" t="n">
        <v>0</v>
      </c>
      <c r="O2286" t="n">
        <v>0</v>
      </c>
      <c r="P2286" t="n">
        <v>0</v>
      </c>
      <c r="Q2286" t="n">
        <v>0</v>
      </c>
      <c r="R2286" s="2" t="inlineStr"/>
    </row>
    <row r="2287" ht="15" customHeight="1">
      <c r="A2287" t="inlineStr">
        <is>
          <t>A 18287-2019</t>
        </is>
      </c>
      <c r="B2287" s="1" t="n">
        <v>43558</v>
      </c>
      <c r="C2287" s="1" t="n">
        <v>45212</v>
      </c>
      <c r="D2287" t="inlineStr">
        <is>
          <t>VÄSTRA GÖTALANDS LÄN</t>
        </is>
      </c>
      <c r="E2287" t="inlineStr">
        <is>
          <t>FÄRGELANDA</t>
        </is>
      </c>
      <c r="G2287" t="n">
        <v>9.699999999999999</v>
      </c>
      <c r="H2287" t="n">
        <v>0</v>
      </c>
      <c r="I2287" t="n">
        <v>0</v>
      </c>
      <c r="J2287" t="n">
        <v>0</v>
      </c>
      <c r="K2287" t="n">
        <v>0</v>
      </c>
      <c r="L2287" t="n">
        <v>0</v>
      </c>
      <c r="M2287" t="n">
        <v>0</v>
      </c>
      <c r="N2287" t="n">
        <v>0</v>
      </c>
      <c r="O2287" t="n">
        <v>0</v>
      </c>
      <c r="P2287" t="n">
        <v>0</v>
      </c>
      <c r="Q2287" t="n">
        <v>0</v>
      </c>
      <c r="R2287" s="2" t="inlineStr"/>
    </row>
    <row r="2288" ht="15" customHeight="1">
      <c r="A2288" t="inlineStr">
        <is>
          <t>A 18125-2019</t>
        </is>
      </c>
      <c r="B2288" s="1" t="n">
        <v>43558</v>
      </c>
      <c r="C2288" s="1" t="n">
        <v>45212</v>
      </c>
      <c r="D2288" t="inlineStr">
        <is>
          <t>VÄSTRA GÖTALANDS LÄN</t>
        </is>
      </c>
      <c r="E2288" t="inlineStr">
        <is>
          <t>LYSEKIL</t>
        </is>
      </c>
      <c r="G2288" t="n">
        <v>1.6</v>
      </c>
      <c r="H2288" t="n">
        <v>0</v>
      </c>
      <c r="I2288" t="n">
        <v>0</v>
      </c>
      <c r="J2288" t="n">
        <v>0</v>
      </c>
      <c r="K2288" t="n">
        <v>0</v>
      </c>
      <c r="L2288" t="n">
        <v>0</v>
      </c>
      <c r="M2288" t="n">
        <v>0</v>
      </c>
      <c r="N2288" t="n">
        <v>0</v>
      </c>
      <c r="O2288" t="n">
        <v>0</v>
      </c>
      <c r="P2288" t="n">
        <v>0</v>
      </c>
      <c r="Q2288" t="n">
        <v>0</v>
      </c>
      <c r="R2288" s="2" t="inlineStr"/>
    </row>
    <row r="2289" ht="15" customHeight="1">
      <c r="A2289" t="inlineStr">
        <is>
          <t>A 18205-2019</t>
        </is>
      </c>
      <c r="B2289" s="1" t="n">
        <v>43558</v>
      </c>
      <c r="C2289" s="1" t="n">
        <v>45212</v>
      </c>
      <c r="D2289" t="inlineStr">
        <is>
          <t>VÄSTRA GÖTALANDS LÄN</t>
        </is>
      </c>
      <c r="E2289" t="inlineStr">
        <is>
          <t>SOTENÄS</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18329-2019</t>
        </is>
      </c>
      <c r="B2290" s="1" t="n">
        <v>43558</v>
      </c>
      <c r="C2290" s="1" t="n">
        <v>45212</v>
      </c>
      <c r="D2290" t="inlineStr">
        <is>
          <t>VÄSTRA GÖTALANDS LÄN</t>
        </is>
      </c>
      <c r="E2290" t="inlineStr">
        <is>
          <t>DALS-ED</t>
        </is>
      </c>
      <c r="F2290" t="inlineStr">
        <is>
          <t>Kyrkan</t>
        </is>
      </c>
      <c r="G2290" t="n">
        <v>1</v>
      </c>
      <c r="H2290" t="n">
        <v>0</v>
      </c>
      <c r="I2290" t="n">
        <v>0</v>
      </c>
      <c r="J2290" t="n">
        <v>0</v>
      </c>
      <c r="K2290" t="n">
        <v>0</v>
      </c>
      <c r="L2290" t="n">
        <v>0</v>
      </c>
      <c r="M2290" t="n">
        <v>0</v>
      </c>
      <c r="N2290" t="n">
        <v>0</v>
      </c>
      <c r="O2290" t="n">
        <v>0</v>
      </c>
      <c r="P2290" t="n">
        <v>0</v>
      </c>
      <c r="Q2290" t="n">
        <v>0</v>
      </c>
      <c r="R2290" s="2" t="inlineStr"/>
    </row>
    <row r="2291" ht="15" customHeight="1">
      <c r="A2291" t="inlineStr">
        <is>
          <t>A 18154-2019</t>
        </is>
      </c>
      <c r="B2291" s="1" t="n">
        <v>43558</v>
      </c>
      <c r="C2291" s="1" t="n">
        <v>45212</v>
      </c>
      <c r="D2291" t="inlineStr">
        <is>
          <t>VÄSTRA GÖTALANDS LÄN</t>
        </is>
      </c>
      <c r="E2291" t="inlineStr">
        <is>
          <t>SVENLJUNGA</t>
        </is>
      </c>
      <c r="G2291" t="n">
        <v>4.2</v>
      </c>
      <c r="H2291" t="n">
        <v>0</v>
      </c>
      <c r="I2291" t="n">
        <v>0</v>
      </c>
      <c r="J2291" t="n">
        <v>0</v>
      </c>
      <c r="K2291" t="n">
        <v>0</v>
      </c>
      <c r="L2291" t="n">
        <v>0</v>
      </c>
      <c r="M2291" t="n">
        <v>0</v>
      </c>
      <c r="N2291" t="n">
        <v>0</v>
      </c>
      <c r="O2291" t="n">
        <v>0</v>
      </c>
      <c r="P2291" t="n">
        <v>0</v>
      </c>
      <c r="Q2291" t="n">
        <v>0</v>
      </c>
      <c r="R2291" s="2" t="inlineStr"/>
    </row>
    <row r="2292" ht="15" customHeight="1">
      <c r="A2292" t="inlineStr">
        <is>
          <t>A 18232-2019</t>
        </is>
      </c>
      <c r="B2292" s="1" t="n">
        <v>43558</v>
      </c>
      <c r="C2292" s="1" t="n">
        <v>45212</v>
      </c>
      <c r="D2292" t="inlineStr">
        <is>
          <t>VÄSTRA GÖTALANDS LÄN</t>
        </is>
      </c>
      <c r="E2292" t="inlineStr">
        <is>
          <t>BENGTSFORS</t>
        </is>
      </c>
      <c r="G2292" t="n">
        <v>12.7</v>
      </c>
      <c r="H2292" t="n">
        <v>0</v>
      </c>
      <c r="I2292" t="n">
        <v>0</v>
      </c>
      <c r="J2292" t="n">
        <v>0</v>
      </c>
      <c r="K2292" t="n">
        <v>0</v>
      </c>
      <c r="L2292" t="n">
        <v>0</v>
      </c>
      <c r="M2292" t="n">
        <v>0</v>
      </c>
      <c r="N2292" t="n">
        <v>0</v>
      </c>
      <c r="O2292" t="n">
        <v>0</v>
      </c>
      <c r="P2292" t="n">
        <v>0</v>
      </c>
      <c r="Q2292" t="n">
        <v>0</v>
      </c>
      <c r="R2292" s="2" t="inlineStr"/>
    </row>
    <row r="2293" ht="15" customHeight="1">
      <c r="A2293" t="inlineStr">
        <is>
          <t>A 18288-2019</t>
        </is>
      </c>
      <c r="B2293" s="1" t="n">
        <v>43558</v>
      </c>
      <c r="C2293" s="1" t="n">
        <v>45212</v>
      </c>
      <c r="D2293" t="inlineStr">
        <is>
          <t>VÄSTRA GÖTALANDS LÄN</t>
        </is>
      </c>
      <c r="E2293" t="inlineStr">
        <is>
          <t>FÄRGELANDA</t>
        </is>
      </c>
      <c r="G2293" t="n">
        <v>11.4</v>
      </c>
      <c r="H2293" t="n">
        <v>0</v>
      </c>
      <c r="I2293" t="n">
        <v>0</v>
      </c>
      <c r="J2293" t="n">
        <v>0</v>
      </c>
      <c r="K2293" t="n">
        <v>0</v>
      </c>
      <c r="L2293" t="n">
        <v>0</v>
      </c>
      <c r="M2293" t="n">
        <v>0</v>
      </c>
      <c r="N2293" t="n">
        <v>0</v>
      </c>
      <c r="O2293" t="n">
        <v>0</v>
      </c>
      <c r="P2293" t="n">
        <v>0</v>
      </c>
      <c r="Q2293" t="n">
        <v>0</v>
      </c>
      <c r="R2293" s="2" t="inlineStr"/>
    </row>
    <row r="2294" ht="15" customHeight="1">
      <c r="A2294" t="inlineStr">
        <is>
          <t>A 18128-2019</t>
        </is>
      </c>
      <c r="B2294" s="1" t="n">
        <v>43558</v>
      </c>
      <c r="C2294" s="1" t="n">
        <v>45212</v>
      </c>
      <c r="D2294" t="inlineStr">
        <is>
          <t>VÄSTRA GÖTALANDS LÄN</t>
        </is>
      </c>
      <c r="E2294" t="inlineStr">
        <is>
          <t>BORÅS</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18320-2019</t>
        </is>
      </c>
      <c r="B2295" s="1" t="n">
        <v>43559</v>
      </c>
      <c r="C2295" s="1" t="n">
        <v>45212</v>
      </c>
      <c r="D2295" t="inlineStr">
        <is>
          <t>VÄSTRA GÖTALANDS LÄN</t>
        </is>
      </c>
      <c r="E2295" t="inlineStr">
        <is>
          <t>SKARA</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18362-2019</t>
        </is>
      </c>
      <c r="B2296" s="1" t="n">
        <v>43559</v>
      </c>
      <c r="C2296" s="1" t="n">
        <v>45212</v>
      </c>
      <c r="D2296" t="inlineStr">
        <is>
          <t>VÄSTRA GÖTALANDS LÄN</t>
        </is>
      </c>
      <c r="E2296" t="inlineStr">
        <is>
          <t>MUNKEDAL</t>
        </is>
      </c>
      <c r="G2296" t="n">
        <v>0.3</v>
      </c>
      <c r="H2296" t="n">
        <v>0</v>
      </c>
      <c r="I2296" t="n">
        <v>0</v>
      </c>
      <c r="J2296" t="n">
        <v>0</v>
      </c>
      <c r="K2296" t="n">
        <v>0</v>
      </c>
      <c r="L2296" t="n">
        <v>0</v>
      </c>
      <c r="M2296" t="n">
        <v>0</v>
      </c>
      <c r="N2296" t="n">
        <v>0</v>
      </c>
      <c r="O2296" t="n">
        <v>0</v>
      </c>
      <c r="P2296" t="n">
        <v>0</v>
      </c>
      <c r="Q2296" t="n">
        <v>0</v>
      </c>
      <c r="R2296" s="2" t="inlineStr"/>
    </row>
    <row r="2297" ht="15" customHeight="1">
      <c r="A2297" t="inlineStr">
        <is>
          <t>A 18408-2019</t>
        </is>
      </c>
      <c r="B2297" s="1" t="n">
        <v>43559</v>
      </c>
      <c r="C2297" s="1" t="n">
        <v>45212</v>
      </c>
      <c r="D2297" t="inlineStr">
        <is>
          <t>VÄSTRA GÖTALANDS LÄN</t>
        </is>
      </c>
      <c r="E2297" t="inlineStr">
        <is>
          <t>TIBRO</t>
        </is>
      </c>
      <c r="F2297" t="inlineStr">
        <is>
          <t>Kommuner</t>
        </is>
      </c>
      <c r="G2297" t="n">
        <v>1.9</v>
      </c>
      <c r="H2297" t="n">
        <v>0</v>
      </c>
      <c r="I2297" t="n">
        <v>0</v>
      </c>
      <c r="J2297" t="n">
        <v>0</v>
      </c>
      <c r="K2297" t="n">
        <v>0</v>
      </c>
      <c r="L2297" t="n">
        <v>0</v>
      </c>
      <c r="M2297" t="n">
        <v>0</v>
      </c>
      <c r="N2297" t="n">
        <v>0</v>
      </c>
      <c r="O2297" t="n">
        <v>0</v>
      </c>
      <c r="P2297" t="n">
        <v>0</v>
      </c>
      <c r="Q2297" t="n">
        <v>0</v>
      </c>
      <c r="R2297" s="2" t="inlineStr"/>
    </row>
    <row r="2298" ht="15" customHeight="1">
      <c r="A2298" t="inlineStr">
        <is>
          <t>A 18444-2019</t>
        </is>
      </c>
      <c r="B2298" s="1" t="n">
        <v>43559</v>
      </c>
      <c r="C2298" s="1" t="n">
        <v>45212</v>
      </c>
      <c r="D2298" t="inlineStr">
        <is>
          <t>VÄSTRA GÖTALANDS LÄN</t>
        </is>
      </c>
      <c r="E2298" t="inlineStr">
        <is>
          <t>MARK</t>
        </is>
      </c>
      <c r="G2298" t="n">
        <v>2.1</v>
      </c>
      <c r="H2298" t="n">
        <v>0</v>
      </c>
      <c r="I2298" t="n">
        <v>0</v>
      </c>
      <c r="J2298" t="n">
        <v>0</v>
      </c>
      <c r="K2298" t="n">
        <v>0</v>
      </c>
      <c r="L2298" t="n">
        <v>0</v>
      </c>
      <c r="M2298" t="n">
        <v>0</v>
      </c>
      <c r="N2298" t="n">
        <v>0</v>
      </c>
      <c r="O2298" t="n">
        <v>0</v>
      </c>
      <c r="P2298" t="n">
        <v>0</v>
      </c>
      <c r="Q2298" t="n">
        <v>0</v>
      </c>
      <c r="R2298" s="2" t="inlineStr"/>
    </row>
    <row r="2299" ht="15" customHeight="1">
      <c r="A2299" t="inlineStr">
        <is>
          <t>A 18567-2019</t>
        </is>
      </c>
      <c r="B2299" s="1" t="n">
        <v>43559</v>
      </c>
      <c r="C2299" s="1" t="n">
        <v>45212</v>
      </c>
      <c r="D2299" t="inlineStr">
        <is>
          <t>VÄSTRA GÖTALANDS LÄN</t>
        </is>
      </c>
      <c r="E2299" t="inlineStr">
        <is>
          <t>SVENLJUNGA</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18458-2019</t>
        </is>
      </c>
      <c r="B2300" s="1" t="n">
        <v>43559</v>
      </c>
      <c r="C2300" s="1" t="n">
        <v>45212</v>
      </c>
      <c r="D2300" t="inlineStr">
        <is>
          <t>VÄSTRA GÖTALANDS LÄN</t>
        </is>
      </c>
      <c r="E2300" t="inlineStr">
        <is>
          <t>MUNKEDAL</t>
        </is>
      </c>
      <c r="G2300" t="n">
        <v>2.9</v>
      </c>
      <c r="H2300" t="n">
        <v>0</v>
      </c>
      <c r="I2300" t="n">
        <v>0</v>
      </c>
      <c r="J2300" t="n">
        <v>0</v>
      </c>
      <c r="K2300" t="n">
        <v>0</v>
      </c>
      <c r="L2300" t="n">
        <v>0</v>
      </c>
      <c r="M2300" t="n">
        <v>0</v>
      </c>
      <c r="N2300" t="n">
        <v>0</v>
      </c>
      <c r="O2300" t="n">
        <v>0</v>
      </c>
      <c r="P2300" t="n">
        <v>0</v>
      </c>
      <c r="Q2300" t="n">
        <v>0</v>
      </c>
      <c r="R2300" s="2" t="inlineStr"/>
    </row>
    <row r="2301" ht="15" customHeight="1">
      <c r="A2301" t="inlineStr">
        <is>
          <t>A 18489-2019</t>
        </is>
      </c>
      <c r="B2301" s="1" t="n">
        <v>43559</v>
      </c>
      <c r="C2301" s="1" t="n">
        <v>45212</v>
      </c>
      <c r="D2301" t="inlineStr">
        <is>
          <t>VÄSTRA GÖTALANDS LÄN</t>
        </is>
      </c>
      <c r="E2301" t="inlineStr">
        <is>
          <t>HÄRRYDA</t>
        </is>
      </c>
      <c r="G2301" t="n">
        <v>5.7</v>
      </c>
      <c r="H2301" t="n">
        <v>0</v>
      </c>
      <c r="I2301" t="n">
        <v>0</v>
      </c>
      <c r="J2301" t="n">
        <v>0</v>
      </c>
      <c r="K2301" t="n">
        <v>0</v>
      </c>
      <c r="L2301" t="n">
        <v>0</v>
      </c>
      <c r="M2301" t="n">
        <v>0</v>
      </c>
      <c r="N2301" t="n">
        <v>0</v>
      </c>
      <c r="O2301" t="n">
        <v>0</v>
      </c>
      <c r="P2301" t="n">
        <v>0</v>
      </c>
      <c r="Q2301" t="n">
        <v>0</v>
      </c>
      <c r="R2301" s="2" t="inlineStr"/>
    </row>
    <row r="2302" ht="15" customHeight="1">
      <c r="A2302" t="inlineStr">
        <is>
          <t>A 18330-2019</t>
        </is>
      </c>
      <c r="B2302" s="1" t="n">
        <v>43559</v>
      </c>
      <c r="C2302" s="1" t="n">
        <v>45212</v>
      </c>
      <c r="D2302" t="inlineStr">
        <is>
          <t>VÄSTRA GÖTALANDS LÄN</t>
        </is>
      </c>
      <c r="E2302" t="inlineStr">
        <is>
          <t>STENUNGSUND</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18428-2019</t>
        </is>
      </c>
      <c r="B2303" s="1" t="n">
        <v>43559</v>
      </c>
      <c r="C2303" s="1" t="n">
        <v>45212</v>
      </c>
      <c r="D2303" t="inlineStr">
        <is>
          <t>VÄSTRA GÖTALANDS LÄN</t>
        </is>
      </c>
      <c r="E2303" t="inlineStr">
        <is>
          <t>BORÅS</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18441-2019</t>
        </is>
      </c>
      <c r="B2304" s="1" t="n">
        <v>43559</v>
      </c>
      <c r="C2304" s="1" t="n">
        <v>45212</v>
      </c>
      <c r="D2304" t="inlineStr">
        <is>
          <t>VÄSTRA GÖTALANDS LÄN</t>
        </is>
      </c>
      <c r="E2304" t="inlineStr">
        <is>
          <t>MARK</t>
        </is>
      </c>
      <c r="G2304" t="n">
        <v>2.4</v>
      </c>
      <c r="H2304" t="n">
        <v>0</v>
      </c>
      <c r="I2304" t="n">
        <v>0</v>
      </c>
      <c r="J2304" t="n">
        <v>0</v>
      </c>
      <c r="K2304" t="n">
        <v>0</v>
      </c>
      <c r="L2304" t="n">
        <v>0</v>
      </c>
      <c r="M2304" t="n">
        <v>0</v>
      </c>
      <c r="N2304" t="n">
        <v>0</v>
      </c>
      <c r="O2304" t="n">
        <v>0</v>
      </c>
      <c r="P2304" t="n">
        <v>0</v>
      </c>
      <c r="Q2304" t="n">
        <v>0</v>
      </c>
      <c r="R2304" s="2" t="inlineStr"/>
    </row>
    <row r="2305" ht="15" customHeight="1">
      <c r="A2305" t="inlineStr">
        <is>
          <t>A 18487-2019</t>
        </is>
      </c>
      <c r="B2305" s="1" t="n">
        <v>43559</v>
      </c>
      <c r="C2305" s="1" t="n">
        <v>45212</v>
      </c>
      <c r="D2305" t="inlineStr">
        <is>
          <t>VÄSTRA GÖTALANDS LÄN</t>
        </is>
      </c>
      <c r="E2305" t="inlineStr">
        <is>
          <t>UDDEVALLA</t>
        </is>
      </c>
      <c r="G2305" t="n">
        <v>3.6</v>
      </c>
      <c r="H2305" t="n">
        <v>0</v>
      </c>
      <c r="I2305" t="n">
        <v>0</v>
      </c>
      <c r="J2305" t="n">
        <v>0</v>
      </c>
      <c r="K2305" t="n">
        <v>0</v>
      </c>
      <c r="L2305" t="n">
        <v>0</v>
      </c>
      <c r="M2305" t="n">
        <v>0</v>
      </c>
      <c r="N2305" t="n">
        <v>0</v>
      </c>
      <c r="O2305" t="n">
        <v>0</v>
      </c>
      <c r="P2305" t="n">
        <v>0</v>
      </c>
      <c r="Q2305" t="n">
        <v>0</v>
      </c>
      <c r="R2305" s="2" t="inlineStr"/>
    </row>
    <row r="2306" ht="15" customHeight="1">
      <c r="A2306" t="inlineStr">
        <is>
          <t>A 18507-2019</t>
        </is>
      </c>
      <c r="B2306" s="1" t="n">
        <v>43559</v>
      </c>
      <c r="C2306" s="1" t="n">
        <v>45212</v>
      </c>
      <c r="D2306" t="inlineStr">
        <is>
          <t>VÄSTRA GÖTALANDS LÄN</t>
        </is>
      </c>
      <c r="E2306" t="inlineStr">
        <is>
          <t>LIDKÖPING</t>
        </is>
      </c>
      <c r="G2306" t="n">
        <v>5.4</v>
      </c>
      <c r="H2306" t="n">
        <v>0</v>
      </c>
      <c r="I2306" t="n">
        <v>0</v>
      </c>
      <c r="J2306" t="n">
        <v>0</v>
      </c>
      <c r="K2306" t="n">
        <v>0</v>
      </c>
      <c r="L2306" t="n">
        <v>0</v>
      </c>
      <c r="M2306" t="n">
        <v>0</v>
      </c>
      <c r="N2306" t="n">
        <v>0</v>
      </c>
      <c r="O2306" t="n">
        <v>0</v>
      </c>
      <c r="P2306" t="n">
        <v>0</v>
      </c>
      <c r="Q2306" t="n">
        <v>0</v>
      </c>
      <c r="R2306" s="2" t="inlineStr"/>
    </row>
    <row r="2307" ht="15" customHeight="1">
      <c r="A2307" t="inlineStr">
        <is>
          <t>A 18519-2019</t>
        </is>
      </c>
      <c r="B2307" s="1" t="n">
        <v>43559</v>
      </c>
      <c r="C2307" s="1" t="n">
        <v>45212</v>
      </c>
      <c r="D2307" t="inlineStr">
        <is>
          <t>VÄSTRA GÖTALANDS LÄN</t>
        </is>
      </c>
      <c r="E2307" t="inlineStr">
        <is>
          <t>LIDKÖPING</t>
        </is>
      </c>
      <c r="G2307" t="n">
        <v>2.4</v>
      </c>
      <c r="H2307" t="n">
        <v>0</v>
      </c>
      <c r="I2307" t="n">
        <v>0</v>
      </c>
      <c r="J2307" t="n">
        <v>0</v>
      </c>
      <c r="K2307" t="n">
        <v>0</v>
      </c>
      <c r="L2307" t="n">
        <v>0</v>
      </c>
      <c r="M2307" t="n">
        <v>0</v>
      </c>
      <c r="N2307" t="n">
        <v>0</v>
      </c>
      <c r="O2307" t="n">
        <v>0</v>
      </c>
      <c r="P2307" t="n">
        <v>0</v>
      </c>
      <c r="Q2307" t="n">
        <v>0</v>
      </c>
      <c r="R2307" s="2" t="inlineStr"/>
    </row>
    <row r="2308" ht="15" customHeight="1">
      <c r="A2308" t="inlineStr">
        <is>
          <t>A 18562-2019</t>
        </is>
      </c>
      <c r="B2308" s="1" t="n">
        <v>43559</v>
      </c>
      <c r="C2308" s="1" t="n">
        <v>45212</v>
      </c>
      <c r="D2308" t="inlineStr">
        <is>
          <t>VÄSTRA GÖTALANDS LÄN</t>
        </is>
      </c>
      <c r="E2308" t="inlineStr">
        <is>
          <t>BORÅS</t>
        </is>
      </c>
      <c r="G2308" t="n">
        <v>3.4</v>
      </c>
      <c r="H2308" t="n">
        <v>0</v>
      </c>
      <c r="I2308" t="n">
        <v>0</v>
      </c>
      <c r="J2308" t="n">
        <v>0</v>
      </c>
      <c r="K2308" t="n">
        <v>0</v>
      </c>
      <c r="L2308" t="n">
        <v>0</v>
      </c>
      <c r="M2308" t="n">
        <v>0</v>
      </c>
      <c r="N2308" t="n">
        <v>0</v>
      </c>
      <c r="O2308" t="n">
        <v>0</v>
      </c>
      <c r="P2308" t="n">
        <v>0</v>
      </c>
      <c r="Q2308" t="n">
        <v>0</v>
      </c>
      <c r="R2308" s="2" t="inlineStr"/>
    </row>
    <row r="2309" ht="15" customHeight="1">
      <c r="A2309" t="inlineStr">
        <is>
          <t>A 18642-2019</t>
        </is>
      </c>
      <c r="B2309" s="1" t="n">
        <v>43559</v>
      </c>
      <c r="C2309" s="1" t="n">
        <v>45212</v>
      </c>
      <c r="D2309" t="inlineStr">
        <is>
          <t>VÄSTRA GÖTALANDS LÄN</t>
        </is>
      </c>
      <c r="E2309" t="inlineStr">
        <is>
          <t>FÄRGELANDA</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18341-2019</t>
        </is>
      </c>
      <c r="B2310" s="1" t="n">
        <v>43559</v>
      </c>
      <c r="C2310" s="1" t="n">
        <v>45212</v>
      </c>
      <c r="D2310" t="inlineStr">
        <is>
          <t>VÄSTRA GÖTALANDS LÄN</t>
        </is>
      </c>
      <c r="E2310" t="inlineStr">
        <is>
          <t>KUNGÄLV</t>
        </is>
      </c>
      <c r="G2310" t="n">
        <v>6.3</v>
      </c>
      <c r="H2310" t="n">
        <v>0</v>
      </c>
      <c r="I2310" t="n">
        <v>0</v>
      </c>
      <c r="J2310" t="n">
        <v>0</v>
      </c>
      <c r="K2310" t="n">
        <v>0</v>
      </c>
      <c r="L2310" t="n">
        <v>0</v>
      </c>
      <c r="M2310" t="n">
        <v>0</v>
      </c>
      <c r="N2310" t="n">
        <v>0</v>
      </c>
      <c r="O2310" t="n">
        <v>0</v>
      </c>
      <c r="P2310" t="n">
        <v>0</v>
      </c>
      <c r="Q2310" t="n">
        <v>0</v>
      </c>
      <c r="R2310" s="2" t="inlineStr"/>
    </row>
    <row r="2311" ht="15" customHeight="1">
      <c r="A2311" t="inlineStr">
        <is>
          <t>A 18403-2019</t>
        </is>
      </c>
      <c r="B2311" s="1" t="n">
        <v>43559</v>
      </c>
      <c r="C2311" s="1" t="n">
        <v>45212</v>
      </c>
      <c r="D2311" t="inlineStr">
        <is>
          <t>VÄSTRA GÖTALANDS LÄN</t>
        </is>
      </c>
      <c r="E2311" t="inlineStr">
        <is>
          <t>BOLLEBYGD</t>
        </is>
      </c>
      <c r="G2311" t="n">
        <v>2.1</v>
      </c>
      <c r="H2311" t="n">
        <v>0</v>
      </c>
      <c r="I2311" t="n">
        <v>0</v>
      </c>
      <c r="J2311" t="n">
        <v>0</v>
      </c>
      <c r="K2311" t="n">
        <v>0</v>
      </c>
      <c r="L2311" t="n">
        <v>0</v>
      </c>
      <c r="M2311" t="n">
        <v>0</v>
      </c>
      <c r="N2311" t="n">
        <v>0</v>
      </c>
      <c r="O2311" t="n">
        <v>0</v>
      </c>
      <c r="P2311" t="n">
        <v>0</v>
      </c>
      <c r="Q2311" t="n">
        <v>0</v>
      </c>
      <c r="R2311" s="2" t="inlineStr"/>
    </row>
    <row r="2312" ht="15" customHeight="1">
      <c r="A2312" t="inlineStr">
        <is>
          <t>A 18440-2019</t>
        </is>
      </c>
      <c r="B2312" s="1" t="n">
        <v>43559</v>
      </c>
      <c r="C2312" s="1" t="n">
        <v>45212</v>
      </c>
      <c r="D2312" t="inlineStr">
        <is>
          <t>VÄSTRA GÖTALANDS LÄN</t>
        </is>
      </c>
      <c r="E2312" t="inlineStr">
        <is>
          <t>MARK</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18568-2019</t>
        </is>
      </c>
      <c r="B2313" s="1" t="n">
        <v>43559</v>
      </c>
      <c r="C2313" s="1" t="n">
        <v>45212</v>
      </c>
      <c r="D2313" t="inlineStr">
        <is>
          <t>VÄSTRA GÖTALANDS LÄN</t>
        </is>
      </c>
      <c r="E2313" t="inlineStr">
        <is>
          <t>SVENLJUNGA</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18665-2019</t>
        </is>
      </c>
      <c r="B2314" s="1" t="n">
        <v>43560</v>
      </c>
      <c r="C2314" s="1" t="n">
        <v>45212</v>
      </c>
      <c r="D2314" t="inlineStr">
        <is>
          <t>VÄSTRA GÖTALANDS LÄN</t>
        </is>
      </c>
      <c r="E2314" t="inlineStr">
        <is>
          <t>BORÅS</t>
        </is>
      </c>
      <c r="G2314" t="n">
        <v>1.1</v>
      </c>
      <c r="H2314" t="n">
        <v>0</v>
      </c>
      <c r="I2314" t="n">
        <v>0</v>
      </c>
      <c r="J2314" t="n">
        <v>0</v>
      </c>
      <c r="K2314" t="n">
        <v>0</v>
      </c>
      <c r="L2314" t="n">
        <v>0</v>
      </c>
      <c r="M2314" t="n">
        <v>0</v>
      </c>
      <c r="N2314" t="n">
        <v>0</v>
      </c>
      <c r="O2314" t="n">
        <v>0</v>
      </c>
      <c r="P2314" t="n">
        <v>0</v>
      </c>
      <c r="Q2314" t="n">
        <v>0</v>
      </c>
      <c r="R2314" s="2" t="inlineStr"/>
    </row>
    <row r="2315" ht="15" customHeight="1">
      <c r="A2315" t="inlineStr">
        <is>
          <t>A 18577-2019</t>
        </is>
      </c>
      <c r="B2315" s="1" t="n">
        <v>43560</v>
      </c>
      <c r="C2315" s="1" t="n">
        <v>45212</v>
      </c>
      <c r="D2315" t="inlineStr">
        <is>
          <t>VÄSTRA GÖTALANDS LÄN</t>
        </is>
      </c>
      <c r="E2315" t="inlineStr">
        <is>
          <t>FÄRGELANDA</t>
        </is>
      </c>
      <c r="G2315" t="n">
        <v>4.8</v>
      </c>
      <c r="H2315" t="n">
        <v>0</v>
      </c>
      <c r="I2315" t="n">
        <v>0</v>
      </c>
      <c r="J2315" t="n">
        <v>0</v>
      </c>
      <c r="K2315" t="n">
        <v>0</v>
      </c>
      <c r="L2315" t="n">
        <v>0</v>
      </c>
      <c r="M2315" t="n">
        <v>0</v>
      </c>
      <c r="N2315" t="n">
        <v>0</v>
      </c>
      <c r="O2315" t="n">
        <v>0</v>
      </c>
      <c r="P2315" t="n">
        <v>0</v>
      </c>
      <c r="Q2315" t="n">
        <v>0</v>
      </c>
      <c r="R2315" s="2" t="inlineStr"/>
    </row>
    <row r="2316" ht="15" customHeight="1">
      <c r="A2316" t="inlineStr">
        <is>
          <t>A 18678-2019</t>
        </is>
      </c>
      <c r="B2316" s="1" t="n">
        <v>43560</v>
      </c>
      <c r="C2316" s="1" t="n">
        <v>45212</v>
      </c>
      <c r="D2316" t="inlineStr">
        <is>
          <t>VÄSTRA GÖTALANDS LÄN</t>
        </is>
      </c>
      <c r="E2316" t="inlineStr">
        <is>
          <t>BENGTSFORS</t>
        </is>
      </c>
      <c r="F2316" t="inlineStr">
        <is>
          <t>Övriga Aktiebolag</t>
        </is>
      </c>
      <c r="G2316" t="n">
        <v>3.5</v>
      </c>
      <c r="H2316" t="n">
        <v>0</v>
      </c>
      <c r="I2316" t="n">
        <v>0</v>
      </c>
      <c r="J2316" t="n">
        <v>0</v>
      </c>
      <c r="K2316" t="n">
        <v>0</v>
      </c>
      <c r="L2316" t="n">
        <v>0</v>
      </c>
      <c r="M2316" t="n">
        <v>0</v>
      </c>
      <c r="N2316" t="n">
        <v>0</v>
      </c>
      <c r="O2316" t="n">
        <v>0</v>
      </c>
      <c r="P2316" t="n">
        <v>0</v>
      </c>
      <c r="Q2316" t="n">
        <v>0</v>
      </c>
      <c r="R2316" s="2" t="inlineStr"/>
    </row>
    <row r="2317" ht="15" customHeight="1">
      <c r="A2317" t="inlineStr">
        <is>
          <t>A 18622-2019</t>
        </is>
      </c>
      <c r="B2317" s="1" t="n">
        <v>43560</v>
      </c>
      <c r="C2317" s="1" t="n">
        <v>45212</v>
      </c>
      <c r="D2317" t="inlineStr">
        <is>
          <t>VÄSTRA GÖTALANDS LÄN</t>
        </is>
      </c>
      <c r="E2317" t="inlineStr">
        <is>
          <t>SVENLJUNGA</t>
        </is>
      </c>
      <c r="G2317" t="n">
        <v>5.1</v>
      </c>
      <c r="H2317" t="n">
        <v>0</v>
      </c>
      <c r="I2317" t="n">
        <v>0</v>
      </c>
      <c r="J2317" t="n">
        <v>0</v>
      </c>
      <c r="K2317" t="n">
        <v>0</v>
      </c>
      <c r="L2317" t="n">
        <v>0</v>
      </c>
      <c r="M2317" t="n">
        <v>0</v>
      </c>
      <c r="N2317" t="n">
        <v>0</v>
      </c>
      <c r="O2317" t="n">
        <v>0</v>
      </c>
      <c r="P2317" t="n">
        <v>0</v>
      </c>
      <c r="Q2317" t="n">
        <v>0</v>
      </c>
      <c r="R2317" s="2" t="inlineStr"/>
    </row>
    <row r="2318" ht="15" customHeight="1">
      <c r="A2318" t="inlineStr">
        <is>
          <t>A 18670-2019</t>
        </is>
      </c>
      <c r="B2318" s="1" t="n">
        <v>43560</v>
      </c>
      <c r="C2318" s="1" t="n">
        <v>45212</v>
      </c>
      <c r="D2318" t="inlineStr">
        <is>
          <t>VÄSTRA GÖTALANDS LÄN</t>
        </is>
      </c>
      <c r="E2318" t="inlineStr">
        <is>
          <t>BORÅS</t>
        </is>
      </c>
      <c r="G2318" t="n">
        <v>0.5</v>
      </c>
      <c r="H2318" t="n">
        <v>0</v>
      </c>
      <c r="I2318" t="n">
        <v>0</v>
      </c>
      <c r="J2318" t="n">
        <v>0</v>
      </c>
      <c r="K2318" t="n">
        <v>0</v>
      </c>
      <c r="L2318" t="n">
        <v>0</v>
      </c>
      <c r="M2318" t="n">
        <v>0</v>
      </c>
      <c r="N2318" t="n">
        <v>0</v>
      </c>
      <c r="O2318" t="n">
        <v>0</v>
      </c>
      <c r="P2318" t="n">
        <v>0</v>
      </c>
      <c r="Q2318" t="n">
        <v>0</v>
      </c>
      <c r="R2318" s="2" t="inlineStr"/>
    </row>
    <row r="2319" ht="15" customHeight="1">
      <c r="A2319" t="inlineStr">
        <is>
          <t>A 18681-2019</t>
        </is>
      </c>
      <c r="B2319" s="1" t="n">
        <v>43560</v>
      </c>
      <c r="C2319" s="1" t="n">
        <v>45212</v>
      </c>
      <c r="D2319" t="inlineStr">
        <is>
          <t>VÄSTRA GÖTALANDS LÄN</t>
        </is>
      </c>
      <c r="E2319" t="inlineStr">
        <is>
          <t>ESSUNGA</t>
        </is>
      </c>
      <c r="G2319" t="n">
        <v>1.4</v>
      </c>
      <c r="H2319" t="n">
        <v>0</v>
      </c>
      <c r="I2319" t="n">
        <v>0</v>
      </c>
      <c r="J2319" t="n">
        <v>0</v>
      </c>
      <c r="K2319" t="n">
        <v>0</v>
      </c>
      <c r="L2319" t="n">
        <v>0</v>
      </c>
      <c r="M2319" t="n">
        <v>0</v>
      </c>
      <c r="N2319" t="n">
        <v>0</v>
      </c>
      <c r="O2319" t="n">
        <v>0</v>
      </c>
      <c r="P2319" t="n">
        <v>0</v>
      </c>
      <c r="Q2319" t="n">
        <v>0</v>
      </c>
      <c r="R2319" s="2" t="inlineStr"/>
    </row>
    <row r="2320" ht="15" customHeight="1">
      <c r="A2320" t="inlineStr">
        <is>
          <t>A 18783-2019</t>
        </is>
      </c>
      <c r="B2320" s="1" t="n">
        <v>43562</v>
      </c>
      <c r="C2320" s="1" t="n">
        <v>45212</v>
      </c>
      <c r="D2320" t="inlineStr">
        <is>
          <t>VÄSTRA GÖTALANDS LÄN</t>
        </is>
      </c>
      <c r="E2320" t="inlineStr">
        <is>
          <t>MUNKEDAL</t>
        </is>
      </c>
      <c r="G2320" t="n">
        <v>2</v>
      </c>
      <c r="H2320" t="n">
        <v>0</v>
      </c>
      <c r="I2320" t="n">
        <v>0</v>
      </c>
      <c r="J2320" t="n">
        <v>0</v>
      </c>
      <c r="K2320" t="n">
        <v>0</v>
      </c>
      <c r="L2320" t="n">
        <v>0</v>
      </c>
      <c r="M2320" t="n">
        <v>0</v>
      </c>
      <c r="N2320" t="n">
        <v>0</v>
      </c>
      <c r="O2320" t="n">
        <v>0</v>
      </c>
      <c r="P2320" t="n">
        <v>0</v>
      </c>
      <c r="Q2320" t="n">
        <v>0</v>
      </c>
      <c r="R2320" s="2" t="inlineStr"/>
    </row>
    <row r="2321" ht="15" customHeight="1">
      <c r="A2321" t="inlineStr">
        <is>
          <t>A 18787-2019</t>
        </is>
      </c>
      <c r="B2321" s="1" t="n">
        <v>43562</v>
      </c>
      <c r="C2321" s="1" t="n">
        <v>45212</v>
      </c>
      <c r="D2321" t="inlineStr">
        <is>
          <t>VÄSTRA GÖTALANDS LÄN</t>
        </is>
      </c>
      <c r="E2321" t="inlineStr">
        <is>
          <t>MUNKEDAL</t>
        </is>
      </c>
      <c r="G2321" t="n">
        <v>2.1</v>
      </c>
      <c r="H2321" t="n">
        <v>0</v>
      </c>
      <c r="I2321" t="n">
        <v>0</v>
      </c>
      <c r="J2321" t="n">
        <v>0</v>
      </c>
      <c r="K2321" t="n">
        <v>0</v>
      </c>
      <c r="L2321" t="n">
        <v>0</v>
      </c>
      <c r="M2321" t="n">
        <v>0</v>
      </c>
      <c r="N2321" t="n">
        <v>0</v>
      </c>
      <c r="O2321" t="n">
        <v>0</v>
      </c>
      <c r="P2321" t="n">
        <v>0</v>
      </c>
      <c r="Q2321" t="n">
        <v>0</v>
      </c>
      <c r="R2321" s="2" t="inlineStr"/>
    </row>
    <row r="2322" ht="15" customHeight="1">
      <c r="A2322" t="inlineStr">
        <is>
          <t>A 18878-2019</t>
        </is>
      </c>
      <c r="B2322" s="1" t="n">
        <v>43563</v>
      </c>
      <c r="C2322" s="1" t="n">
        <v>45212</v>
      </c>
      <c r="D2322" t="inlineStr">
        <is>
          <t>VÄSTRA GÖTALANDS LÄN</t>
        </is>
      </c>
      <c r="E2322" t="inlineStr">
        <is>
          <t>TANUM</t>
        </is>
      </c>
      <c r="G2322" t="n">
        <v>3.7</v>
      </c>
      <c r="H2322" t="n">
        <v>0</v>
      </c>
      <c r="I2322" t="n">
        <v>0</v>
      </c>
      <c r="J2322" t="n">
        <v>0</v>
      </c>
      <c r="K2322" t="n">
        <v>0</v>
      </c>
      <c r="L2322" t="n">
        <v>0</v>
      </c>
      <c r="M2322" t="n">
        <v>0</v>
      </c>
      <c r="N2322" t="n">
        <v>0</v>
      </c>
      <c r="O2322" t="n">
        <v>0</v>
      </c>
      <c r="P2322" t="n">
        <v>0</v>
      </c>
      <c r="Q2322" t="n">
        <v>0</v>
      </c>
      <c r="R2322" s="2" t="inlineStr"/>
    </row>
    <row r="2323" ht="15" customHeight="1">
      <c r="A2323" t="inlineStr">
        <is>
          <t>A 18886-2019</t>
        </is>
      </c>
      <c r="B2323" s="1" t="n">
        <v>43563</v>
      </c>
      <c r="C2323" s="1" t="n">
        <v>45212</v>
      </c>
      <c r="D2323" t="inlineStr">
        <is>
          <t>VÄSTRA GÖTALANDS LÄN</t>
        </is>
      </c>
      <c r="E2323" t="inlineStr">
        <is>
          <t>BOLLEBYGD</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18884-2019</t>
        </is>
      </c>
      <c r="B2324" s="1" t="n">
        <v>43563</v>
      </c>
      <c r="C2324" s="1" t="n">
        <v>45212</v>
      </c>
      <c r="D2324" t="inlineStr">
        <is>
          <t>VÄSTRA GÖTALANDS LÄN</t>
        </is>
      </c>
      <c r="E2324" t="inlineStr">
        <is>
          <t>VARA</t>
        </is>
      </c>
      <c r="G2324" t="n">
        <v>5.8</v>
      </c>
      <c r="H2324" t="n">
        <v>0</v>
      </c>
      <c r="I2324" t="n">
        <v>0</v>
      </c>
      <c r="J2324" t="n">
        <v>0</v>
      </c>
      <c r="K2324" t="n">
        <v>0</v>
      </c>
      <c r="L2324" t="n">
        <v>0</v>
      </c>
      <c r="M2324" t="n">
        <v>0</v>
      </c>
      <c r="N2324" t="n">
        <v>0</v>
      </c>
      <c r="O2324" t="n">
        <v>0</v>
      </c>
      <c r="P2324" t="n">
        <v>0</v>
      </c>
      <c r="Q2324" t="n">
        <v>0</v>
      </c>
      <c r="R2324" s="2" t="inlineStr"/>
    </row>
    <row r="2325" ht="15" customHeight="1">
      <c r="A2325" t="inlineStr">
        <is>
          <t>A 18975-2019</t>
        </is>
      </c>
      <c r="B2325" s="1" t="n">
        <v>43563</v>
      </c>
      <c r="C2325" s="1" t="n">
        <v>45212</v>
      </c>
      <c r="D2325" t="inlineStr">
        <is>
          <t>VÄSTRA GÖTALANDS LÄN</t>
        </is>
      </c>
      <c r="E2325" t="inlineStr">
        <is>
          <t>HÄRRYDA</t>
        </is>
      </c>
      <c r="G2325" t="n">
        <v>0.7</v>
      </c>
      <c r="H2325" t="n">
        <v>0</v>
      </c>
      <c r="I2325" t="n">
        <v>0</v>
      </c>
      <c r="J2325" t="n">
        <v>0</v>
      </c>
      <c r="K2325" t="n">
        <v>0</v>
      </c>
      <c r="L2325" t="n">
        <v>0</v>
      </c>
      <c r="M2325" t="n">
        <v>0</v>
      </c>
      <c r="N2325" t="n">
        <v>0</v>
      </c>
      <c r="O2325" t="n">
        <v>0</v>
      </c>
      <c r="P2325" t="n">
        <v>0</v>
      </c>
      <c r="Q2325" t="n">
        <v>0</v>
      </c>
      <c r="R2325" s="2" t="inlineStr"/>
    </row>
    <row r="2326" ht="15" customHeight="1">
      <c r="A2326" t="inlineStr">
        <is>
          <t>A 19169-2019</t>
        </is>
      </c>
      <c r="B2326" s="1" t="n">
        <v>43564</v>
      </c>
      <c r="C2326" s="1" t="n">
        <v>45212</v>
      </c>
      <c r="D2326" t="inlineStr">
        <is>
          <t>VÄSTRA GÖTALANDS LÄN</t>
        </is>
      </c>
      <c r="E2326" t="inlineStr">
        <is>
          <t>TRANEMO</t>
        </is>
      </c>
      <c r="F2326" t="inlineStr">
        <is>
          <t>Sveaskog</t>
        </is>
      </c>
      <c r="G2326" t="n">
        <v>3.9</v>
      </c>
      <c r="H2326" t="n">
        <v>0</v>
      </c>
      <c r="I2326" t="n">
        <v>0</v>
      </c>
      <c r="J2326" t="n">
        <v>0</v>
      </c>
      <c r="K2326" t="n">
        <v>0</v>
      </c>
      <c r="L2326" t="n">
        <v>0</v>
      </c>
      <c r="M2326" t="n">
        <v>0</v>
      </c>
      <c r="N2326" t="n">
        <v>0</v>
      </c>
      <c r="O2326" t="n">
        <v>0</v>
      </c>
      <c r="P2326" t="n">
        <v>0</v>
      </c>
      <c r="Q2326" t="n">
        <v>0</v>
      </c>
      <c r="R2326" s="2" t="inlineStr"/>
    </row>
    <row r="2327" ht="15" customHeight="1">
      <c r="A2327" t="inlineStr">
        <is>
          <t>A 19186-2019</t>
        </is>
      </c>
      <c r="B2327" s="1" t="n">
        <v>43564</v>
      </c>
      <c r="C2327" s="1" t="n">
        <v>45212</v>
      </c>
      <c r="D2327" t="inlineStr">
        <is>
          <t>VÄSTRA GÖTALANDS LÄN</t>
        </is>
      </c>
      <c r="E2327" t="inlineStr">
        <is>
          <t>LILLA EDET</t>
        </is>
      </c>
      <c r="G2327" t="n">
        <v>3.5</v>
      </c>
      <c r="H2327" t="n">
        <v>0</v>
      </c>
      <c r="I2327" t="n">
        <v>0</v>
      </c>
      <c r="J2327" t="n">
        <v>0</v>
      </c>
      <c r="K2327" t="n">
        <v>0</v>
      </c>
      <c r="L2327" t="n">
        <v>0</v>
      </c>
      <c r="M2327" t="n">
        <v>0</v>
      </c>
      <c r="N2327" t="n">
        <v>0</v>
      </c>
      <c r="O2327" t="n">
        <v>0</v>
      </c>
      <c r="P2327" t="n">
        <v>0</v>
      </c>
      <c r="Q2327" t="n">
        <v>0</v>
      </c>
      <c r="R2327" s="2" t="inlineStr"/>
    </row>
    <row r="2328" ht="15" customHeight="1">
      <c r="A2328" t="inlineStr">
        <is>
          <t>A 19250-2019</t>
        </is>
      </c>
      <c r="B2328" s="1" t="n">
        <v>43564</v>
      </c>
      <c r="C2328" s="1" t="n">
        <v>45212</v>
      </c>
      <c r="D2328" t="inlineStr">
        <is>
          <t>VÄSTRA GÖTALANDS LÄN</t>
        </is>
      </c>
      <c r="E2328" t="inlineStr">
        <is>
          <t>GÖTENE</t>
        </is>
      </c>
      <c r="G2328" t="n">
        <v>2.2</v>
      </c>
      <c r="H2328" t="n">
        <v>0</v>
      </c>
      <c r="I2328" t="n">
        <v>0</v>
      </c>
      <c r="J2328" t="n">
        <v>0</v>
      </c>
      <c r="K2328" t="n">
        <v>0</v>
      </c>
      <c r="L2328" t="n">
        <v>0</v>
      </c>
      <c r="M2328" t="n">
        <v>0</v>
      </c>
      <c r="N2328" t="n">
        <v>0</v>
      </c>
      <c r="O2328" t="n">
        <v>0</v>
      </c>
      <c r="P2328" t="n">
        <v>0</v>
      </c>
      <c r="Q2328" t="n">
        <v>0</v>
      </c>
      <c r="R2328" s="2" t="inlineStr"/>
    </row>
    <row r="2329" ht="15" customHeight="1">
      <c r="A2329" t="inlineStr">
        <is>
          <t>A 19160-2019</t>
        </is>
      </c>
      <c r="B2329" s="1" t="n">
        <v>43564</v>
      </c>
      <c r="C2329" s="1" t="n">
        <v>45212</v>
      </c>
      <c r="D2329" t="inlineStr">
        <is>
          <t>VÄSTRA GÖTALANDS LÄN</t>
        </is>
      </c>
      <c r="E2329" t="inlineStr">
        <is>
          <t>LILLA EDET</t>
        </is>
      </c>
      <c r="G2329" t="n">
        <v>5.5</v>
      </c>
      <c r="H2329" t="n">
        <v>0</v>
      </c>
      <c r="I2329" t="n">
        <v>0</v>
      </c>
      <c r="J2329" t="n">
        <v>0</v>
      </c>
      <c r="K2329" t="n">
        <v>0</v>
      </c>
      <c r="L2329" t="n">
        <v>0</v>
      </c>
      <c r="M2329" t="n">
        <v>0</v>
      </c>
      <c r="N2329" t="n">
        <v>0</v>
      </c>
      <c r="O2329" t="n">
        <v>0</v>
      </c>
      <c r="P2329" t="n">
        <v>0</v>
      </c>
      <c r="Q2329" t="n">
        <v>0</v>
      </c>
      <c r="R2329" s="2" t="inlineStr"/>
    </row>
    <row r="2330" ht="15" customHeight="1">
      <c r="A2330" t="inlineStr">
        <is>
          <t>A 19200-2019</t>
        </is>
      </c>
      <c r="B2330" s="1" t="n">
        <v>43564</v>
      </c>
      <c r="C2330" s="1" t="n">
        <v>45212</v>
      </c>
      <c r="D2330" t="inlineStr">
        <is>
          <t>VÄSTRA GÖTALANDS LÄN</t>
        </is>
      </c>
      <c r="E2330" t="inlineStr">
        <is>
          <t>HÄRRYDA</t>
        </is>
      </c>
      <c r="G2330" t="n">
        <v>0.8</v>
      </c>
      <c r="H2330" t="n">
        <v>0</v>
      </c>
      <c r="I2330" t="n">
        <v>0</v>
      </c>
      <c r="J2330" t="n">
        <v>0</v>
      </c>
      <c r="K2330" t="n">
        <v>0</v>
      </c>
      <c r="L2330" t="n">
        <v>0</v>
      </c>
      <c r="M2330" t="n">
        <v>0</v>
      </c>
      <c r="N2330" t="n">
        <v>0</v>
      </c>
      <c r="O2330" t="n">
        <v>0</v>
      </c>
      <c r="P2330" t="n">
        <v>0</v>
      </c>
      <c r="Q2330" t="n">
        <v>0</v>
      </c>
      <c r="R2330" s="2" t="inlineStr"/>
    </row>
    <row r="2331" ht="15" customHeight="1">
      <c r="A2331" t="inlineStr">
        <is>
          <t>A 19345-2019</t>
        </is>
      </c>
      <c r="B2331" s="1" t="n">
        <v>43565</v>
      </c>
      <c r="C2331" s="1" t="n">
        <v>45212</v>
      </c>
      <c r="D2331" t="inlineStr">
        <is>
          <t>VÄSTRA GÖTALANDS LÄN</t>
        </is>
      </c>
      <c r="E2331" t="inlineStr">
        <is>
          <t>SVENLJUNGA</t>
        </is>
      </c>
      <c r="G2331" t="n">
        <v>2.1</v>
      </c>
      <c r="H2331" t="n">
        <v>0</v>
      </c>
      <c r="I2331" t="n">
        <v>0</v>
      </c>
      <c r="J2331" t="n">
        <v>0</v>
      </c>
      <c r="K2331" t="n">
        <v>0</v>
      </c>
      <c r="L2331" t="n">
        <v>0</v>
      </c>
      <c r="M2331" t="n">
        <v>0</v>
      </c>
      <c r="N2331" t="n">
        <v>0</v>
      </c>
      <c r="O2331" t="n">
        <v>0</v>
      </c>
      <c r="P2331" t="n">
        <v>0</v>
      </c>
      <c r="Q2331" t="n">
        <v>0</v>
      </c>
      <c r="R2331" s="2" t="inlineStr"/>
    </row>
    <row r="2332" ht="15" customHeight="1">
      <c r="A2332" t="inlineStr">
        <is>
          <t>A 19430-2019</t>
        </is>
      </c>
      <c r="B2332" s="1" t="n">
        <v>43565</v>
      </c>
      <c r="C2332" s="1" t="n">
        <v>45212</v>
      </c>
      <c r="D2332" t="inlineStr">
        <is>
          <t>VÄSTRA GÖTALANDS LÄN</t>
        </is>
      </c>
      <c r="E2332" t="inlineStr">
        <is>
          <t>BENGTSFORS</t>
        </is>
      </c>
      <c r="G2332" t="n">
        <v>2</v>
      </c>
      <c r="H2332" t="n">
        <v>0</v>
      </c>
      <c r="I2332" t="n">
        <v>0</v>
      </c>
      <c r="J2332" t="n">
        <v>0</v>
      </c>
      <c r="K2332" t="n">
        <v>0</v>
      </c>
      <c r="L2332" t="n">
        <v>0</v>
      </c>
      <c r="M2332" t="n">
        <v>0</v>
      </c>
      <c r="N2332" t="n">
        <v>0</v>
      </c>
      <c r="O2332" t="n">
        <v>0</v>
      </c>
      <c r="P2332" t="n">
        <v>0</v>
      </c>
      <c r="Q2332" t="n">
        <v>0</v>
      </c>
      <c r="R2332" s="2" t="inlineStr"/>
    </row>
    <row r="2333" ht="15" customHeight="1">
      <c r="A2333" t="inlineStr">
        <is>
          <t>A 19346-2019</t>
        </is>
      </c>
      <c r="B2333" s="1" t="n">
        <v>43565</v>
      </c>
      <c r="C2333" s="1" t="n">
        <v>45212</v>
      </c>
      <c r="D2333" t="inlineStr">
        <is>
          <t>VÄSTRA GÖTALANDS LÄN</t>
        </is>
      </c>
      <c r="E2333" t="inlineStr">
        <is>
          <t>SVENLJUNGA</t>
        </is>
      </c>
      <c r="G2333" t="n">
        <v>0.9</v>
      </c>
      <c r="H2333" t="n">
        <v>0</v>
      </c>
      <c r="I2333" t="n">
        <v>0</v>
      </c>
      <c r="J2333" t="n">
        <v>0</v>
      </c>
      <c r="K2333" t="n">
        <v>0</v>
      </c>
      <c r="L2333" t="n">
        <v>0</v>
      </c>
      <c r="M2333" t="n">
        <v>0</v>
      </c>
      <c r="N2333" t="n">
        <v>0</v>
      </c>
      <c r="O2333" t="n">
        <v>0</v>
      </c>
      <c r="P2333" t="n">
        <v>0</v>
      </c>
      <c r="Q2333" t="n">
        <v>0</v>
      </c>
      <c r="R2333" s="2" t="inlineStr"/>
    </row>
    <row r="2334" ht="15" customHeight="1">
      <c r="A2334" t="inlineStr">
        <is>
          <t>A 19389-2019</t>
        </is>
      </c>
      <c r="B2334" s="1" t="n">
        <v>43565</v>
      </c>
      <c r="C2334" s="1" t="n">
        <v>45212</v>
      </c>
      <c r="D2334" t="inlineStr">
        <is>
          <t>VÄSTRA GÖTALANDS LÄN</t>
        </is>
      </c>
      <c r="E2334" t="inlineStr">
        <is>
          <t>MARK</t>
        </is>
      </c>
      <c r="G2334" t="n">
        <v>2.9</v>
      </c>
      <c r="H2334" t="n">
        <v>0</v>
      </c>
      <c r="I2334" t="n">
        <v>0</v>
      </c>
      <c r="J2334" t="n">
        <v>0</v>
      </c>
      <c r="K2334" t="n">
        <v>0</v>
      </c>
      <c r="L2334" t="n">
        <v>0</v>
      </c>
      <c r="M2334" t="n">
        <v>0</v>
      </c>
      <c r="N2334" t="n">
        <v>0</v>
      </c>
      <c r="O2334" t="n">
        <v>0</v>
      </c>
      <c r="P2334" t="n">
        <v>0</v>
      </c>
      <c r="Q2334" t="n">
        <v>0</v>
      </c>
      <c r="R2334" s="2" t="inlineStr"/>
    </row>
    <row r="2335" ht="15" customHeight="1">
      <c r="A2335" t="inlineStr">
        <is>
          <t>A 19460-2019</t>
        </is>
      </c>
      <c r="B2335" s="1" t="n">
        <v>43565</v>
      </c>
      <c r="C2335" s="1" t="n">
        <v>45212</v>
      </c>
      <c r="D2335" t="inlineStr">
        <is>
          <t>VÄSTRA GÖTALANDS LÄN</t>
        </is>
      </c>
      <c r="E2335" t="inlineStr">
        <is>
          <t>ALINGSÅS</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19366-2019</t>
        </is>
      </c>
      <c r="B2336" s="1" t="n">
        <v>43565</v>
      </c>
      <c r="C2336" s="1" t="n">
        <v>45212</v>
      </c>
      <c r="D2336" t="inlineStr">
        <is>
          <t>VÄSTRA GÖTALANDS LÄN</t>
        </is>
      </c>
      <c r="E2336" t="inlineStr">
        <is>
          <t>SVENLJUNGA</t>
        </is>
      </c>
      <c r="G2336" t="n">
        <v>0.4</v>
      </c>
      <c r="H2336" t="n">
        <v>0</v>
      </c>
      <c r="I2336" t="n">
        <v>0</v>
      </c>
      <c r="J2336" t="n">
        <v>0</v>
      </c>
      <c r="K2336" t="n">
        <v>0</v>
      </c>
      <c r="L2336" t="n">
        <v>0</v>
      </c>
      <c r="M2336" t="n">
        <v>0</v>
      </c>
      <c r="N2336" t="n">
        <v>0</v>
      </c>
      <c r="O2336" t="n">
        <v>0</v>
      </c>
      <c r="P2336" t="n">
        <v>0</v>
      </c>
      <c r="Q2336" t="n">
        <v>0</v>
      </c>
      <c r="R2336" s="2" t="inlineStr"/>
    </row>
    <row r="2337" ht="15" customHeight="1">
      <c r="A2337" t="inlineStr">
        <is>
          <t>A 19394-2019</t>
        </is>
      </c>
      <c r="B2337" s="1" t="n">
        <v>43565</v>
      </c>
      <c r="C2337" s="1" t="n">
        <v>45212</v>
      </c>
      <c r="D2337" t="inlineStr">
        <is>
          <t>VÄSTRA GÖTALANDS LÄN</t>
        </is>
      </c>
      <c r="E2337" t="inlineStr">
        <is>
          <t>BENGTSFORS</t>
        </is>
      </c>
      <c r="G2337" t="n">
        <v>2.2</v>
      </c>
      <c r="H2337" t="n">
        <v>0</v>
      </c>
      <c r="I2337" t="n">
        <v>0</v>
      </c>
      <c r="J2337" t="n">
        <v>0</v>
      </c>
      <c r="K2337" t="n">
        <v>0</v>
      </c>
      <c r="L2337" t="n">
        <v>0</v>
      </c>
      <c r="M2337" t="n">
        <v>0</v>
      </c>
      <c r="N2337" t="n">
        <v>0</v>
      </c>
      <c r="O2337" t="n">
        <v>0</v>
      </c>
      <c r="P2337" t="n">
        <v>0</v>
      </c>
      <c r="Q2337" t="n">
        <v>0</v>
      </c>
      <c r="R2337" s="2" t="inlineStr"/>
    </row>
    <row r="2338" ht="15" customHeight="1">
      <c r="A2338" t="inlineStr">
        <is>
          <t>A 19612-2019</t>
        </is>
      </c>
      <c r="B2338" s="1" t="n">
        <v>43565</v>
      </c>
      <c r="C2338" s="1" t="n">
        <v>45212</v>
      </c>
      <c r="D2338" t="inlineStr">
        <is>
          <t>VÄSTRA GÖTALANDS LÄN</t>
        </is>
      </c>
      <c r="E2338" t="inlineStr">
        <is>
          <t>STRÖMSTAD</t>
        </is>
      </c>
      <c r="G2338" t="n">
        <v>4.3</v>
      </c>
      <c r="H2338" t="n">
        <v>0</v>
      </c>
      <c r="I2338" t="n">
        <v>0</v>
      </c>
      <c r="J2338" t="n">
        <v>0</v>
      </c>
      <c r="K2338" t="n">
        <v>0</v>
      </c>
      <c r="L2338" t="n">
        <v>0</v>
      </c>
      <c r="M2338" t="n">
        <v>0</v>
      </c>
      <c r="N2338" t="n">
        <v>0</v>
      </c>
      <c r="O2338" t="n">
        <v>0</v>
      </c>
      <c r="P2338" t="n">
        <v>0</v>
      </c>
      <c r="Q2338" t="n">
        <v>0</v>
      </c>
      <c r="R2338" s="2" t="inlineStr"/>
    </row>
    <row r="2339" ht="15" customHeight="1">
      <c r="A2339" t="inlineStr">
        <is>
          <t>A 19429-2019</t>
        </is>
      </c>
      <c r="B2339" s="1" t="n">
        <v>43565</v>
      </c>
      <c r="C2339" s="1" t="n">
        <v>45212</v>
      </c>
      <c r="D2339" t="inlineStr">
        <is>
          <t>VÄSTRA GÖTALANDS LÄN</t>
        </is>
      </c>
      <c r="E2339" t="inlineStr">
        <is>
          <t>BENGTSFORS</t>
        </is>
      </c>
      <c r="G2339" t="n">
        <v>10.2</v>
      </c>
      <c r="H2339" t="n">
        <v>0</v>
      </c>
      <c r="I2339" t="n">
        <v>0</v>
      </c>
      <c r="J2339" t="n">
        <v>0</v>
      </c>
      <c r="K2339" t="n">
        <v>0</v>
      </c>
      <c r="L2339" t="n">
        <v>0</v>
      </c>
      <c r="M2339" t="n">
        <v>0</v>
      </c>
      <c r="N2339" t="n">
        <v>0</v>
      </c>
      <c r="O2339" t="n">
        <v>0</v>
      </c>
      <c r="P2339" t="n">
        <v>0</v>
      </c>
      <c r="Q2339" t="n">
        <v>0</v>
      </c>
      <c r="R2339" s="2" t="inlineStr"/>
    </row>
    <row r="2340" ht="15" customHeight="1">
      <c r="A2340" t="inlineStr">
        <is>
          <t>A 19644-2019</t>
        </is>
      </c>
      <c r="B2340" s="1" t="n">
        <v>43566</v>
      </c>
      <c r="C2340" s="1" t="n">
        <v>45212</v>
      </c>
      <c r="D2340" t="inlineStr">
        <is>
          <t>VÄSTRA GÖTALANDS LÄN</t>
        </is>
      </c>
      <c r="E2340" t="inlineStr">
        <is>
          <t>DALS-ED</t>
        </is>
      </c>
      <c r="G2340" t="n">
        <v>1.8</v>
      </c>
      <c r="H2340" t="n">
        <v>0</v>
      </c>
      <c r="I2340" t="n">
        <v>0</v>
      </c>
      <c r="J2340" t="n">
        <v>0</v>
      </c>
      <c r="K2340" t="n">
        <v>0</v>
      </c>
      <c r="L2340" t="n">
        <v>0</v>
      </c>
      <c r="M2340" t="n">
        <v>0</v>
      </c>
      <c r="N2340" t="n">
        <v>0</v>
      </c>
      <c r="O2340" t="n">
        <v>0</v>
      </c>
      <c r="P2340" t="n">
        <v>0</v>
      </c>
      <c r="Q2340" t="n">
        <v>0</v>
      </c>
      <c r="R2340" s="2" t="inlineStr"/>
    </row>
    <row r="2341" ht="15" customHeight="1">
      <c r="A2341" t="inlineStr">
        <is>
          <t>A 19702-2019</t>
        </is>
      </c>
      <c r="B2341" s="1" t="n">
        <v>43566</v>
      </c>
      <c r="C2341" s="1" t="n">
        <v>45212</v>
      </c>
      <c r="D2341" t="inlineStr">
        <is>
          <t>VÄSTRA GÖTALANDS LÄN</t>
        </is>
      </c>
      <c r="E2341" t="inlineStr">
        <is>
          <t>LIDKÖPING</t>
        </is>
      </c>
      <c r="G2341" t="n">
        <v>6.9</v>
      </c>
      <c r="H2341" t="n">
        <v>0</v>
      </c>
      <c r="I2341" t="n">
        <v>0</v>
      </c>
      <c r="J2341" t="n">
        <v>0</v>
      </c>
      <c r="K2341" t="n">
        <v>0</v>
      </c>
      <c r="L2341" t="n">
        <v>0</v>
      </c>
      <c r="M2341" t="n">
        <v>0</v>
      </c>
      <c r="N2341" t="n">
        <v>0</v>
      </c>
      <c r="O2341" t="n">
        <v>0</v>
      </c>
      <c r="P2341" t="n">
        <v>0</v>
      </c>
      <c r="Q2341" t="n">
        <v>0</v>
      </c>
      <c r="R2341" s="2" t="inlineStr"/>
    </row>
    <row r="2342" ht="15" customHeight="1">
      <c r="A2342" t="inlineStr">
        <is>
          <t>A 19720-2019</t>
        </is>
      </c>
      <c r="B2342" s="1" t="n">
        <v>43566</v>
      </c>
      <c r="C2342" s="1" t="n">
        <v>45212</v>
      </c>
      <c r="D2342" t="inlineStr">
        <is>
          <t>VÄSTRA GÖTALANDS LÄN</t>
        </is>
      </c>
      <c r="E2342" t="inlineStr">
        <is>
          <t>TROLLHÄTTAN</t>
        </is>
      </c>
      <c r="G2342" t="n">
        <v>6.4</v>
      </c>
      <c r="H2342" t="n">
        <v>0</v>
      </c>
      <c r="I2342" t="n">
        <v>0</v>
      </c>
      <c r="J2342" t="n">
        <v>0</v>
      </c>
      <c r="K2342" t="n">
        <v>0</v>
      </c>
      <c r="L2342" t="n">
        <v>0</v>
      </c>
      <c r="M2342" t="n">
        <v>0</v>
      </c>
      <c r="N2342" t="n">
        <v>0</v>
      </c>
      <c r="O2342" t="n">
        <v>0</v>
      </c>
      <c r="P2342" t="n">
        <v>0</v>
      </c>
      <c r="Q2342" t="n">
        <v>0</v>
      </c>
      <c r="R2342" s="2" t="inlineStr"/>
    </row>
    <row r="2343" ht="15" customHeight="1">
      <c r="A2343" t="inlineStr">
        <is>
          <t>A 19568-2019</t>
        </is>
      </c>
      <c r="B2343" s="1" t="n">
        <v>43566</v>
      </c>
      <c r="C2343" s="1" t="n">
        <v>45212</v>
      </c>
      <c r="D2343" t="inlineStr">
        <is>
          <t>VÄSTRA GÖTALANDS LÄN</t>
        </is>
      </c>
      <c r="E2343" t="inlineStr">
        <is>
          <t>MARK</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19639-2019</t>
        </is>
      </c>
      <c r="B2344" s="1" t="n">
        <v>43566</v>
      </c>
      <c r="C2344" s="1" t="n">
        <v>45212</v>
      </c>
      <c r="D2344" t="inlineStr">
        <is>
          <t>VÄSTRA GÖTALANDS LÄN</t>
        </is>
      </c>
      <c r="E2344" t="inlineStr">
        <is>
          <t>DALS-ED</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19706-2019</t>
        </is>
      </c>
      <c r="B2345" s="1" t="n">
        <v>43566</v>
      </c>
      <c r="C2345" s="1" t="n">
        <v>45212</v>
      </c>
      <c r="D2345" t="inlineStr">
        <is>
          <t>VÄSTRA GÖTALANDS LÄN</t>
        </is>
      </c>
      <c r="E2345" t="inlineStr">
        <is>
          <t>LIDKÖPING</t>
        </is>
      </c>
      <c r="G2345" t="n">
        <v>1.7</v>
      </c>
      <c r="H2345" t="n">
        <v>0</v>
      </c>
      <c r="I2345" t="n">
        <v>0</v>
      </c>
      <c r="J2345" t="n">
        <v>0</v>
      </c>
      <c r="K2345" t="n">
        <v>0</v>
      </c>
      <c r="L2345" t="n">
        <v>0</v>
      </c>
      <c r="M2345" t="n">
        <v>0</v>
      </c>
      <c r="N2345" t="n">
        <v>0</v>
      </c>
      <c r="O2345" t="n">
        <v>0</v>
      </c>
      <c r="P2345" t="n">
        <v>0</v>
      </c>
      <c r="Q2345" t="n">
        <v>0</v>
      </c>
      <c r="R2345" s="2" t="inlineStr"/>
    </row>
    <row r="2346" ht="15" customHeight="1">
      <c r="A2346" t="inlineStr">
        <is>
          <t>A 19719-2019</t>
        </is>
      </c>
      <c r="B2346" s="1" t="n">
        <v>43566</v>
      </c>
      <c r="C2346" s="1" t="n">
        <v>45212</v>
      </c>
      <c r="D2346" t="inlineStr">
        <is>
          <t>VÄSTRA GÖTALANDS LÄN</t>
        </is>
      </c>
      <c r="E2346" t="inlineStr">
        <is>
          <t>TROLLHÄTTAN</t>
        </is>
      </c>
      <c r="G2346" t="n">
        <v>0.2</v>
      </c>
      <c r="H2346" t="n">
        <v>0</v>
      </c>
      <c r="I2346" t="n">
        <v>0</v>
      </c>
      <c r="J2346" t="n">
        <v>0</v>
      </c>
      <c r="K2346" t="n">
        <v>0</v>
      </c>
      <c r="L2346" t="n">
        <v>0</v>
      </c>
      <c r="M2346" t="n">
        <v>0</v>
      </c>
      <c r="N2346" t="n">
        <v>0</v>
      </c>
      <c r="O2346" t="n">
        <v>0</v>
      </c>
      <c r="P2346" t="n">
        <v>0</v>
      </c>
      <c r="Q2346" t="n">
        <v>0</v>
      </c>
      <c r="R2346" s="2" t="inlineStr"/>
    </row>
    <row r="2347" ht="15" customHeight="1">
      <c r="A2347" t="inlineStr">
        <is>
          <t>A 19666-2019</t>
        </is>
      </c>
      <c r="B2347" s="1" t="n">
        <v>43566</v>
      </c>
      <c r="C2347" s="1" t="n">
        <v>45212</v>
      </c>
      <c r="D2347" t="inlineStr">
        <is>
          <t>VÄSTRA GÖTALANDS LÄN</t>
        </is>
      </c>
      <c r="E2347" t="inlineStr">
        <is>
          <t>FÄRGELANDA</t>
        </is>
      </c>
      <c r="G2347" t="n">
        <v>1.6</v>
      </c>
      <c r="H2347" t="n">
        <v>0</v>
      </c>
      <c r="I2347" t="n">
        <v>0</v>
      </c>
      <c r="J2347" t="n">
        <v>0</v>
      </c>
      <c r="K2347" t="n">
        <v>0</v>
      </c>
      <c r="L2347" t="n">
        <v>0</v>
      </c>
      <c r="M2347" t="n">
        <v>0</v>
      </c>
      <c r="N2347" t="n">
        <v>0</v>
      </c>
      <c r="O2347" t="n">
        <v>0</v>
      </c>
      <c r="P2347" t="n">
        <v>0</v>
      </c>
      <c r="Q2347" t="n">
        <v>0</v>
      </c>
      <c r="R2347" s="2" t="inlineStr"/>
    </row>
    <row r="2348" ht="15" customHeight="1">
      <c r="A2348" t="inlineStr">
        <is>
          <t>A 19688-2019</t>
        </is>
      </c>
      <c r="B2348" s="1" t="n">
        <v>43566</v>
      </c>
      <c r="C2348" s="1" t="n">
        <v>45212</v>
      </c>
      <c r="D2348" t="inlineStr">
        <is>
          <t>VÄSTRA GÖTALANDS LÄN</t>
        </is>
      </c>
      <c r="E2348" t="inlineStr">
        <is>
          <t>HÄRRYDA</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19793-2019</t>
        </is>
      </c>
      <c r="B2349" s="1" t="n">
        <v>43566</v>
      </c>
      <c r="C2349" s="1" t="n">
        <v>45212</v>
      </c>
      <c r="D2349" t="inlineStr">
        <is>
          <t>VÄSTRA GÖTALANDS LÄN</t>
        </is>
      </c>
      <c r="E2349" t="inlineStr">
        <is>
          <t>VARA</t>
        </is>
      </c>
      <c r="G2349" t="n">
        <v>6.9</v>
      </c>
      <c r="H2349" t="n">
        <v>0</v>
      </c>
      <c r="I2349" t="n">
        <v>0</v>
      </c>
      <c r="J2349" t="n">
        <v>0</v>
      </c>
      <c r="K2349" t="n">
        <v>0</v>
      </c>
      <c r="L2349" t="n">
        <v>0</v>
      </c>
      <c r="M2349" t="n">
        <v>0</v>
      </c>
      <c r="N2349" t="n">
        <v>0</v>
      </c>
      <c r="O2349" t="n">
        <v>0</v>
      </c>
      <c r="P2349" t="n">
        <v>0</v>
      </c>
      <c r="Q2349" t="n">
        <v>0</v>
      </c>
      <c r="R2349" s="2" t="inlineStr"/>
    </row>
    <row r="2350" ht="15" customHeight="1">
      <c r="A2350" t="inlineStr">
        <is>
          <t>A 19704-2019</t>
        </is>
      </c>
      <c r="B2350" s="1" t="n">
        <v>43566</v>
      </c>
      <c r="C2350" s="1" t="n">
        <v>45212</v>
      </c>
      <c r="D2350" t="inlineStr">
        <is>
          <t>VÄSTRA GÖTALANDS LÄN</t>
        </is>
      </c>
      <c r="E2350" t="inlineStr">
        <is>
          <t>LIDKÖPING</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19747-2019</t>
        </is>
      </c>
      <c r="B2351" s="1" t="n">
        <v>43567</v>
      </c>
      <c r="C2351" s="1" t="n">
        <v>45212</v>
      </c>
      <c r="D2351" t="inlineStr">
        <is>
          <t>VÄSTRA GÖTALANDS LÄN</t>
        </is>
      </c>
      <c r="E2351" t="inlineStr">
        <is>
          <t>MARK</t>
        </is>
      </c>
      <c r="G2351" t="n">
        <v>1.5</v>
      </c>
      <c r="H2351" t="n">
        <v>0</v>
      </c>
      <c r="I2351" t="n">
        <v>0</v>
      </c>
      <c r="J2351" t="n">
        <v>0</v>
      </c>
      <c r="K2351" t="n">
        <v>0</v>
      </c>
      <c r="L2351" t="n">
        <v>0</v>
      </c>
      <c r="M2351" t="n">
        <v>0</v>
      </c>
      <c r="N2351" t="n">
        <v>0</v>
      </c>
      <c r="O2351" t="n">
        <v>0</v>
      </c>
      <c r="P2351" t="n">
        <v>0</v>
      </c>
      <c r="Q2351" t="n">
        <v>0</v>
      </c>
      <c r="R2351" s="2" t="inlineStr"/>
    </row>
    <row r="2352" ht="15" customHeight="1">
      <c r="A2352" t="inlineStr">
        <is>
          <t>A 19796-2019</t>
        </is>
      </c>
      <c r="B2352" s="1" t="n">
        <v>43567</v>
      </c>
      <c r="C2352" s="1" t="n">
        <v>45212</v>
      </c>
      <c r="D2352" t="inlineStr">
        <is>
          <t>VÄSTRA GÖTALANDS LÄN</t>
        </is>
      </c>
      <c r="E2352" t="inlineStr">
        <is>
          <t>ORUST</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19826-2019</t>
        </is>
      </c>
      <c r="B2353" s="1" t="n">
        <v>43567</v>
      </c>
      <c r="C2353" s="1" t="n">
        <v>45212</v>
      </c>
      <c r="D2353" t="inlineStr">
        <is>
          <t>VÄSTRA GÖTALANDS LÄN</t>
        </is>
      </c>
      <c r="E2353" t="inlineStr">
        <is>
          <t>HÄRRYDA</t>
        </is>
      </c>
      <c r="G2353" t="n">
        <v>0.4</v>
      </c>
      <c r="H2353" t="n">
        <v>0</v>
      </c>
      <c r="I2353" t="n">
        <v>0</v>
      </c>
      <c r="J2353" t="n">
        <v>0</v>
      </c>
      <c r="K2353" t="n">
        <v>0</v>
      </c>
      <c r="L2353" t="n">
        <v>0</v>
      </c>
      <c r="M2353" t="n">
        <v>0</v>
      </c>
      <c r="N2353" t="n">
        <v>0</v>
      </c>
      <c r="O2353" t="n">
        <v>0</v>
      </c>
      <c r="P2353" t="n">
        <v>0</v>
      </c>
      <c r="Q2353" t="n">
        <v>0</v>
      </c>
      <c r="R2353" s="2" t="inlineStr"/>
    </row>
    <row r="2354" ht="15" customHeight="1">
      <c r="A2354" t="inlineStr">
        <is>
          <t>A 19865-2019</t>
        </is>
      </c>
      <c r="B2354" s="1" t="n">
        <v>43567</v>
      </c>
      <c r="C2354" s="1" t="n">
        <v>45212</v>
      </c>
      <c r="D2354" t="inlineStr">
        <is>
          <t>VÄSTRA GÖTALANDS LÄN</t>
        </is>
      </c>
      <c r="E2354" t="inlineStr">
        <is>
          <t>BENGTSFORS</t>
        </is>
      </c>
      <c r="F2354" t="inlineStr">
        <is>
          <t>Övriga Aktiebolag</t>
        </is>
      </c>
      <c r="G2354" t="n">
        <v>1</v>
      </c>
      <c r="H2354" t="n">
        <v>0</v>
      </c>
      <c r="I2354" t="n">
        <v>0</v>
      </c>
      <c r="J2354" t="n">
        <v>0</v>
      </c>
      <c r="K2354" t="n">
        <v>0</v>
      </c>
      <c r="L2354" t="n">
        <v>0</v>
      </c>
      <c r="M2354" t="n">
        <v>0</v>
      </c>
      <c r="N2354" t="n">
        <v>0</v>
      </c>
      <c r="O2354" t="n">
        <v>0</v>
      </c>
      <c r="P2354" t="n">
        <v>0</v>
      </c>
      <c r="Q2354" t="n">
        <v>0</v>
      </c>
      <c r="R2354" s="2" t="inlineStr"/>
    </row>
    <row r="2355" ht="15" customHeight="1">
      <c r="A2355" t="inlineStr">
        <is>
          <t>A 19759-2019</t>
        </is>
      </c>
      <c r="B2355" s="1" t="n">
        <v>43567</v>
      </c>
      <c r="C2355" s="1" t="n">
        <v>45212</v>
      </c>
      <c r="D2355" t="inlineStr">
        <is>
          <t>VÄSTRA GÖTALANDS LÄN</t>
        </is>
      </c>
      <c r="E2355" t="inlineStr">
        <is>
          <t>BENGTSFORS</t>
        </is>
      </c>
      <c r="G2355" t="n">
        <v>6.4</v>
      </c>
      <c r="H2355" t="n">
        <v>0</v>
      </c>
      <c r="I2355" t="n">
        <v>0</v>
      </c>
      <c r="J2355" t="n">
        <v>0</v>
      </c>
      <c r="K2355" t="n">
        <v>0</v>
      </c>
      <c r="L2355" t="n">
        <v>0</v>
      </c>
      <c r="M2355" t="n">
        <v>0</v>
      </c>
      <c r="N2355" t="n">
        <v>0</v>
      </c>
      <c r="O2355" t="n">
        <v>0</v>
      </c>
      <c r="P2355" t="n">
        <v>0</v>
      </c>
      <c r="Q2355" t="n">
        <v>0</v>
      </c>
      <c r="R2355" s="2" t="inlineStr"/>
    </row>
    <row r="2356" ht="15" customHeight="1">
      <c r="A2356" t="inlineStr">
        <is>
          <t>A 19842-2019</t>
        </is>
      </c>
      <c r="B2356" s="1" t="n">
        <v>43567</v>
      </c>
      <c r="C2356" s="1" t="n">
        <v>45212</v>
      </c>
      <c r="D2356" t="inlineStr">
        <is>
          <t>VÄSTRA GÖTALANDS LÄN</t>
        </is>
      </c>
      <c r="E2356" t="inlineStr">
        <is>
          <t>LERUM</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19995-2019</t>
        </is>
      </c>
      <c r="B2357" s="1" t="n">
        <v>43567</v>
      </c>
      <c r="C2357" s="1" t="n">
        <v>45212</v>
      </c>
      <c r="D2357" t="inlineStr">
        <is>
          <t>VÄSTRA GÖTALANDS LÄN</t>
        </is>
      </c>
      <c r="E2357" t="inlineStr">
        <is>
          <t>TÖREBODA</t>
        </is>
      </c>
      <c r="G2357" t="n">
        <v>3.1</v>
      </c>
      <c r="H2357" t="n">
        <v>0</v>
      </c>
      <c r="I2357" t="n">
        <v>0</v>
      </c>
      <c r="J2357" t="n">
        <v>0</v>
      </c>
      <c r="K2357" t="n">
        <v>0</v>
      </c>
      <c r="L2357" t="n">
        <v>0</v>
      </c>
      <c r="M2357" t="n">
        <v>0</v>
      </c>
      <c r="N2357" t="n">
        <v>0</v>
      </c>
      <c r="O2357" t="n">
        <v>0</v>
      </c>
      <c r="P2357" t="n">
        <v>0</v>
      </c>
      <c r="Q2357" t="n">
        <v>0</v>
      </c>
      <c r="R2357" s="2" t="inlineStr"/>
    </row>
    <row r="2358" ht="15" customHeight="1">
      <c r="A2358" t="inlineStr">
        <is>
          <t>A 19741-2019</t>
        </is>
      </c>
      <c r="B2358" s="1" t="n">
        <v>43567</v>
      </c>
      <c r="C2358" s="1" t="n">
        <v>45212</v>
      </c>
      <c r="D2358" t="inlineStr">
        <is>
          <t>VÄSTRA GÖTALANDS LÄN</t>
        </is>
      </c>
      <c r="E2358" t="inlineStr">
        <is>
          <t>SKÖVDE</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19773-2019</t>
        </is>
      </c>
      <c r="B2359" s="1" t="n">
        <v>43567</v>
      </c>
      <c r="C2359" s="1" t="n">
        <v>45212</v>
      </c>
      <c r="D2359" t="inlineStr">
        <is>
          <t>VÄSTRA GÖTALANDS LÄN</t>
        </is>
      </c>
      <c r="E2359" t="inlineStr">
        <is>
          <t>LIDKÖPING</t>
        </is>
      </c>
      <c r="G2359" t="n">
        <v>0.8</v>
      </c>
      <c r="H2359" t="n">
        <v>0</v>
      </c>
      <c r="I2359" t="n">
        <v>0</v>
      </c>
      <c r="J2359" t="n">
        <v>0</v>
      </c>
      <c r="K2359" t="n">
        <v>0</v>
      </c>
      <c r="L2359" t="n">
        <v>0</v>
      </c>
      <c r="M2359" t="n">
        <v>0</v>
      </c>
      <c r="N2359" t="n">
        <v>0</v>
      </c>
      <c r="O2359" t="n">
        <v>0</v>
      </c>
      <c r="P2359" t="n">
        <v>0</v>
      </c>
      <c r="Q2359" t="n">
        <v>0</v>
      </c>
      <c r="R2359" s="2" t="inlineStr"/>
    </row>
    <row r="2360" ht="15" customHeight="1">
      <c r="A2360" t="inlineStr">
        <is>
          <t>A 19797-2019</t>
        </is>
      </c>
      <c r="B2360" s="1" t="n">
        <v>43567</v>
      </c>
      <c r="C2360" s="1" t="n">
        <v>45212</v>
      </c>
      <c r="D2360" t="inlineStr">
        <is>
          <t>VÄSTRA GÖTALANDS LÄN</t>
        </is>
      </c>
      <c r="E2360" t="inlineStr">
        <is>
          <t>LIDKÖPING</t>
        </is>
      </c>
      <c r="G2360" t="n">
        <v>3.1</v>
      </c>
      <c r="H2360" t="n">
        <v>0</v>
      </c>
      <c r="I2360" t="n">
        <v>0</v>
      </c>
      <c r="J2360" t="n">
        <v>0</v>
      </c>
      <c r="K2360" t="n">
        <v>0</v>
      </c>
      <c r="L2360" t="n">
        <v>0</v>
      </c>
      <c r="M2360" t="n">
        <v>0</v>
      </c>
      <c r="N2360" t="n">
        <v>0</v>
      </c>
      <c r="O2360" t="n">
        <v>0</v>
      </c>
      <c r="P2360" t="n">
        <v>0</v>
      </c>
      <c r="Q2360" t="n">
        <v>0</v>
      </c>
      <c r="R2360" s="2" t="inlineStr"/>
    </row>
    <row r="2361" ht="15" customHeight="1">
      <c r="A2361" t="inlineStr">
        <is>
          <t>A 19957-2019</t>
        </is>
      </c>
      <c r="B2361" s="1" t="n">
        <v>43569</v>
      </c>
      <c r="C2361" s="1" t="n">
        <v>45212</v>
      </c>
      <c r="D2361" t="inlineStr">
        <is>
          <t>VÄSTRA GÖTALANDS LÄN</t>
        </is>
      </c>
      <c r="E2361" t="inlineStr">
        <is>
          <t>UDDEVALLA</t>
        </is>
      </c>
      <c r="G2361" t="n">
        <v>8.199999999999999</v>
      </c>
      <c r="H2361" t="n">
        <v>0</v>
      </c>
      <c r="I2361" t="n">
        <v>0</v>
      </c>
      <c r="J2361" t="n">
        <v>0</v>
      </c>
      <c r="K2361" t="n">
        <v>0</v>
      </c>
      <c r="L2361" t="n">
        <v>0</v>
      </c>
      <c r="M2361" t="n">
        <v>0</v>
      </c>
      <c r="N2361" t="n">
        <v>0</v>
      </c>
      <c r="O2361" t="n">
        <v>0</v>
      </c>
      <c r="P2361" t="n">
        <v>0</v>
      </c>
      <c r="Q2361" t="n">
        <v>0</v>
      </c>
      <c r="R2361" s="2" t="inlineStr"/>
    </row>
    <row r="2362" ht="15" customHeight="1">
      <c r="A2362" t="inlineStr">
        <is>
          <t>A 20025-2019</t>
        </is>
      </c>
      <c r="B2362" s="1" t="n">
        <v>43570</v>
      </c>
      <c r="C2362" s="1" t="n">
        <v>45212</v>
      </c>
      <c r="D2362" t="inlineStr">
        <is>
          <t>VÄSTRA GÖTALANDS LÄN</t>
        </is>
      </c>
      <c r="E2362" t="inlineStr">
        <is>
          <t>HJO</t>
        </is>
      </c>
      <c r="G2362" t="n">
        <v>1.6</v>
      </c>
      <c r="H2362" t="n">
        <v>0</v>
      </c>
      <c r="I2362" t="n">
        <v>0</v>
      </c>
      <c r="J2362" t="n">
        <v>0</v>
      </c>
      <c r="K2362" t="n">
        <v>0</v>
      </c>
      <c r="L2362" t="n">
        <v>0</v>
      </c>
      <c r="M2362" t="n">
        <v>0</v>
      </c>
      <c r="N2362" t="n">
        <v>0</v>
      </c>
      <c r="O2362" t="n">
        <v>0</v>
      </c>
      <c r="P2362" t="n">
        <v>0</v>
      </c>
      <c r="Q2362" t="n">
        <v>0</v>
      </c>
      <c r="R2362" s="2" t="inlineStr"/>
    </row>
    <row r="2363" ht="15" customHeight="1">
      <c r="A2363" t="inlineStr">
        <is>
          <t>A 20108-2019</t>
        </is>
      </c>
      <c r="B2363" s="1" t="n">
        <v>43570</v>
      </c>
      <c r="C2363" s="1" t="n">
        <v>45212</v>
      </c>
      <c r="D2363" t="inlineStr">
        <is>
          <t>VÄSTRA GÖTALANDS LÄN</t>
        </is>
      </c>
      <c r="E2363" t="inlineStr">
        <is>
          <t>MARIESTAD</t>
        </is>
      </c>
      <c r="F2363" t="inlineStr">
        <is>
          <t>Kyrkan</t>
        </is>
      </c>
      <c r="G2363" t="n">
        <v>5.7</v>
      </c>
      <c r="H2363" t="n">
        <v>0</v>
      </c>
      <c r="I2363" t="n">
        <v>0</v>
      </c>
      <c r="J2363" t="n">
        <v>0</v>
      </c>
      <c r="K2363" t="n">
        <v>0</v>
      </c>
      <c r="L2363" t="n">
        <v>0</v>
      </c>
      <c r="M2363" t="n">
        <v>0</v>
      </c>
      <c r="N2363" t="n">
        <v>0</v>
      </c>
      <c r="O2363" t="n">
        <v>0</v>
      </c>
      <c r="P2363" t="n">
        <v>0</v>
      </c>
      <c r="Q2363" t="n">
        <v>0</v>
      </c>
      <c r="R2363" s="2" t="inlineStr"/>
    </row>
    <row r="2364" ht="15" customHeight="1">
      <c r="A2364" t="inlineStr">
        <is>
          <t>A 20168-2019</t>
        </is>
      </c>
      <c r="B2364" s="1" t="n">
        <v>43570</v>
      </c>
      <c r="C2364" s="1" t="n">
        <v>45212</v>
      </c>
      <c r="D2364" t="inlineStr">
        <is>
          <t>VÄSTRA GÖTALANDS LÄN</t>
        </is>
      </c>
      <c r="E2364" t="inlineStr">
        <is>
          <t>HJO</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20315-2019</t>
        </is>
      </c>
      <c r="B2365" s="1" t="n">
        <v>43570</v>
      </c>
      <c r="C2365" s="1" t="n">
        <v>45212</v>
      </c>
      <c r="D2365" t="inlineStr">
        <is>
          <t>VÄSTRA GÖTALANDS LÄN</t>
        </is>
      </c>
      <c r="E2365" t="inlineStr">
        <is>
          <t>HÄRRYDA</t>
        </is>
      </c>
      <c r="G2365" t="n">
        <v>1.8</v>
      </c>
      <c r="H2365" t="n">
        <v>0</v>
      </c>
      <c r="I2365" t="n">
        <v>0</v>
      </c>
      <c r="J2365" t="n">
        <v>0</v>
      </c>
      <c r="K2365" t="n">
        <v>0</v>
      </c>
      <c r="L2365" t="n">
        <v>0</v>
      </c>
      <c r="M2365" t="n">
        <v>0</v>
      </c>
      <c r="N2365" t="n">
        <v>0</v>
      </c>
      <c r="O2365" t="n">
        <v>0</v>
      </c>
      <c r="P2365" t="n">
        <v>0</v>
      </c>
      <c r="Q2365" t="n">
        <v>0</v>
      </c>
      <c r="R2365" s="2" t="inlineStr"/>
    </row>
    <row r="2366" ht="15" customHeight="1">
      <c r="A2366" t="inlineStr">
        <is>
          <t>A 20074-2019</t>
        </is>
      </c>
      <c r="B2366" s="1" t="n">
        <v>43570</v>
      </c>
      <c r="C2366" s="1" t="n">
        <v>45212</v>
      </c>
      <c r="D2366" t="inlineStr">
        <is>
          <t>VÄSTRA GÖTALANDS LÄN</t>
        </is>
      </c>
      <c r="E2366" t="inlineStr">
        <is>
          <t>DALS-ED</t>
        </is>
      </c>
      <c r="G2366" t="n">
        <v>0.6</v>
      </c>
      <c r="H2366" t="n">
        <v>0</v>
      </c>
      <c r="I2366" t="n">
        <v>0</v>
      </c>
      <c r="J2366" t="n">
        <v>0</v>
      </c>
      <c r="K2366" t="n">
        <v>0</v>
      </c>
      <c r="L2366" t="n">
        <v>0</v>
      </c>
      <c r="M2366" t="n">
        <v>0</v>
      </c>
      <c r="N2366" t="n">
        <v>0</v>
      </c>
      <c r="O2366" t="n">
        <v>0</v>
      </c>
      <c r="P2366" t="n">
        <v>0</v>
      </c>
      <c r="Q2366" t="n">
        <v>0</v>
      </c>
      <c r="R2366" s="2" t="inlineStr"/>
    </row>
    <row r="2367" ht="15" customHeight="1">
      <c r="A2367" t="inlineStr">
        <is>
          <t>A 20160-2019</t>
        </is>
      </c>
      <c r="B2367" s="1" t="n">
        <v>43570</v>
      </c>
      <c r="C2367" s="1" t="n">
        <v>45212</v>
      </c>
      <c r="D2367" t="inlineStr">
        <is>
          <t>VÄSTRA GÖTALANDS LÄN</t>
        </is>
      </c>
      <c r="E2367" t="inlineStr">
        <is>
          <t>MARIESTAD</t>
        </is>
      </c>
      <c r="G2367" t="n">
        <v>2.8</v>
      </c>
      <c r="H2367" t="n">
        <v>0</v>
      </c>
      <c r="I2367" t="n">
        <v>0</v>
      </c>
      <c r="J2367" t="n">
        <v>0</v>
      </c>
      <c r="K2367" t="n">
        <v>0</v>
      </c>
      <c r="L2367" t="n">
        <v>0</v>
      </c>
      <c r="M2367" t="n">
        <v>0</v>
      </c>
      <c r="N2367" t="n">
        <v>0</v>
      </c>
      <c r="O2367" t="n">
        <v>0</v>
      </c>
      <c r="P2367" t="n">
        <v>0</v>
      </c>
      <c r="Q2367" t="n">
        <v>0</v>
      </c>
      <c r="R2367" s="2" t="inlineStr"/>
    </row>
    <row r="2368" ht="15" customHeight="1">
      <c r="A2368" t="inlineStr">
        <is>
          <t>A 20191-2019</t>
        </is>
      </c>
      <c r="B2368" s="1" t="n">
        <v>43570</v>
      </c>
      <c r="C2368" s="1" t="n">
        <v>45212</v>
      </c>
      <c r="D2368" t="inlineStr">
        <is>
          <t>VÄSTRA GÖTALANDS LÄN</t>
        </is>
      </c>
      <c r="E2368" t="inlineStr">
        <is>
          <t>MARK</t>
        </is>
      </c>
      <c r="G2368" t="n">
        <v>3</v>
      </c>
      <c r="H2368" t="n">
        <v>0</v>
      </c>
      <c r="I2368" t="n">
        <v>0</v>
      </c>
      <c r="J2368" t="n">
        <v>0</v>
      </c>
      <c r="K2368" t="n">
        <v>0</v>
      </c>
      <c r="L2368" t="n">
        <v>0</v>
      </c>
      <c r="M2368" t="n">
        <v>0</v>
      </c>
      <c r="N2368" t="n">
        <v>0</v>
      </c>
      <c r="O2368" t="n">
        <v>0</v>
      </c>
      <c r="P2368" t="n">
        <v>0</v>
      </c>
      <c r="Q2368" t="n">
        <v>0</v>
      </c>
      <c r="R2368" s="2" t="inlineStr"/>
    </row>
    <row r="2369" ht="15" customHeight="1">
      <c r="A2369" t="inlineStr">
        <is>
          <t>A 20436-2019</t>
        </is>
      </c>
      <c r="B2369" s="1" t="n">
        <v>43571</v>
      </c>
      <c r="C2369" s="1" t="n">
        <v>45212</v>
      </c>
      <c r="D2369" t="inlineStr">
        <is>
          <t>VÄSTRA GÖTALANDS LÄN</t>
        </is>
      </c>
      <c r="E2369" t="inlineStr">
        <is>
          <t>LILLA EDET</t>
        </is>
      </c>
      <c r="G2369" t="n">
        <v>4.2</v>
      </c>
      <c r="H2369" t="n">
        <v>0</v>
      </c>
      <c r="I2369" t="n">
        <v>0</v>
      </c>
      <c r="J2369" t="n">
        <v>0</v>
      </c>
      <c r="K2369" t="n">
        <v>0</v>
      </c>
      <c r="L2369" t="n">
        <v>0</v>
      </c>
      <c r="M2369" t="n">
        <v>0</v>
      </c>
      <c r="N2369" t="n">
        <v>0</v>
      </c>
      <c r="O2369" t="n">
        <v>0</v>
      </c>
      <c r="P2369" t="n">
        <v>0</v>
      </c>
      <c r="Q2369" t="n">
        <v>0</v>
      </c>
      <c r="R2369" s="2" t="inlineStr"/>
    </row>
    <row r="2370" ht="15" customHeight="1">
      <c r="A2370" t="inlineStr">
        <is>
          <t>A 20421-2019</t>
        </is>
      </c>
      <c r="B2370" s="1" t="n">
        <v>43571</v>
      </c>
      <c r="C2370" s="1" t="n">
        <v>45212</v>
      </c>
      <c r="D2370" t="inlineStr">
        <is>
          <t>VÄSTRA GÖTALANDS LÄN</t>
        </is>
      </c>
      <c r="E2370" t="inlineStr">
        <is>
          <t>KUNGÄLV</t>
        </is>
      </c>
      <c r="G2370" t="n">
        <v>2.8</v>
      </c>
      <c r="H2370" t="n">
        <v>0</v>
      </c>
      <c r="I2370" t="n">
        <v>0</v>
      </c>
      <c r="J2370" t="n">
        <v>0</v>
      </c>
      <c r="K2370" t="n">
        <v>0</v>
      </c>
      <c r="L2370" t="n">
        <v>0</v>
      </c>
      <c r="M2370" t="n">
        <v>0</v>
      </c>
      <c r="N2370" t="n">
        <v>0</v>
      </c>
      <c r="O2370" t="n">
        <v>0</v>
      </c>
      <c r="P2370" t="n">
        <v>0</v>
      </c>
      <c r="Q2370" t="n">
        <v>0</v>
      </c>
      <c r="R2370" s="2" t="inlineStr"/>
    </row>
    <row r="2371" ht="15" customHeight="1">
      <c r="A2371" t="inlineStr">
        <is>
          <t>A 20231-2019</t>
        </is>
      </c>
      <c r="B2371" s="1" t="n">
        <v>43571</v>
      </c>
      <c r="C2371" s="1" t="n">
        <v>45212</v>
      </c>
      <c r="D2371" t="inlineStr">
        <is>
          <t>VÄSTRA GÖTALANDS LÄN</t>
        </is>
      </c>
      <c r="E2371" t="inlineStr">
        <is>
          <t>ALINGSÅS</t>
        </is>
      </c>
      <c r="G2371" t="n">
        <v>3.3</v>
      </c>
      <c r="H2371" t="n">
        <v>0</v>
      </c>
      <c r="I2371" t="n">
        <v>0</v>
      </c>
      <c r="J2371" t="n">
        <v>0</v>
      </c>
      <c r="K2371" t="n">
        <v>0</v>
      </c>
      <c r="L2371" t="n">
        <v>0</v>
      </c>
      <c r="M2371" t="n">
        <v>0</v>
      </c>
      <c r="N2371" t="n">
        <v>0</v>
      </c>
      <c r="O2371" t="n">
        <v>0</v>
      </c>
      <c r="P2371" t="n">
        <v>0</v>
      </c>
      <c r="Q2371" t="n">
        <v>0</v>
      </c>
      <c r="R2371" s="2" t="inlineStr"/>
    </row>
    <row r="2372" ht="15" customHeight="1">
      <c r="A2372" t="inlineStr">
        <is>
          <t>A 20425-2019</t>
        </is>
      </c>
      <c r="B2372" s="1" t="n">
        <v>43571</v>
      </c>
      <c r="C2372" s="1" t="n">
        <v>45212</v>
      </c>
      <c r="D2372" t="inlineStr">
        <is>
          <t>VÄSTRA GÖTALANDS LÄN</t>
        </is>
      </c>
      <c r="E2372" t="inlineStr">
        <is>
          <t>HJO</t>
        </is>
      </c>
      <c r="F2372" t="inlineStr">
        <is>
          <t>Övriga Aktiebolag</t>
        </is>
      </c>
      <c r="G2372" t="n">
        <v>1.8</v>
      </c>
      <c r="H2372" t="n">
        <v>0</v>
      </c>
      <c r="I2372" t="n">
        <v>0</v>
      </c>
      <c r="J2372" t="n">
        <v>0</v>
      </c>
      <c r="K2372" t="n">
        <v>0</v>
      </c>
      <c r="L2372" t="n">
        <v>0</v>
      </c>
      <c r="M2372" t="n">
        <v>0</v>
      </c>
      <c r="N2372" t="n">
        <v>0</v>
      </c>
      <c r="O2372" t="n">
        <v>0</v>
      </c>
      <c r="P2372" t="n">
        <v>0</v>
      </c>
      <c r="Q2372" t="n">
        <v>0</v>
      </c>
      <c r="R2372" s="2" t="inlineStr"/>
    </row>
    <row r="2373" ht="15" customHeight="1">
      <c r="A2373" t="inlineStr">
        <is>
          <t>A 20574-2019</t>
        </is>
      </c>
      <c r="B2373" s="1" t="n">
        <v>43572</v>
      </c>
      <c r="C2373" s="1" t="n">
        <v>45212</v>
      </c>
      <c r="D2373" t="inlineStr">
        <is>
          <t>VÄSTRA GÖTALANDS LÄN</t>
        </is>
      </c>
      <c r="E2373" t="inlineStr">
        <is>
          <t>VÅRGÅRDA</t>
        </is>
      </c>
      <c r="G2373" t="n">
        <v>5.5</v>
      </c>
      <c r="H2373" t="n">
        <v>0</v>
      </c>
      <c r="I2373" t="n">
        <v>0</v>
      </c>
      <c r="J2373" t="n">
        <v>0</v>
      </c>
      <c r="K2373" t="n">
        <v>0</v>
      </c>
      <c r="L2373" t="n">
        <v>0</v>
      </c>
      <c r="M2373" t="n">
        <v>0</v>
      </c>
      <c r="N2373" t="n">
        <v>0</v>
      </c>
      <c r="O2373" t="n">
        <v>0</v>
      </c>
      <c r="P2373" t="n">
        <v>0</v>
      </c>
      <c r="Q2373" t="n">
        <v>0</v>
      </c>
      <c r="R2373" s="2" t="inlineStr"/>
    </row>
    <row r="2374" ht="15" customHeight="1">
      <c r="A2374" t="inlineStr">
        <is>
          <t>A 20613-2019</t>
        </is>
      </c>
      <c r="B2374" s="1" t="n">
        <v>43572</v>
      </c>
      <c r="C2374" s="1" t="n">
        <v>45212</v>
      </c>
      <c r="D2374" t="inlineStr">
        <is>
          <t>VÄSTRA GÖTALANDS LÄN</t>
        </is>
      </c>
      <c r="E2374" t="inlineStr">
        <is>
          <t>SVENLJUNGA</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20660-2019</t>
        </is>
      </c>
      <c r="B2375" s="1" t="n">
        <v>43572</v>
      </c>
      <c r="C2375" s="1" t="n">
        <v>45212</v>
      </c>
      <c r="D2375" t="inlineStr">
        <is>
          <t>VÄSTRA GÖTALANDS LÄN</t>
        </is>
      </c>
      <c r="E2375" t="inlineStr">
        <is>
          <t>SKÖVDE</t>
        </is>
      </c>
      <c r="G2375" t="n">
        <v>5.5</v>
      </c>
      <c r="H2375" t="n">
        <v>0</v>
      </c>
      <c r="I2375" t="n">
        <v>0</v>
      </c>
      <c r="J2375" t="n">
        <v>0</v>
      </c>
      <c r="K2375" t="n">
        <v>0</v>
      </c>
      <c r="L2375" t="n">
        <v>0</v>
      </c>
      <c r="M2375" t="n">
        <v>0</v>
      </c>
      <c r="N2375" t="n">
        <v>0</v>
      </c>
      <c r="O2375" t="n">
        <v>0</v>
      </c>
      <c r="P2375" t="n">
        <v>0</v>
      </c>
      <c r="Q2375" t="n">
        <v>0</v>
      </c>
      <c r="R2375" s="2" t="inlineStr"/>
    </row>
    <row r="2376" ht="15" customHeight="1">
      <c r="A2376" t="inlineStr">
        <is>
          <t>A 20622-2019</t>
        </is>
      </c>
      <c r="B2376" s="1" t="n">
        <v>43572</v>
      </c>
      <c r="C2376" s="1" t="n">
        <v>45212</v>
      </c>
      <c r="D2376" t="inlineStr">
        <is>
          <t>VÄSTRA GÖTALANDS LÄN</t>
        </is>
      </c>
      <c r="E2376" t="inlineStr">
        <is>
          <t>KARLSBORG</t>
        </is>
      </c>
      <c r="G2376" t="n">
        <v>14.5</v>
      </c>
      <c r="H2376" t="n">
        <v>0</v>
      </c>
      <c r="I2376" t="n">
        <v>0</v>
      </c>
      <c r="J2376" t="n">
        <v>0</v>
      </c>
      <c r="K2376" t="n">
        <v>0</v>
      </c>
      <c r="L2376" t="n">
        <v>0</v>
      </c>
      <c r="M2376" t="n">
        <v>0</v>
      </c>
      <c r="N2376" t="n">
        <v>0</v>
      </c>
      <c r="O2376" t="n">
        <v>0</v>
      </c>
      <c r="P2376" t="n">
        <v>0</v>
      </c>
      <c r="Q2376" t="n">
        <v>0</v>
      </c>
      <c r="R2376" s="2" t="inlineStr"/>
    </row>
    <row r="2377" ht="15" customHeight="1">
      <c r="A2377" t="inlineStr">
        <is>
          <t>A 20552-2019</t>
        </is>
      </c>
      <c r="B2377" s="1" t="n">
        <v>43572</v>
      </c>
      <c r="C2377" s="1" t="n">
        <v>45212</v>
      </c>
      <c r="D2377" t="inlineStr">
        <is>
          <t>VÄSTRA GÖTALANDS LÄN</t>
        </is>
      </c>
      <c r="E2377" t="inlineStr">
        <is>
          <t>MARIESTAD</t>
        </is>
      </c>
      <c r="G2377" t="n">
        <v>1.6</v>
      </c>
      <c r="H2377" t="n">
        <v>0</v>
      </c>
      <c r="I2377" t="n">
        <v>0</v>
      </c>
      <c r="J2377" t="n">
        <v>0</v>
      </c>
      <c r="K2377" t="n">
        <v>0</v>
      </c>
      <c r="L2377" t="n">
        <v>0</v>
      </c>
      <c r="M2377" t="n">
        <v>0</v>
      </c>
      <c r="N2377" t="n">
        <v>0</v>
      </c>
      <c r="O2377" t="n">
        <v>0</v>
      </c>
      <c r="P2377" t="n">
        <v>0</v>
      </c>
      <c r="Q2377" t="n">
        <v>0</v>
      </c>
      <c r="R2377" s="2" t="inlineStr"/>
    </row>
    <row r="2378" ht="15" customHeight="1">
      <c r="A2378" t="inlineStr">
        <is>
          <t>A 20557-2019</t>
        </is>
      </c>
      <c r="B2378" s="1" t="n">
        <v>43572</v>
      </c>
      <c r="C2378" s="1" t="n">
        <v>45212</v>
      </c>
      <c r="D2378" t="inlineStr">
        <is>
          <t>VÄSTRA GÖTALANDS LÄN</t>
        </is>
      </c>
      <c r="E2378" t="inlineStr">
        <is>
          <t>KARLSBORG</t>
        </is>
      </c>
      <c r="G2378" t="n">
        <v>10.1</v>
      </c>
      <c r="H2378" t="n">
        <v>0</v>
      </c>
      <c r="I2378" t="n">
        <v>0</v>
      </c>
      <c r="J2378" t="n">
        <v>0</v>
      </c>
      <c r="K2378" t="n">
        <v>0</v>
      </c>
      <c r="L2378" t="n">
        <v>0</v>
      </c>
      <c r="M2378" t="n">
        <v>0</v>
      </c>
      <c r="N2378" t="n">
        <v>0</v>
      </c>
      <c r="O2378" t="n">
        <v>0</v>
      </c>
      <c r="P2378" t="n">
        <v>0</v>
      </c>
      <c r="Q2378" t="n">
        <v>0</v>
      </c>
      <c r="R2378" s="2" t="inlineStr"/>
    </row>
    <row r="2379" ht="15" customHeight="1">
      <c r="A2379" t="inlineStr">
        <is>
          <t>A 20624-2019</t>
        </is>
      </c>
      <c r="B2379" s="1" t="n">
        <v>43572</v>
      </c>
      <c r="C2379" s="1" t="n">
        <v>45212</v>
      </c>
      <c r="D2379" t="inlineStr">
        <is>
          <t>VÄSTRA GÖTALANDS LÄN</t>
        </is>
      </c>
      <c r="E2379" t="inlineStr">
        <is>
          <t>UDDEVALLA</t>
        </is>
      </c>
      <c r="G2379" t="n">
        <v>16.3</v>
      </c>
      <c r="H2379" t="n">
        <v>0</v>
      </c>
      <c r="I2379" t="n">
        <v>0</v>
      </c>
      <c r="J2379" t="n">
        <v>0</v>
      </c>
      <c r="K2379" t="n">
        <v>0</v>
      </c>
      <c r="L2379" t="n">
        <v>0</v>
      </c>
      <c r="M2379" t="n">
        <v>0</v>
      </c>
      <c r="N2379" t="n">
        <v>0</v>
      </c>
      <c r="O2379" t="n">
        <v>0</v>
      </c>
      <c r="P2379" t="n">
        <v>0</v>
      </c>
      <c r="Q2379" t="n">
        <v>0</v>
      </c>
      <c r="R2379" s="2" t="inlineStr"/>
    </row>
    <row r="2380" ht="15" customHeight="1">
      <c r="A2380" t="inlineStr">
        <is>
          <t>A 20763-2019</t>
        </is>
      </c>
      <c r="B2380" s="1" t="n">
        <v>43573</v>
      </c>
      <c r="C2380" s="1" t="n">
        <v>45212</v>
      </c>
      <c r="D2380" t="inlineStr">
        <is>
          <t>VÄSTRA GÖTALANDS LÄN</t>
        </is>
      </c>
      <c r="E2380" t="inlineStr">
        <is>
          <t>BORÅS</t>
        </is>
      </c>
      <c r="G2380" t="n">
        <v>1</v>
      </c>
      <c r="H2380" t="n">
        <v>0</v>
      </c>
      <c r="I2380" t="n">
        <v>0</v>
      </c>
      <c r="J2380" t="n">
        <v>0</v>
      </c>
      <c r="K2380" t="n">
        <v>0</v>
      </c>
      <c r="L2380" t="n">
        <v>0</v>
      </c>
      <c r="M2380" t="n">
        <v>0</v>
      </c>
      <c r="N2380" t="n">
        <v>0</v>
      </c>
      <c r="O2380" t="n">
        <v>0</v>
      </c>
      <c r="P2380" t="n">
        <v>0</v>
      </c>
      <c r="Q2380" t="n">
        <v>0</v>
      </c>
      <c r="R2380" s="2" t="inlineStr"/>
    </row>
    <row r="2381" ht="15" customHeight="1">
      <c r="A2381" t="inlineStr">
        <is>
          <t>A 20712-2019</t>
        </is>
      </c>
      <c r="B2381" s="1" t="n">
        <v>43573</v>
      </c>
      <c r="C2381" s="1" t="n">
        <v>45212</v>
      </c>
      <c r="D2381" t="inlineStr">
        <is>
          <t>VÄSTRA GÖTALANDS LÄN</t>
        </is>
      </c>
      <c r="E2381" t="inlineStr">
        <is>
          <t>BENGTSFORS</t>
        </is>
      </c>
      <c r="G2381" t="n">
        <v>1.1</v>
      </c>
      <c r="H2381" t="n">
        <v>0</v>
      </c>
      <c r="I2381" t="n">
        <v>0</v>
      </c>
      <c r="J2381" t="n">
        <v>0</v>
      </c>
      <c r="K2381" t="n">
        <v>0</v>
      </c>
      <c r="L2381" t="n">
        <v>0</v>
      </c>
      <c r="M2381" t="n">
        <v>0</v>
      </c>
      <c r="N2381" t="n">
        <v>0</v>
      </c>
      <c r="O2381" t="n">
        <v>0</v>
      </c>
      <c r="P2381" t="n">
        <v>0</v>
      </c>
      <c r="Q2381" t="n">
        <v>0</v>
      </c>
      <c r="R2381" s="2" t="inlineStr"/>
    </row>
    <row r="2382" ht="15" customHeight="1">
      <c r="A2382" t="inlineStr">
        <is>
          <t>A 20783-2019</t>
        </is>
      </c>
      <c r="B2382" s="1" t="n">
        <v>43573</v>
      </c>
      <c r="C2382" s="1" t="n">
        <v>45212</v>
      </c>
      <c r="D2382" t="inlineStr">
        <is>
          <t>VÄSTRA GÖTALANDS LÄN</t>
        </is>
      </c>
      <c r="E2382" t="inlineStr">
        <is>
          <t>MELLERUD</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20885-2019</t>
        </is>
      </c>
      <c r="B2383" s="1" t="n">
        <v>43573</v>
      </c>
      <c r="C2383" s="1" t="n">
        <v>45212</v>
      </c>
      <c r="D2383" t="inlineStr">
        <is>
          <t>VÄSTRA GÖTALANDS LÄN</t>
        </is>
      </c>
      <c r="E2383" t="inlineStr">
        <is>
          <t>TRANEMO</t>
        </is>
      </c>
      <c r="F2383" t="inlineStr">
        <is>
          <t>Kommuner</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20830-2019</t>
        </is>
      </c>
      <c r="B2384" s="1" t="n">
        <v>43574</v>
      </c>
      <c r="C2384" s="1" t="n">
        <v>45212</v>
      </c>
      <c r="D2384" t="inlineStr">
        <is>
          <t>VÄSTRA GÖTALANDS LÄN</t>
        </is>
      </c>
      <c r="E2384" t="inlineStr">
        <is>
          <t>UDDEVALLA</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20848-2019</t>
        </is>
      </c>
      <c r="B2385" s="1" t="n">
        <v>43577</v>
      </c>
      <c r="C2385" s="1" t="n">
        <v>45212</v>
      </c>
      <c r="D2385" t="inlineStr">
        <is>
          <t>VÄSTRA GÖTALANDS LÄN</t>
        </is>
      </c>
      <c r="E2385" t="inlineStr">
        <is>
          <t>TANUM</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20908-2019</t>
        </is>
      </c>
      <c r="B2386" s="1" t="n">
        <v>43578</v>
      </c>
      <c r="C2386" s="1" t="n">
        <v>45212</v>
      </c>
      <c r="D2386" t="inlineStr">
        <is>
          <t>VÄSTRA GÖTALANDS LÄN</t>
        </is>
      </c>
      <c r="E2386" t="inlineStr">
        <is>
          <t>MELLERUD</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20971-2019</t>
        </is>
      </c>
      <c r="B2387" s="1" t="n">
        <v>43578</v>
      </c>
      <c r="C2387" s="1" t="n">
        <v>45212</v>
      </c>
      <c r="D2387" t="inlineStr">
        <is>
          <t>VÄSTRA GÖTALANDS LÄN</t>
        </is>
      </c>
      <c r="E2387" t="inlineStr">
        <is>
          <t>FALKÖPING</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20981-2019</t>
        </is>
      </c>
      <c r="B2388" s="1" t="n">
        <v>43578</v>
      </c>
      <c r="C2388" s="1" t="n">
        <v>45212</v>
      </c>
      <c r="D2388" t="inlineStr">
        <is>
          <t>VÄSTRA GÖTALANDS LÄN</t>
        </is>
      </c>
      <c r="E2388" t="inlineStr">
        <is>
          <t>BENGTSFORS</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21049-2019</t>
        </is>
      </c>
      <c r="B2389" s="1" t="n">
        <v>43578</v>
      </c>
      <c r="C2389" s="1" t="n">
        <v>45212</v>
      </c>
      <c r="D2389" t="inlineStr">
        <is>
          <t>VÄSTRA GÖTALANDS LÄN</t>
        </is>
      </c>
      <c r="E2389" t="inlineStr">
        <is>
          <t>ULRICEHAMN</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21064-2019</t>
        </is>
      </c>
      <c r="B2390" s="1" t="n">
        <v>43578</v>
      </c>
      <c r="C2390" s="1" t="n">
        <v>45212</v>
      </c>
      <c r="D2390" t="inlineStr">
        <is>
          <t>VÄSTRA GÖTALANDS LÄN</t>
        </is>
      </c>
      <c r="E2390" t="inlineStr">
        <is>
          <t>TROLLHÄTTAN</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20870-2019</t>
        </is>
      </c>
      <c r="B2391" s="1" t="n">
        <v>43578</v>
      </c>
      <c r="C2391" s="1" t="n">
        <v>45212</v>
      </c>
      <c r="D2391" t="inlineStr">
        <is>
          <t>VÄSTRA GÖTALANDS LÄN</t>
        </is>
      </c>
      <c r="E2391" t="inlineStr">
        <is>
          <t>ULRICEHAMN</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20977-2019</t>
        </is>
      </c>
      <c r="B2392" s="1" t="n">
        <v>43578</v>
      </c>
      <c r="C2392" s="1" t="n">
        <v>45212</v>
      </c>
      <c r="D2392" t="inlineStr">
        <is>
          <t>VÄSTRA GÖTALANDS LÄN</t>
        </is>
      </c>
      <c r="E2392" t="inlineStr">
        <is>
          <t>ALINGSÅS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20990-2019</t>
        </is>
      </c>
      <c r="B2393" s="1" t="n">
        <v>43578</v>
      </c>
      <c r="C2393" s="1" t="n">
        <v>45212</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20999-2019</t>
        </is>
      </c>
      <c r="B2394" s="1" t="n">
        <v>43578</v>
      </c>
      <c r="C2394" s="1" t="n">
        <v>45212</v>
      </c>
      <c r="D2394" t="inlineStr">
        <is>
          <t>VÄSTRA GÖTALANDS LÄN</t>
        </is>
      </c>
      <c r="E2394" t="inlineStr">
        <is>
          <t>ULRICEHAMN</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21017-2019</t>
        </is>
      </c>
      <c r="B2395" s="1" t="n">
        <v>43578</v>
      </c>
      <c r="C2395" s="1" t="n">
        <v>45212</v>
      </c>
      <c r="D2395" t="inlineStr">
        <is>
          <t>VÄSTRA GÖTALANDS LÄN</t>
        </is>
      </c>
      <c r="E2395" t="inlineStr">
        <is>
          <t>TRANEMO</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20935-2019</t>
        </is>
      </c>
      <c r="B2396" s="1" t="n">
        <v>43578</v>
      </c>
      <c r="C2396" s="1" t="n">
        <v>45212</v>
      </c>
      <c r="D2396" t="inlineStr">
        <is>
          <t>VÄSTRA GÖTALANDS LÄN</t>
        </is>
      </c>
      <c r="E2396" t="inlineStr">
        <is>
          <t>MARK</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20954-2019</t>
        </is>
      </c>
      <c r="B2397" s="1" t="n">
        <v>43578</v>
      </c>
      <c r="C2397" s="1" t="n">
        <v>45212</v>
      </c>
      <c r="D2397" t="inlineStr">
        <is>
          <t>VÄSTRA GÖTALANDS LÄN</t>
        </is>
      </c>
      <c r="E2397" t="inlineStr">
        <is>
          <t>ULRICEHAMN</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20997-2019</t>
        </is>
      </c>
      <c r="B2398" s="1" t="n">
        <v>43578</v>
      </c>
      <c r="C2398" s="1" t="n">
        <v>45212</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21070-2019</t>
        </is>
      </c>
      <c r="B2399" s="1" t="n">
        <v>43578</v>
      </c>
      <c r="C2399" s="1" t="n">
        <v>45212</v>
      </c>
      <c r="D2399" t="inlineStr">
        <is>
          <t>VÄSTRA GÖTALANDS LÄN</t>
        </is>
      </c>
      <c r="E2399" t="inlineStr">
        <is>
          <t>MARK</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20979-2019</t>
        </is>
      </c>
      <c r="B2400" s="1" t="n">
        <v>43578</v>
      </c>
      <c r="C2400" s="1" t="n">
        <v>45212</v>
      </c>
      <c r="D2400" t="inlineStr">
        <is>
          <t>VÄSTRA GÖTALANDS LÄN</t>
        </is>
      </c>
      <c r="E2400" t="inlineStr">
        <is>
          <t>DALS-ED</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20994-2019</t>
        </is>
      </c>
      <c r="B2401" s="1" t="n">
        <v>43578</v>
      </c>
      <c r="C2401" s="1" t="n">
        <v>45212</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21021-2019</t>
        </is>
      </c>
      <c r="B2402" s="1" t="n">
        <v>43578</v>
      </c>
      <c r="C2402" s="1" t="n">
        <v>45212</v>
      </c>
      <c r="D2402" t="inlineStr">
        <is>
          <t>VÄSTRA GÖTALANDS LÄN</t>
        </is>
      </c>
      <c r="E2402" t="inlineStr">
        <is>
          <t>HERRLJUNGA</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21178-2019</t>
        </is>
      </c>
      <c r="B2403" s="1" t="n">
        <v>43579</v>
      </c>
      <c r="C2403" s="1" t="n">
        <v>45212</v>
      </c>
      <c r="D2403" t="inlineStr">
        <is>
          <t>VÄSTRA GÖTALANDS LÄN</t>
        </is>
      </c>
      <c r="E2403" t="inlineStr">
        <is>
          <t>LILLA EDET</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21236-2019</t>
        </is>
      </c>
      <c r="B2404" s="1" t="n">
        <v>43579</v>
      </c>
      <c r="C2404" s="1" t="n">
        <v>45212</v>
      </c>
      <c r="D2404" t="inlineStr">
        <is>
          <t>VÄSTRA GÖTALANDS LÄN</t>
        </is>
      </c>
      <c r="E2404" t="inlineStr">
        <is>
          <t>MARK</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21262-2019</t>
        </is>
      </c>
      <c r="B2405" s="1" t="n">
        <v>43579</v>
      </c>
      <c r="C2405" s="1" t="n">
        <v>45212</v>
      </c>
      <c r="D2405" t="inlineStr">
        <is>
          <t>VÄSTRA GÖTALANDS LÄN</t>
        </is>
      </c>
      <c r="E2405" t="inlineStr">
        <is>
          <t>TIDAHOLM</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21126-2019</t>
        </is>
      </c>
      <c r="B2406" s="1" t="n">
        <v>43579</v>
      </c>
      <c r="C2406" s="1" t="n">
        <v>45212</v>
      </c>
      <c r="D2406" t="inlineStr">
        <is>
          <t>VÄSTRA GÖTALANDS LÄN</t>
        </is>
      </c>
      <c r="E2406" t="inlineStr">
        <is>
          <t>BENGTSFORS</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21194-2019</t>
        </is>
      </c>
      <c r="B2407" s="1" t="n">
        <v>43579</v>
      </c>
      <c r="C2407" s="1" t="n">
        <v>45212</v>
      </c>
      <c r="D2407" t="inlineStr">
        <is>
          <t>VÄSTRA GÖTALANDS LÄN</t>
        </is>
      </c>
      <c r="E2407" t="inlineStr">
        <is>
          <t>ÅMÅL</t>
        </is>
      </c>
      <c r="G2407" t="n">
        <v>2.5</v>
      </c>
      <c r="H2407" t="n">
        <v>0</v>
      </c>
      <c r="I2407" t="n">
        <v>0</v>
      </c>
      <c r="J2407" t="n">
        <v>0</v>
      </c>
      <c r="K2407" t="n">
        <v>0</v>
      </c>
      <c r="L2407" t="n">
        <v>0</v>
      </c>
      <c r="M2407" t="n">
        <v>0</v>
      </c>
      <c r="N2407" t="n">
        <v>0</v>
      </c>
      <c r="O2407" t="n">
        <v>0</v>
      </c>
      <c r="P2407" t="n">
        <v>0</v>
      </c>
      <c r="Q2407" t="n">
        <v>0</v>
      </c>
      <c r="R2407" s="2" t="inlineStr"/>
    </row>
    <row r="2408" ht="15" customHeight="1">
      <c r="A2408" t="inlineStr">
        <is>
          <t>A 21230-2019</t>
        </is>
      </c>
      <c r="B2408" s="1" t="n">
        <v>43579</v>
      </c>
      <c r="C2408" s="1" t="n">
        <v>45212</v>
      </c>
      <c r="D2408" t="inlineStr">
        <is>
          <t>VÄSTRA GÖTALANDS LÄN</t>
        </is>
      </c>
      <c r="E2408" t="inlineStr">
        <is>
          <t>MARK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21359-2019</t>
        </is>
      </c>
      <c r="B2409" s="1" t="n">
        <v>43579</v>
      </c>
      <c r="C2409" s="1" t="n">
        <v>45212</v>
      </c>
      <c r="D2409" t="inlineStr">
        <is>
          <t>VÄSTRA GÖTALANDS LÄN</t>
        </is>
      </c>
      <c r="E2409" t="inlineStr">
        <is>
          <t>TÖREBODA</t>
        </is>
      </c>
      <c r="G2409" t="n">
        <v>3</v>
      </c>
      <c r="H2409" t="n">
        <v>0</v>
      </c>
      <c r="I2409" t="n">
        <v>0</v>
      </c>
      <c r="J2409" t="n">
        <v>0</v>
      </c>
      <c r="K2409" t="n">
        <v>0</v>
      </c>
      <c r="L2409" t="n">
        <v>0</v>
      </c>
      <c r="M2409" t="n">
        <v>0</v>
      </c>
      <c r="N2409" t="n">
        <v>0</v>
      </c>
      <c r="O2409" t="n">
        <v>0</v>
      </c>
      <c r="P2409" t="n">
        <v>0</v>
      </c>
      <c r="Q2409" t="n">
        <v>0</v>
      </c>
      <c r="R2409" s="2" t="inlineStr"/>
    </row>
    <row r="2410" ht="15" customHeight="1">
      <c r="A2410" t="inlineStr">
        <is>
          <t>A 21130-2019</t>
        </is>
      </c>
      <c r="B2410" s="1" t="n">
        <v>43579</v>
      </c>
      <c r="C2410" s="1" t="n">
        <v>45212</v>
      </c>
      <c r="D2410" t="inlineStr">
        <is>
          <t>VÄSTRA GÖTALANDS LÄN</t>
        </is>
      </c>
      <c r="E2410" t="inlineStr">
        <is>
          <t>MELLERUD</t>
        </is>
      </c>
      <c r="G2410" t="n">
        <v>2.9</v>
      </c>
      <c r="H2410" t="n">
        <v>0</v>
      </c>
      <c r="I2410" t="n">
        <v>0</v>
      </c>
      <c r="J2410" t="n">
        <v>0</v>
      </c>
      <c r="K2410" t="n">
        <v>0</v>
      </c>
      <c r="L2410" t="n">
        <v>0</v>
      </c>
      <c r="M2410" t="n">
        <v>0</v>
      </c>
      <c r="N2410" t="n">
        <v>0</v>
      </c>
      <c r="O2410" t="n">
        <v>0</v>
      </c>
      <c r="P2410" t="n">
        <v>0</v>
      </c>
      <c r="Q2410" t="n">
        <v>0</v>
      </c>
      <c r="R2410" s="2" t="inlineStr"/>
    </row>
    <row r="2411" ht="15" customHeight="1">
      <c r="A2411" t="inlineStr">
        <is>
          <t>A 21160-2019</t>
        </is>
      </c>
      <c r="B2411" s="1" t="n">
        <v>43579</v>
      </c>
      <c r="C2411" s="1" t="n">
        <v>45212</v>
      </c>
      <c r="D2411" t="inlineStr">
        <is>
          <t>VÄSTRA GÖTALANDS LÄN</t>
        </is>
      </c>
      <c r="E2411" t="inlineStr">
        <is>
          <t>FÄRGELANDA</t>
        </is>
      </c>
      <c r="G2411" t="n">
        <v>3.6</v>
      </c>
      <c r="H2411" t="n">
        <v>0</v>
      </c>
      <c r="I2411" t="n">
        <v>0</v>
      </c>
      <c r="J2411" t="n">
        <v>0</v>
      </c>
      <c r="K2411" t="n">
        <v>0</v>
      </c>
      <c r="L2411" t="n">
        <v>0</v>
      </c>
      <c r="M2411" t="n">
        <v>0</v>
      </c>
      <c r="N2411" t="n">
        <v>0</v>
      </c>
      <c r="O2411" t="n">
        <v>0</v>
      </c>
      <c r="P2411" t="n">
        <v>0</v>
      </c>
      <c r="Q2411" t="n">
        <v>0</v>
      </c>
      <c r="R2411" s="2" t="inlineStr"/>
    </row>
    <row r="2412" ht="15" customHeight="1">
      <c r="A2412" t="inlineStr">
        <is>
          <t>A 21267-2019</t>
        </is>
      </c>
      <c r="B2412" s="1" t="n">
        <v>43579</v>
      </c>
      <c r="C2412" s="1" t="n">
        <v>45212</v>
      </c>
      <c r="D2412" t="inlineStr">
        <is>
          <t>VÄSTRA GÖTALANDS LÄN</t>
        </is>
      </c>
      <c r="E2412" t="inlineStr">
        <is>
          <t>TANUM</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21306-2019</t>
        </is>
      </c>
      <c r="B2413" s="1" t="n">
        <v>43579</v>
      </c>
      <c r="C2413" s="1" t="n">
        <v>45212</v>
      </c>
      <c r="D2413" t="inlineStr">
        <is>
          <t>VÄSTRA GÖTALANDS LÄN</t>
        </is>
      </c>
      <c r="E2413" t="inlineStr">
        <is>
          <t>BENGTSFORS</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21412-2019</t>
        </is>
      </c>
      <c r="B2414" s="1" t="n">
        <v>43580</v>
      </c>
      <c r="C2414" s="1" t="n">
        <v>45212</v>
      </c>
      <c r="D2414" t="inlineStr">
        <is>
          <t>VÄSTRA GÖTALANDS LÄN</t>
        </is>
      </c>
      <c r="E2414" t="inlineStr">
        <is>
          <t>TANUM</t>
        </is>
      </c>
      <c r="G2414" t="n">
        <v>6</v>
      </c>
      <c r="H2414" t="n">
        <v>0</v>
      </c>
      <c r="I2414" t="n">
        <v>0</v>
      </c>
      <c r="J2414" t="n">
        <v>0</v>
      </c>
      <c r="K2414" t="n">
        <v>0</v>
      </c>
      <c r="L2414" t="n">
        <v>0</v>
      </c>
      <c r="M2414" t="n">
        <v>0</v>
      </c>
      <c r="N2414" t="n">
        <v>0</v>
      </c>
      <c r="O2414" t="n">
        <v>0</v>
      </c>
      <c r="P2414" t="n">
        <v>0</v>
      </c>
      <c r="Q2414" t="n">
        <v>0</v>
      </c>
      <c r="R2414" s="2" t="inlineStr"/>
    </row>
    <row r="2415" ht="15" customHeight="1">
      <c r="A2415" t="inlineStr">
        <is>
          <t>A 21587-2019</t>
        </is>
      </c>
      <c r="B2415" s="1" t="n">
        <v>43580</v>
      </c>
      <c r="C2415" s="1" t="n">
        <v>45212</v>
      </c>
      <c r="D2415" t="inlineStr">
        <is>
          <t>VÄSTRA GÖTALANDS LÄN</t>
        </is>
      </c>
      <c r="E2415" t="inlineStr">
        <is>
          <t>GÖTENE</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21429-2019</t>
        </is>
      </c>
      <c r="B2416" s="1" t="n">
        <v>43580</v>
      </c>
      <c r="C2416" s="1" t="n">
        <v>45212</v>
      </c>
      <c r="D2416" t="inlineStr">
        <is>
          <t>VÄSTRA GÖTALANDS LÄN</t>
        </is>
      </c>
      <c r="E2416" t="inlineStr">
        <is>
          <t>BORÅS</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21641-2019</t>
        </is>
      </c>
      <c r="B2417" s="1" t="n">
        <v>43581</v>
      </c>
      <c r="C2417" s="1" t="n">
        <v>45212</v>
      </c>
      <c r="D2417" t="inlineStr">
        <is>
          <t>VÄSTRA GÖTALANDS LÄN</t>
        </is>
      </c>
      <c r="E2417" t="inlineStr">
        <is>
          <t>GULLSPÅNG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21749-2019</t>
        </is>
      </c>
      <c r="B2418" s="1" t="n">
        <v>43581</v>
      </c>
      <c r="C2418" s="1" t="n">
        <v>45212</v>
      </c>
      <c r="D2418" t="inlineStr">
        <is>
          <t>VÄSTRA GÖTALANDS LÄN</t>
        </is>
      </c>
      <c r="E2418" t="inlineStr">
        <is>
          <t>BORÅS</t>
        </is>
      </c>
      <c r="F2418" t="inlineStr">
        <is>
          <t>Kommuner</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21621-2019</t>
        </is>
      </c>
      <c r="B2419" s="1" t="n">
        <v>43581</v>
      </c>
      <c r="C2419" s="1" t="n">
        <v>45212</v>
      </c>
      <c r="D2419" t="inlineStr">
        <is>
          <t>VÄSTRA GÖTALANDS LÄN</t>
        </is>
      </c>
      <c r="E2419" t="inlineStr">
        <is>
          <t>ULRICEHAMN</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21673-2019</t>
        </is>
      </c>
      <c r="B2420" s="1" t="n">
        <v>43581</v>
      </c>
      <c r="C2420" s="1" t="n">
        <v>45212</v>
      </c>
      <c r="D2420" t="inlineStr">
        <is>
          <t>VÄSTRA GÖTALANDS LÄN</t>
        </is>
      </c>
      <c r="E2420" t="inlineStr">
        <is>
          <t>HERRLJUNGA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21845-2019</t>
        </is>
      </c>
      <c r="B2421" s="1" t="n">
        <v>43584</v>
      </c>
      <c r="C2421" s="1" t="n">
        <v>45212</v>
      </c>
      <c r="D2421" t="inlineStr">
        <is>
          <t>VÄSTRA GÖTALANDS LÄN</t>
        </is>
      </c>
      <c r="E2421" t="inlineStr">
        <is>
          <t>KARLSBORG</t>
        </is>
      </c>
      <c r="F2421" t="inlineStr">
        <is>
          <t>Sveaskog</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21902-2019</t>
        </is>
      </c>
      <c r="B2422" s="1" t="n">
        <v>43584</v>
      </c>
      <c r="C2422" s="1" t="n">
        <v>45212</v>
      </c>
      <c r="D2422" t="inlineStr">
        <is>
          <t>VÄSTRA GÖTALANDS LÄN</t>
        </is>
      </c>
      <c r="E2422" t="inlineStr">
        <is>
          <t>ALINGSÅS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21885-2019</t>
        </is>
      </c>
      <c r="B2423" s="1" t="n">
        <v>43584</v>
      </c>
      <c r="C2423" s="1" t="n">
        <v>45212</v>
      </c>
      <c r="D2423" t="inlineStr">
        <is>
          <t>VÄSTRA GÖTALANDS LÄN</t>
        </is>
      </c>
      <c r="E2423" t="inlineStr">
        <is>
          <t>STENUNGSUND</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21992-2019</t>
        </is>
      </c>
      <c r="B2424" s="1" t="n">
        <v>43584</v>
      </c>
      <c r="C2424" s="1" t="n">
        <v>45212</v>
      </c>
      <c r="D2424" t="inlineStr">
        <is>
          <t>VÄSTRA GÖTALANDS LÄN</t>
        </is>
      </c>
      <c r="E2424" t="inlineStr">
        <is>
          <t>TRANEMO</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21866-2019</t>
        </is>
      </c>
      <c r="B2425" s="1" t="n">
        <v>43584</v>
      </c>
      <c r="C2425" s="1" t="n">
        <v>45212</v>
      </c>
      <c r="D2425" t="inlineStr">
        <is>
          <t>VÄSTRA GÖTALANDS LÄN</t>
        </is>
      </c>
      <c r="E2425" t="inlineStr">
        <is>
          <t>TANUM</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21910-2019</t>
        </is>
      </c>
      <c r="B2426" s="1" t="n">
        <v>43584</v>
      </c>
      <c r="C2426" s="1" t="n">
        <v>45212</v>
      </c>
      <c r="D2426" t="inlineStr">
        <is>
          <t>VÄSTRA GÖTALANDS LÄN</t>
        </is>
      </c>
      <c r="E2426" t="inlineStr">
        <is>
          <t>ÅMÅL</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22080-2019</t>
        </is>
      </c>
      <c r="B2427" s="1" t="n">
        <v>43584</v>
      </c>
      <c r="C2427" s="1" t="n">
        <v>45212</v>
      </c>
      <c r="D2427" t="inlineStr">
        <is>
          <t>VÄSTRA GÖTALANDS LÄN</t>
        </is>
      </c>
      <c r="E2427" t="inlineStr">
        <is>
          <t>TANUM</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22110-2019</t>
        </is>
      </c>
      <c r="B2428" s="1" t="n">
        <v>43585</v>
      </c>
      <c r="C2428" s="1" t="n">
        <v>45212</v>
      </c>
      <c r="D2428" t="inlineStr">
        <is>
          <t>VÄSTRA GÖTALANDS LÄN</t>
        </is>
      </c>
      <c r="E2428" t="inlineStr">
        <is>
          <t>SVENLJUNGA</t>
        </is>
      </c>
      <c r="G2428" t="n">
        <v>2.8</v>
      </c>
      <c r="H2428" t="n">
        <v>0</v>
      </c>
      <c r="I2428" t="n">
        <v>0</v>
      </c>
      <c r="J2428" t="n">
        <v>0</v>
      </c>
      <c r="K2428" t="n">
        <v>0</v>
      </c>
      <c r="L2428" t="n">
        <v>0</v>
      </c>
      <c r="M2428" t="n">
        <v>0</v>
      </c>
      <c r="N2428" t="n">
        <v>0</v>
      </c>
      <c r="O2428" t="n">
        <v>0</v>
      </c>
      <c r="P2428" t="n">
        <v>0</v>
      </c>
      <c r="Q2428" t="n">
        <v>0</v>
      </c>
      <c r="R2428" s="2" t="inlineStr"/>
    </row>
    <row r="2429" ht="15" customHeight="1">
      <c r="A2429" t="inlineStr">
        <is>
          <t>A 22182-2019</t>
        </is>
      </c>
      <c r="B2429" s="1" t="n">
        <v>43585</v>
      </c>
      <c r="C2429" s="1" t="n">
        <v>45212</v>
      </c>
      <c r="D2429" t="inlineStr">
        <is>
          <t>VÄSTRA GÖTALANDS LÄN</t>
        </is>
      </c>
      <c r="E2429" t="inlineStr">
        <is>
          <t>BORÅS</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22215-2019</t>
        </is>
      </c>
      <c r="B2430" s="1" t="n">
        <v>43585</v>
      </c>
      <c r="C2430" s="1" t="n">
        <v>45212</v>
      </c>
      <c r="D2430" t="inlineStr">
        <is>
          <t>VÄSTRA GÖTALANDS LÄN</t>
        </is>
      </c>
      <c r="E2430" t="inlineStr">
        <is>
          <t>BORÅS</t>
        </is>
      </c>
      <c r="G2430" t="n">
        <v>7.7</v>
      </c>
      <c r="H2430" t="n">
        <v>0</v>
      </c>
      <c r="I2430" t="n">
        <v>0</v>
      </c>
      <c r="J2430" t="n">
        <v>0</v>
      </c>
      <c r="K2430" t="n">
        <v>0</v>
      </c>
      <c r="L2430" t="n">
        <v>0</v>
      </c>
      <c r="M2430" t="n">
        <v>0</v>
      </c>
      <c r="N2430" t="n">
        <v>0</v>
      </c>
      <c r="O2430" t="n">
        <v>0</v>
      </c>
      <c r="P2430" t="n">
        <v>0</v>
      </c>
      <c r="Q2430" t="n">
        <v>0</v>
      </c>
      <c r="R2430" s="2" t="inlineStr"/>
    </row>
    <row r="2431" ht="15" customHeight="1">
      <c r="A2431" t="inlineStr">
        <is>
          <t>A 22209-2019</t>
        </is>
      </c>
      <c r="B2431" s="1" t="n">
        <v>43585</v>
      </c>
      <c r="C2431" s="1" t="n">
        <v>45212</v>
      </c>
      <c r="D2431" t="inlineStr">
        <is>
          <t>VÄSTRA GÖTALANDS LÄN</t>
        </is>
      </c>
      <c r="E2431" t="inlineStr">
        <is>
          <t>ULRICEHAMN</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22225-2019</t>
        </is>
      </c>
      <c r="B2432" s="1" t="n">
        <v>43585</v>
      </c>
      <c r="C2432" s="1" t="n">
        <v>45212</v>
      </c>
      <c r="D2432" t="inlineStr">
        <is>
          <t>VÄSTRA GÖTALANDS LÄN</t>
        </is>
      </c>
      <c r="E2432" t="inlineStr">
        <is>
          <t>MARIESTAD</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22335-2019</t>
        </is>
      </c>
      <c r="B2433" s="1" t="n">
        <v>43586</v>
      </c>
      <c r="C2433" s="1" t="n">
        <v>45212</v>
      </c>
      <c r="D2433" t="inlineStr">
        <is>
          <t>VÄSTRA GÖTALANDS LÄN</t>
        </is>
      </c>
      <c r="E2433" t="inlineStr">
        <is>
          <t>HJO</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22336-2019</t>
        </is>
      </c>
      <c r="B2434" s="1" t="n">
        <v>43586</v>
      </c>
      <c r="C2434" s="1" t="n">
        <v>45212</v>
      </c>
      <c r="D2434" t="inlineStr">
        <is>
          <t>VÄSTRA GÖTALANDS LÄN</t>
        </is>
      </c>
      <c r="E2434" t="inlineStr">
        <is>
          <t>HJO</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22321-2019</t>
        </is>
      </c>
      <c r="B2435" s="1" t="n">
        <v>43586</v>
      </c>
      <c r="C2435" s="1" t="n">
        <v>45212</v>
      </c>
      <c r="D2435" t="inlineStr">
        <is>
          <t>VÄSTRA GÖTALANDS LÄN</t>
        </is>
      </c>
      <c r="E2435" t="inlineStr">
        <is>
          <t>LILLA EDET</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22337-2019</t>
        </is>
      </c>
      <c r="B2436" s="1" t="n">
        <v>43586</v>
      </c>
      <c r="C2436" s="1" t="n">
        <v>45212</v>
      </c>
      <c r="D2436" t="inlineStr">
        <is>
          <t>VÄSTRA GÖTALANDS LÄN</t>
        </is>
      </c>
      <c r="E2436" t="inlineStr">
        <is>
          <t>HJO</t>
        </is>
      </c>
      <c r="G2436" t="n">
        <v>0.8</v>
      </c>
      <c r="H2436" t="n">
        <v>0</v>
      </c>
      <c r="I2436" t="n">
        <v>0</v>
      </c>
      <c r="J2436" t="n">
        <v>0</v>
      </c>
      <c r="K2436" t="n">
        <v>0</v>
      </c>
      <c r="L2436" t="n">
        <v>0</v>
      </c>
      <c r="M2436" t="n">
        <v>0</v>
      </c>
      <c r="N2436" t="n">
        <v>0</v>
      </c>
      <c r="O2436" t="n">
        <v>0</v>
      </c>
      <c r="P2436" t="n">
        <v>0</v>
      </c>
      <c r="Q2436" t="n">
        <v>0</v>
      </c>
      <c r="R2436" s="2" t="inlineStr"/>
    </row>
    <row r="2437" ht="15" customHeight="1">
      <c r="A2437" t="inlineStr">
        <is>
          <t>A 22334-2019</t>
        </is>
      </c>
      <c r="B2437" s="1" t="n">
        <v>43586</v>
      </c>
      <c r="C2437" s="1" t="n">
        <v>45212</v>
      </c>
      <c r="D2437" t="inlineStr">
        <is>
          <t>VÄSTRA GÖTALANDS LÄN</t>
        </is>
      </c>
      <c r="E2437" t="inlineStr">
        <is>
          <t>HJO</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22550-2019</t>
        </is>
      </c>
      <c r="B2438" s="1" t="n">
        <v>43587</v>
      </c>
      <c r="C2438" s="1" t="n">
        <v>45212</v>
      </c>
      <c r="D2438" t="inlineStr">
        <is>
          <t>VÄSTRA GÖTALANDS LÄN</t>
        </is>
      </c>
      <c r="E2438" t="inlineStr">
        <is>
          <t>BENGTSFORS</t>
        </is>
      </c>
      <c r="F2438" t="inlineStr">
        <is>
          <t>Kyrkan</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22554-2019</t>
        </is>
      </c>
      <c r="B2439" s="1" t="n">
        <v>43587</v>
      </c>
      <c r="C2439" s="1" t="n">
        <v>45212</v>
      </c>
      <c r="D2439" t="inlineStr">
        <is>
          <t>VÄSTRA GÖTALANDS LÄN</t>
        </is>
      </c>
      <c r="E2439" t="inlineStr">
        <is>
          <t>DALS-ED</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22662-2019</t>
        </is>
      </c>
      <c r="B2440" s="1" t="n">
        <v>43587</v>
      </c>
      <c r="C2440" s="1" t="n">
        <v>45212</v>
      </c>
      <c r="D2440" t="inlineStr">
        <is>
          <t>VÄSTRA GÖTALANDS LÄN</t>
        </is>
      </c>
      <c r="E2440" t="inlineStr">
        <is>
          <t>DALS-ED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23623-2019</t>
        </is>
      </c>
      <c r="B2441" s="1" t="n">
        <v>43587</v>
      </c>
      <c r="C2441" s="1" t="n">
        <v>45212</v>
      </c>
      <c r="D2441" t="inlineStr">
        <is>
          <t>VÄSTRA GÖTALANDS LÄN</t>
        </is>
      </c>
      <c r="E2441" t="inlineStr">
        <is>
          <t>DALS-ED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22409-2019</t>
        </is>
      </c>
      <c r="B2442" s="1" t="n">
        <v>43587</v>
      </c>
      <c r="C2442" s="1" t="n">
        <v>45212</v>
      </c>
      <c r="D2442" t="inlineStr">
        <is>
          <t>VÄSTRA GÖTALANDS LÄN</t>
        </is>
      </c>
      <c r="E2442" t="inlineStr">
        <is>
          <t>BOLLEBYGD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22530-2019</t>
        </is>
      </c>
      <c r="B2443" s="1" t="n">
        <v>43587</v>
      </c>
      <c r="C2443" s="1" t="n">
        <v>45212</v>
      </c>
      <c r="D2443" t="inlineStr">
        <is>
          <t>VÄSTRA GÖTALANDS LÄN</t>
        </is>
      </c>
      <c r="E2443" t="inlineStr">
        <is>
          <t>HÄRRYDA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23597-2019</t>
        </is>
      </c>
      <c r="B2444" s="1" t="n">
        <v>43587</v>
      </c>
      <c r="C2444" s="1" t="n">
        <v>45212</v>
      </c>
      <c r="D2444" t="inlineStr">
        <is>
          <t>VÄSTRA GÖTALANDS LÄN</t>
        </is>
      </c>
      <c r="E2444" t="inlineStr">
        <is>
          <t>DALS-ED</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22527-2019</t>
        </is>
      </c>
      <c r="B2445" s="1" t="n">
        <v>43587</v>
      </c>
      <c r="C2445" s="1" t="n">
        <v>45212</v>
      </c>
      <c r="D2445" t="inlineStr">
        <is>
          <t>VÄSTRA GÖTALANDS LÄN</t>
        </is>
      </c>
      <c r="E2445" t="inlineStr">
        <is>
          <t>VARA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22667-2019</t>
        </is>
      </c>
      <c r="B2446" s="1" t="n">
        <v>43587</v>
      </c>
      <c r="C2446" s="1" t="n">
        <v>45212</v>
      </c>
      <c r="D2446" t="inlineStr">
        <is>
          <t>VÄSTRA GÖTALANDS LÄN</t>
        </is>
      </c>
      <c r="E2446" t="inlineStr">
        <is>
          <t>DALS-ED</t>
        </is>
      </c>
      <c r="G2446" t="n">
        <v>4.7</v>
      </c>
      <c r="H2446" t="n">
        <v>0</v>
      </c>
      <c r="I2446" t="n">
        <v>0</v>
      </c>
      <c r="J2446" t="n">
        <v>0</v>
      </c>
      <c r="K2446" t="n">
        <v>0</v>
      </c>
      <c r="L2446" t="n">
        <v>0</v>
      </c>
      <c r="M2446" t="n">
        <v>0</v>
      </c>
      <c r="N2446" t="n">
        <v>0</v>
      </c>
      <c r="O2446" t="n">
        <v>0</v>
      </c>
      <c r="P2446" t="n">
        <v>0</v>
      </c>
      <c r="Q2446" t="n">
        <v>0</v>
      </c>
      <c r="R2446" s="2" t="inlineStr"/>
    </row>
    <row r="2447" ht="15" customHeight="1">
      <c r="A2447" t="inlineStr">
        <is>
          <t>A 23634-2019</t>
        </is>
      </c>
      <c r="B2447" s="1" t="n">
        <v>43587</v>
      </c>
      <c r="C2447" s="1" t="n">
        <v>45212</v>
      </c>
      <c r="D2447" t="inlineStr">
        <is>
          <t>VÄSTRA GÖTALANDS LÄN</t>
        </is>
      </c>
      <c r="E2447" t="inlineStr">
        <is>
          <t>DALS-ED</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22706-2019</t>
        </is>
      </c>
      <c r="B2448" s="1" t="n">
        <v>43588</v>
      </c>
      <c r="C2448" s="1" t="n">
        <v>45212</v>
      </c>
      <c r="D2448" t="inlineStr">
        <is>
          <t>VÄSTRA GÖTALANDS LÄN</t>
        </is>
      </c>
      <c r="E2448" t="inlineStr">
        <is>
          <t>MUNKEDAL</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22741-2019</t>
        </is>
      </c>
      <c r="B2449" s="1" t="n">
        <v>43588</v>
      </c>
      <c r="C2449" s="1" t="n">
        <v>45212</v>
      </c>
      <c r="D2449" t="inlineStr">
        <is>
          <t>VÄSTRA GÖTALANDS LÄN</t>
        </is>
      </c>
      <c r="E2449" t="inlineStr">
        <is>
          <t>SKARA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22768-2019</t>
        </is>
      </c>
      <c r="B2450" s="1" t="n">
        <v>43588</v>
      </c>
      <c r="C2450" s="1" t="n">
        <v>45212</v>
      </c>
      <c r="D2450" t="inlineStr">
        <is>
          <t>VÄSTRA GÖTALANDS LÄN</t>
        </is>
      </c>
      <c r="E2450" t="inlineStr">
        <is>
          <t>MUNKEDAL</t>
        </is>
      </c>
      <c r="G2450" t="n">
        <v>0.4</v>
      </c>
      <c r="H2450" t="n">
        <v>0</v>
      </c>
      <c r="I2450" t="n">
        <v>0</v>
      </c>
      <c r="J2450" t="n">
        <v>0</v>
      </c>
      <c r="K2450" t="n">
        <v>0</v>
      </c>
      <c r="L2450" t="n">
        <v>0</v>
      </c>
      <c r="M2450" t="n">
        <v>0</v>
      </c>
      <c r="N2450" t="n">
        <v>0</v>
      </c>
      <c r="O2450" t="n">
        <v>0</v>
      </c>
      <c r="P2450" t="n">
        <v>0</v>
      </c>
      <c r="Q2450" t="n">
        <v>0</v>
      </c>
      <c r="R2450" s="2" t="inlineStr"/>
    </row>
    <row r="2451" ht="15" customHeight="1">
      <c r="A2451" t="inlineStr">
        <is>
          <t>A 22751-2019</t>
        </is>
      </c>
      <c r="B2451" s="1" t="n">
        <v>43588</v>
      </c>
      <c r="C2451" s="1" t="n">
        <v>45212</v>
      </c>
      <c r="D2451" t="inlineStr">
        <is>
          <t>VÄSTRA GÖTALANDS LÄN</t>
        </is>
      </c>
      <c r="E2451" t="inlineStr">
        <is>
          <t>ULRICEHAMN</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22715-2019</t>
        </is>
      </c>
      <c r="B2452" s="1" t="n">
        <v>43588</v>
      </c>
      <c r="C2452" s="1" t="n">
        <v>45212</v>
      </c>
      <c r="D2452" t="inlineStr">
        <is>
          <t>VÄSTRA GÖTALANDS LÄN</t>
        </is>
      </c>
      <c r="E2452" t="inlineStr">
        <is>
          <t>SVENLJUNGA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22784-2019</t>
        </is>
      </c>
      <c r="B2453" s="1" t="n">
        <v>43589</v>
      </c>
      <c r="C2453" s="1" t="n">
        <v>45212</v>
      </c>
      <c r="D2453" t="inlineStr">
        <is>
          <t>VÄSTRA GÖTALANDS LÄN</t>
        </is>
      </c>
      <c r="E2453" t="inlineStr">
        <is>
          <t>KARLSBORG</t>
        </is>
      </c>
      <c r="F2453" t="inlineStr">
        <is>
          <t>Sveaskog</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22973-2019</t>
        </is>
      </c>
      <c r="B2454" s="1" t="n">
        <v>43589</v>
      </c>
      <c r="C2454" s="1" t="n">
        <v>45212</v>
      </c>
      <c r="D2454" t="inlineStr">
        <is>
          <t>VÄSTRA GÖTALANDS LÄN</t>
        </is>
      </c>
      <c r="E2454" t="inlineStr">
        <is>
          <t>GULLSPÅNG</t>
        </is>
      </c>
      <c r="G2454" t="n">
        <v>1.4</v>
      </c>
      <c r="H2454" t="n">
        <v>0</v>
      </c>
      <c r="I2454" t="n">
        <v>0</v>
      </c>
      <c r="J2454" t="n">
        <v>0</v>
      </c>
      <c r="K2454" t="n">
        <v>0</v>
      </c>
      <c r="L2454" t="n">
        <v>0</v>
      </c>
      <c r="M2454" t="n">
        <v>0</v>
      </c>
      <c r="N2454" t="n">
        <v>0</v>
      </c>
      <c r="O2454" t="n">
        <v>0</v>
      </c>
      <c r="P2454" t="n">
        <v>0</v>
      </c>
      <c r="Q2454" t="n">
        <v>0</v>
      </c>
      <c r="R2454" s="2" t="inlineStr"/>
    </row>
    <row r="2455" ht="15" customHeight="1">
      <c r="A2455" t="inlineStr">
        <is>
          <t>A 22786-2019</t>
        </is>
      </c>
      <c r="B2455" s="1" t="n">
        <v>43589</v>
      </c>
      <c r="C2455" s="1" t="n">
        <v>45212</v>
      </c>
      <c r="D2455" t="inlineStr">
        <is>
          <t>VÄSTRA GÖTALANDS LÄN</t>
        </is>
      </c>
      <c r="E2455" t="inlineStr">
        <is>
          <t>KARLSBORG</t>
        </is>
      </c>
      <c r="F2455" t="inlineStr">
        <is>
          <t>Sveaskog</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22951-2019</t>
        </is>
      </c>
      <c r="B2456" s="1" t="n">
        <v>43591</v>
      </c>
      <c r="C2456" s="1" t="n">
        <v>45212</v>
      </c>
      <c r="D2456" t="inlineStr">
        <is>
          <t>VÄSTRA GÖTALANDS LÄN</t>
        </is>
      </c>
      <c r="E2456" t="inlineStr">
        <is>
          <t>BOLLEBYGD</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22956-2019</t>
        </is>
      </c>
      <c r="B2457" s="1" t="n">
        <v>43591</v>
      </c>
      <c r="C2457" s="1" t="n">
        <v>45212</v>
      </c>
      <c r="D2457" t="inlineStr">
        <is>
          <t>VÄSTRA GÖTALANDS LÄN</t>
        </is>
      </c>
      <c r="E2457" t="inlineStr">
        <is>
          <t>HERRLJUNGA</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23030-2019</t>
        </is>
      </c>
      <c r="B2458" s="1" t="n">
        <v>43591</v>
      </c>
      <c r="C2458" s="1" t="n">
        <v>45212</v>
      </c>
      <c r="D2458" t="inlineStr">
        <is>
          <t>VÄSTRA GÖTALANDS LÄN</t>
        </is>
      </c>
      <c r="E2458" t="inlineStr">
        <is>
          <t>STRÖMSTAD</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22860-2019</t>
        </is>
      </c>
      <c r="B2459" s="1" t="n">
        <v>43591</v>
      </c>
      <c r="C2459" s="1" t="n">
        <v>45212</v>
      </c>
      <c r="D2459" t="inlineStr">
        <is>
          <t>VÄSTRA GÖTALANDS LÄN</t>
        </is>
      </c>
      <c r="E2459" t="inlineStr">
        <is>
          <t>HÄRRYDA</t>
        </is>
      </c>
      <c r="G2459" t="n">
        <v>2.6</v>
      </c>
      <c r="H2459" t="n">
        <v>0</v>
      </c>
      <c r="I2459" t="n">
        <v>0</v>
      </c>
      <c r="J2459" t="n">
        <v>0</v>
      </c>
      <c r="K2459" t="n">
        <v>0</v>
      </c>
      <c r="L2459" t="n">
        <v>0</v>
      </c>
      <c r="M2459" t="n">
        <v>0</v>
      </c>
      <c r="N2459" t="n">
        <v>0</v>
      </c>
      <c r="O2459" t="n">
        <v>0</v>
      </c>
      <c r="P2459" t="n">
        <v>0</v>
      </c>
      <c r="Q2459" t="n">
        <v>0</v>
      </c>
      <c r="R2459" s="2" t="inlineStr"/>
    </row>
    <row r="2460" ht="15" customHeight="1">
      <c r="A2460" t="inlineStr">
        <is>
          <t>A 22967-2019</t>
        </is>
      </c>
      <c r="B2460" s="1" t="n">
        <v>43591</v>
      </c>
      <c r="C2460" s="1" t="n">
        <v>45212</v>
      </c>
      <c r="D2460" t="inlineStr">
        <is>
          <t>VÄSTRA GÖTALANDS LÄN</t>
        </is>
      </c>
      <c r="E2460" t="inlineStr">
        <is>
          <t>UDDEVALLA</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22984-2019</t>
        </is>
      </c>
      <c r="B2461" s="1" t="n">
        <v>43591</v>
      </c>
      <c r="C2461" s="1" t="n">
        <v>45212</v>
      </c>
      <c r="D2461" t="inlineStr">
        <is>
          <t>VÄSTRA GÖTALANDS LÄN</t>
        </is>
      </c>
      <c r="E2461" t="inlineStr">
        <is>
          <t>UDDEVALLA</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23028-2019</t>
        </is>
      </c>
      <c r="B2462" s="1" t="n">
        <v>43591</v>
      </c>
      <c r="C2462" s="1" t="n">
        <v>45212</v>
      </c>
      <c r="D2462" t="inlineStr">
        <is>
          <t>VÄSTRA GÖTALANDS LÄN</t>
        </is>
      </c>
      <c r="E2462" t="inlineStr">
        <is>
          <t>STRÖMSTAD</t>
        </is>
      </c>
      <c r="G2462" t="n">
        <v>8.4</v>
      </c>
      <c r="H2462" t="n">
        <v>0</v>
      </c>
      <c r="I2462" t="n">
        <v>0</v>
      </c>
      <c r="J2462" t="n">
        <v>0</v>
      </c>
      <c r="K2462" t="n">
        <v>0</v>
      </c>
      <c r="L2462" t="n">
        <v>0</v>
      </c>
      <c r="M2462" t="n">
        <v>0</v>
      </c>
      <c r="N2462" t="n">
        <v>0</v>
      </c>
      <c r="O2462" t="n">
        <v>0</v>
      </c>
      <c r="P2462" t="n">
        <v>0</v>
      </c>
      <c r="Q2462" t="n">
        <v>0</v>
      </c>
      <c r="R2462" s="2" t="inlineStr"/>
    </row>
    <row r="2463" ht="15" customHeight="1">
      <c r="A2463" t="inlineStr">
        <is>
          <t>A 22851-2019</t>
        </is>
      </c>
      <c r="B2463" s="1" t="n">
        <v>43591</v>
      </c>
      <c r="C2463" s="1" t="n">
        <v>45212</v>
      </c>
      <c r="D2463" t="inlineStr">
        <is>
          <t>VÄSTRA GÖTALANDS LÄN</t>
        </is>
      </c>
      <c r="E2463" t="inlineStr">
        <is>
          <t>DALS-ED</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22930-2019</t>
        </is>
      </c>
      <c r="B2464" s="1" t="n">
        <v>43591</v>
      </c>
      <c r="C2464" s="1" t="n">
        <v>45212</v>
      </c>
      <c r="D2464" t="inlineStr">
        <is>
          <t>VÄSTRA GÖTALANDS LÄN</t>
        </is>
      </c>
      <c r="E2464" t="inlineStr">
        <is>
          <t>ALINGSÅS</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22981-2019</t>
        </is>
      </c>
      <c r="B2465" s="1" t="n">
        <v>43591</v>
      </c>
      <c r="C2465" s="1" t="n">
        <v>45212</v>
      </c>
      <c r="D2465" t="inlineStr">
        <is>
          <t>VÄSTRA GÖTALANDS LÄN</t>
        </is>
      </c>
      <c r="E2465" t="inlineStr">
        <is>
          <t>MARIESTAD</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23054-2019</t>
        </is>
      </c>
      <c r="B2466" s="1" t="n">
        <v>43591</v>
      </c>
      <c r="C2466" s="1" t="n">
        <v>45212</v>
      </c>
      <c r="D2466" t="inlineStr">
        <is>
          <t>VÄSTRA GÖTALANDS LÄN</t>
        </is>
      </c>
      <c r="E2466" t="inlineStr">
        <is>
          <t>SVENLJUNGA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23094-2019</t>
        </is>
      </c>
      <c r="B2467" s="1" t="n">
        <v>43592</v>
      </c>
      <c r="C2467" s="1" t="n">
        <v>45212</v>
      </c>
      <c r="D2467" t="inlineStr">
        <is>
          <t>VÄSTRA GÖTALANDS LÄN</t>
        </is>
      </c>
      <c r="E2467" t="inlineStr">
        <is>
          <t>SKÖVDE</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23110-2019</t>
        </is>
      </c>
      <c r="B2468" s="1" t="n">
        <v>43592</v>
      </c>
      <c r="C2468" s="1" t="n">
        <v>45212</v>
      </c>
      <c r="D2468" t="inlineStr">
        <is>
          <t>VÄSTRA GÖTALANDS LÄN</t>
        </is>
      </c>
      <c r="E2468" t="inlineStr">
        <is>
          <t>TRANEMO</t>
        </is>
      </c>
      <c r="F2468" t="inlineStr">
        <is>
          <t>Kyrkan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23148-2019</t>
        </is>
      </c>
      <c r="B2469" s="1" t="n">
        <v>43592</v>
      </c>
      <c r="C2469" s="1" t="n">
        <v>45212</v>
      </c>
      <c r="D2469" t="inlineStr">
        <is>
          <t>VÄSTRA GÖTALANDS LÄN</t>
        </is>
      </c>
      <c r="E2469" t="inlineStr">
        <is>
          <t>MARK</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23223-2019</t>
        </is>
      </c>
      <c r="B2470" s="1" t="n">
        <v>43592</v>
      </c>
      <c r="C2470" s="1" t="n">
        <v>45212</v>
      </c>
      <c r="D2470" t="inlineStr">
        <is>
          <t>VÄSTRA GÖTALANDS LÄN</t>
        </is>
      </c>
      <c r="E2470" t="inlineStr">
        <is>
          <t>ALINGSÅS</t>
        </is>
      </c>
      <c r="F2470" t="inlineStr">
        <is>
          <t>Kommuner</t>
        </is>
      </c>
      <c r="G2470" t="n">
        <v>4.9</v>
      </c>
      <c r="H2470" t="n">
        <v>0</v>
      </c>
      <c r="I2470" t="n">
        <v>0</v>
      </c>
      <c r="J2470" t="n">
        <v>0</v>
      </c>
      <c r="K2470" t="n">
        <v>0</v>
      </c>
      <c r="L2470" t="n">
        <v>0</v>
      </c>
      <c r="M2470" t="n">
        <v>0</v>
      </c>
      <c r="N2470" t="n">
        <v>0</v>
      </c>
      <c r="O2470" t="n">
        <v>0</v>
      </c>
      <c r="P2470" t="n">
        <v>0</v>
      </c>
      <c r="Q2470" t="n">
        <v>0</v>
      </c>
      <c r="R2470" s="2" t="inlineStr"/>
    </row>
    <row r="2471" ht="15" customHeight="1">
      <c r="A2471" t="inlineStr">
        <is>
          <t>A 23143-2019</t>
        </is>
      </c>
      <c r="B2471" s="1" t="n">
        <v>43592</v>
      </c>
      <c r="C2471" s="1" t="n">
        <v>45212</v>
      </c>
      <c r="D2471" t="inlineStr">
        <is>
          <t>VÄSTRA GÖTALANDS LÄN</t>
        </is>
      </c>
      <c r="E2471" t="inlineStr">
        <is>
          <t>FALKÖPING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23190-2019</t>
        </is>
      </c>
      <c r="B2472" s="1" t="n">
        <v>43592</v>
      </c>
      <c r="C2472" s="1" t="n">
        <v>45212</v>
      </c>
      <c r="D2472" t="inlineStr">
        <is>
          <t>VÄSTRA GÖTALANDS LÄN</t>
        </is>
      </c>
      <c r="E2472" t="inlineStr">
        <is>
          <t>MARIESTAD</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23197-2019</t>
        </is>
      </c>
      <c r="B2473" s="1" t="n">
        <v>43592</v>
      </c>
      <c r="C2473" s="1" t="n">
        <v>45212</v>
      </c>
      <c r="D2473" t="inlineStr">
        <is>
          <t>VÄSTRA GÖTALANDS LÄN</t>
        </is>
      </c>
      <c r="E2473" t="inlineStr">
        <is>
          <t>BENGTSFORS</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23220-2019</t>
        </is>
      </c>
      <c r="B2474" s="1" t="n">
        <v>43592</v>
      </c>
      <c r="C2474" s="1" t="n">
        <v>45212</v>
      </c>
      <c r="D2474" t="inlineStr">
        <is>
          <t>VÄSTRA GÖTALANDS LÄN</t>
        </is>
      </c>
      <c r="E2474" t="inlineStr">
        <is>
          <t>ALINGSÅS</t>
        </is>
      </c>
      <c r="F2474" t="inlineStr">
        <is>
          <t>Kommuner</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23411-2019</t>
        </is>
      </c>
      <c r="B2475" s="1" t="n">
        <v>43592</v>
      </c>
      <c r="C2475" s="1" t="n">
        <v>45212</v>
      </c>
      <c r="D2475" t="inlineStr">
        <is>
          <t>VÄSTRA GÖTALANDS LÄN</t>
        </is>
      </c>
      <c r="E2475" t="inlineStr">
        <is>
          <t>ULRICEHAMN</t>
        </is>
      </c>
      <c r="G2475" t="n">
        <v>12.9</v>
      </c>
      <c r="H2475" t="n">
        <v>0</v>
      </c>
      <c r="I2475" t="n">
        <v>0</v>
      </c>
      <c r="J2475" t="n">
        <v>0</v>
      </c>
      <c r="K2475" t="n">
        <v>0</v>
      </c>
      <c r="L2475" t="n">
        <v>0</v>
      </c>
      <c r="M2475" t="n">
        <v>0</v>
      </c>
      <c r="N2475" t="n">
        <v>0</v>
      </c>
      <c r="O2475" t="n">
        <v>0</v>
      </c>
      <c r="P2475" t="n">
        <v>0</v>
      </c>
      <c r="Q2475" t="n">
        <v>0</v>
      </c>
      <c r="R2475" s="2" t="inlineStr"/>
    </row>
    <row r="2476" ht="15" customHeight="1">
      <c r="A2476" t="inlineStr">
        <is>
          <t>A 23115-2019</t>
        </is>
      </c>
      <c r="B2476" s="1" t="n">
        <v>43592</v>
      </c>
      <c r="C2476" s="1" t="n">
        <v>45212</v>
      </c>
      <c r="D2476" t="inlineStr">
        <is>
          <t>VÄSTRA GÖTALANDS LÄN</t>
        </is>
      </c>
      <c r="E2476" t="inlineStr">
        <is>
          <t>SVENLJUNGA</t>
        </is>
      </c>
      <c r="F2476" t="inlineStr">
        <is>
          <t>Kyrkan</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23185-2019</t>
        </is>
      </c>
      <c r="B2477" s="1" t="n">
        <v>43592</v>
      </c>
      <c r="C2477" s="1" t="n">
        <v>45212</v>
      </c>
      <c r="D2477" t="inlineStr">
        <is>
          <t>VÄSTRA GÖTALANDS LÄN</t>
        </is>
      </c>
      <c r="E2477" t="inlineStr">
        <is>
          <t>TIDAHOLM</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23413-2019</t>
        </is>
      </c>
      <c r="B2478" s="1" t="n">
        <v>43593</v>
      </c>
      <c r="C2478" s="1" t="n">
        <v>45212</v>
      </c>
      <c r="D2478" t="inlineStr">
        <is>
          <t>VÄSTRA GÖTALANDS LÄN</t>
        </is>
      </c>
      <c r="E2478" t="inlineStr">
        <is>
          <t>MARIESTAD</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23452-2019</t>
        </is>
      </c>
      <c r="B2479" s="1" t="n">
        <v>43593</v>
      </c>
      <c r="C2479" s="1" t="n">
        <v>45212</v>
      </c>
      <c r="D2479" t="inlineStr">
        <is>
          <t>VÄSTRA GÖTALANDS LÄN</t>
        </is>
      </c>
      <c r="E2479" t="inlineStr">
        <is>
          <t>BENGTSFORS</t>
        </is>
      </c>
      <c r="G2479" t="n">
        <v>6.7</v>
      </c>
      <c r="H2479" t="n">
        <v>0</v>
      </c>
      <c r="I2479" t="n">
        <v>0</v>
      </c>
      <c r="J2479" t="n">
        <v>0</v>
      </c>
      <c r="K2479" t="n">
        <v>0</v>
      </c>
      <c r="L2479" t="n">
        <v>0</v>
      </c>
      <c r="M2479" t="n">
        <v>0</v>
      </c>
      <c r="N2479" t="n">
        <v>0</v>
      </c>
      <c r="O2479" t="n">
        <v>0</v>
      </c>
      <c r="P2479" t="n">
        <v>0</v>
      </c>
      <c r="Q2479" t="n">
        <v>0</v>
      </c>
      <c r="R2479" s="2" t="inlineStr"/>
    </row>
    <row r="2480" ht="15" customHeight="1">
      <c r="A2480" t="inlineStr">
        <is>
          <t>A 23320-2019</t>
        </is>
      </c>
      <c r="B2480" s="1" t="n">
        <v>43593</v>
      </c>
      <c r="C2480" s="1" t="n">
        <v>45212</v>
      </c>
      <c r="D2480" t="inlineStr">
        <is>
          <t>VÄSTRA GÖTALANDS LÄN</t>
        </is>
      </c>
      <c r="E2480" t="inlineStr">
        <is>
          <t>HERRLJUNGA</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23408-2019</t>
        </is>
      </c>
      <c r="B2481" s="1" t="n">
        <v>43593</v>
      </c>
      <c r="C2481" s="1" t="n">
        <v>45212</v>
      </c>
      <c r="D2481" t="inlineStr">
        <is>
          <t>VÄSTRA GÖTALANDS LÄN</t>
        </is>
      </c>
      <c r="E2481" t="inlineStr">
        <is>
          <t>HÄRRYDA</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23705-2019</t>
        </is>
      </c>
      <c r="B2482" s="1" t="n">
        <v>43594</v>
      </c>
      <c r="C2482" s="1" t="n">
        <v>45212</v>
      </c>
      <c r="D2482" t="inlineStr">
        <is>
          <t>VÄSTRA GÖTALANDS LÄN</t>
        </is>
      </c>
      <c r="E2482" t="inlineStr">
        <is>
          <t>TRANEMO</t>
        </is>
      </c>
      <c r="F2482" t="inlineStr">
        <is>
          <t>Sveaskog</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23526-2019</t>
        </is>
      </c>
      <c r="B2483" s="1" t="n">
        <v>43594</v>
      </c>
      <c r="C2483" s="1" t="n">
        <v>45212</v>
      </c>
      <c r="D2483" t="inlineStr">
        <is>
          <t>VÄSTRA GÖTALANDS LÄN</t>
        </is>
      </c>
      <c r="E2483" t="inlineStr">
        <is>
          <t>BOLLEBYGD</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23707-2019</t>
        </is>
      </c>
      <c r="B2484" s="1" t="n">
        <v>43594</v>
      </c>
      <c r="C2484" s="1" t="n">
        <v>45212</v>
      </c>
      <c r="D2484" t="inlineStr">
        <is>
          <t>VÄSTRA GÖTALANDS LÄN</t>
        </is>
      </c>
      <c r="E2484" t="inlineStr">
        <is>
          <t>TRANEMO</t>
        </is>
      </c>
      <c r="F2484" t="inlineStr">
        <is>
          <t>Sveaskog</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23527-2019</t>
        </is>
      </c>
      <c r="B2485" s="1" t="n">
        <v>43594</v>
      </c>
      <c r="C2485" s="1" t="n">
        <v>45212</v>
      </c>
      <c r="D2485" t="inlineStr">
        <is>
          <t>VÄSTRA GÖTALANDS LÄN</t>
        </is>
      </c>
      <c r="E2485" t="inlineStr">
        <is>
          <t>BOLLEBYGD</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23490-2019</t>
        </is>
      </c>
      <c r="B2486" s="1" t="n">
        <v>43594</v>
      </c>
      <c r="C2486" s="1" t="n">
        <v>45212</v>
      </c>
      <c r="D2486" t="inlineStr">
        <is>
          <t>VÄSTRA GÖTALANDS LÄN</t>
        </is>
      </c>
      <c r="E2486" t="inlineStr">
        <is>
          <t>ULRICEHAMN</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23632-2019</t>
        </is>
      </c>
      <c r="B2487" s="1" t="n">
        <v>43594</v>
      </c>
      <c r="C2487" s="1" t="n">
        <v>45212</v>
      </c>
      <c r="D2487" t="inlineStr">
        <is>
          <t>VÄSTRA GÖTALANDS LÄN</t>
        </is>
      </c>
      <c r="E2487" t="inlineStr">
        <is>
          <t>TIDAHOLM</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23637-2019</t>
        </is>
      </c>
      <c r="B2488" s="1" t="n">
        <v>43594</v>
      </c>
      <c r="C2488" s="1" t="n">
        <v>45212</v>
      </c>
      <c r="D2488" t="inlineStr">
        <is>
          <t>VÄSTRA GÖTALANDS LÄN</t>
        </is>
      </c>
      <c r="E2488" t="inlineStr">
        <is>
          <t>TIDAHOLM</t>
        </is>
      </c>
      <c r="G2488" t="n">
        <v>4.8</v>
      </c>
      <c r="H2488" t="n">
        <v>0</v>
      </c>
      <c r="I2488" t="n">
        <v>0</v>
      </c>
      <c r="J2488" t="n">
        <v>0</v>
      </c>
      <c r="K2488" t="n">
        <v>0</v>
      </c>
      <c r="L2488" t="n">
        <v>0</v>
      </c>
      <c r="M2488" t="n">
        <v>0</v>
      </c>
      <c r="N2488" t="n">
        <v>0</v>
      </c>
      <c r="O2488" t="n">
        <v>0</v>
      </c>
      <c r="P2488" t="n">
        <v>0</v>
      </c>
      <c r="Q2488" t="n">
        <v>0</v>
      </c>
      <c r="R2488" s="2" t="inlineStr"/>
    </row>
    <row r="2489" ht="15" customHeight="1">
      <c r="A2489" t="inlineStr">
        <is>
          <t>A 23708-2019</t>
        </is>
      </c>
      <c r="B2489" s="1" t="n">
        <v>43594</v>
      </c>
      <c r="C2489" s="1" t="n">
        <v>45212</v>
      </c>
      <c r="D2489" t="inlineStr">
        <is>
          <t>VÄSTRA GÖTALANDS LÄN</t>
        </is>
      </c>
      <c r="E2489" t="inlineStr">
        <is>
          <t>TRANEMO</t>
        </is>
      </c>
      <c r="F2489" t="inlineStr">
        <is>
          <t>Sveaskog</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23578-2019</t>
        </is>
      </c>
      <c r="B2490" s="1" t="n">
        <v>43594</v>
      </c>
      <c r="C2490" s="1" t="n">
        <v>45212</v>
      </c>
      <c r="D2490" t="inlineStr">
        <is>
          <t>VÄSTRA GÖTALANDS LÄN</t>
        </is>
      </c>
      <c r="E2490" t="inlineStr">
        <is>
          <t>HÄRRYDA</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23751-2019</t>
        </is>
      </c>
      <c r="B2491" s="1" t="n">
        <v>43595</v>
      </c>
      <c r="C2491" s="1" t="n">
        <v>45212</v>
      </c>
      <c r="D2491" t="inlineStr">
        <is>
          <t>VÄSTRA GÖTALANDS LÄN</t>
        </is>
      </c>
      <c r="E2491" t="inlineStr">
        <is>
          <t>STRÖMSTAD</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23850-2019</t>
        </is>
      </c>
      <c r="B2492" s="1" t="n">
        <v>43595</v>
      </c>
      <c r="C2492" s="1" t="n">
        <v>45212</v>
      </c>
      <c r="D2492" t="inlineStr">
        <is>
          <t>VÄSTRA GÖTALANDS LÄN</t>
        </is>
      </c>
      <c r="E2492" t="inlineStr">
        <is>
          <t>STRÖMSTAD</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23800-2019</t>
        </is>
      </c>
      <c r="B2493" s="1" t="n">
        <v>43595</v>
      </c>
      <c r="C2493" s="1" t="n">
        <v>45212</v>
      </c>
      <c r="D2493" t="inlineStr">
        <is>
          <t>VÄSTRA GÖTALANDS LÄN</t>
        </is>
      </c>
      <c r="E2493" t="inlineStr">
        <is>
          <t>TÖREBODA</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23896-2019</t>
        </is>
      </c>
      <c r="B2494" s="1" t="n">
        <v>43595</v>
      </c>
      <c r="C2494" s="1" t="n">
        <v>45212</v>
      </c>
      <c r="D2494" t="inlineStr">
        <is>
          <t>VÄSTRA GÖTALANDS LÄN</t>
        </is>
      </c>
      <c r="E2494" t="inlineStr">
        <is>
          <t>FALKÖPING</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23747-2019</t>
        </is>
      </c>
      <c r="B2495" s="1" t="n">
        <v>43595</v>
      </c>
      <c r="C2495" s="1" t="n">
        <v>45212</v>
      </c>
      <c r="D2495" t="inlineStr">
        <is>
          <t>VÄSTRA GÖTALANDS LÄN</t>
        </is>
      </c>
      <c r="E2495" t="inlineStr">
        <is>
          <t>STRÖMSTAD</t>
        </is>
      </c>
      <c r="G2495" t="n">
        <v>4</v>
      </c>
      <c r="H2495" t="n">
        <v>0</v>
      </c>
      <c r="I2495" t="n">
        <v>0</v>
      </c>
      <c r="J2495" t="n">
        <v>0</v>
      </c>
      <c r="K2495" t="n">
        <v>0</v>
      </c>
      <c r="L2495" t="n">
        <v>0</v>
      </c>
      <c r="M2495" t="n">
        <v>0</v>
      </c>
      <c r="N2495" t="n">
        <v>0</v>
      </c>
      <c r="O2495" t="n">
        <v>0</v>
      </c>
      <c r="P2495" t="n">
        <v>0</v>
      </c>
      <c r="Q2495" t="n">
        <v>0</v>
      </c>
      <c r="R2495" s="2" t="inlineStr"/>
    </row>
    <row r="2496" ht="15" customHeight="1">
      <c r="A2496" t="inlineStr">
        <is>
          <t>A 23852-2019</t>
        </is>
      </c>
      <c r="B2496" s="1" t="n">
        <v>43595</v>
      </c>
      <c r="C2496" s="1" t="n">
        <v>45212</v>
      </c>
      <c r="D2496" t="inlineStr">
        <is>
          <t>VÄSTRA GÖTALANDS LÄN</t>
        </is>
      </c>
      <c r="E2496" t="inlineStr">
        <is>
          <t>FALKÖPING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23869-2019</t>
        </is>
      </c>
      <c r="B2497" s="1" t="n">
        <v>43595</v>
      </c>
      <c r="C2497" s="1" t="n">
        <v>45212</v>
      </c>
      <c r="D2497" t="inlineStr">
        <is>
          <t>VÄSTRA GÖTALANDS LÄN</t>
        </is>
      </c>
      <c r="E2497" t="inlineStr">
        <is>
          <t>TRANEMO</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23943-2019</t>
        </is>
      </c>
      <c r="B2498" s="1" t="n">
        <v>43596</v>
      </c>
      <c r="C2498" s="1" t="n">
        <v>45212</v>
      </c>
      <c r="D2498" t="inlineStr">
        <is>
          <t>VÄSTRA GÖTALANDS LÄN</t>
        </is>
      </c>
      <c r="E2498" t="inlineStr">
        <is>
          <t>SKÖVDE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23955-2019</t>
        </is>
      </c>
      <c r="B2499" s="1" t="n">
        <v>43597</v>
      </c>
      <c r="C2499" s="1" t="n">
        <v>45212</v>
      </c>
      <c r="D2499" t="inlineStr">
        <is>
          <t>VÄSTRA GÖTALANDS LÄN</t>
        </is>
      </c>
      <c r="E2499" t="inlineStr">
        <is>
          <t>HERRLJUNGA</t>
        </is>
      </c>
      <c r="G2499" t="n">
        <v>16.6</v>
      </c>
      <c r="H2499" t="n">
        <v>0</v>
      </c>
      <c r="I2499" t="n">
        <v>0</v>
      </c>
      <c r="J2499" t="n">
        <v>0</v>
      </c>
      <c r="K2499" t="n">
        <v>0</v>
      </c>
      <c r="L2499" t="n">
        <v>0</v>
      </c>
      <c r="M2499" t="n">
        <v>0</v>
      </c>
      <c r="N2499" t="n">
        <v>0</v>
      </c>
      <c r="O2499" t="n">
        <v>0</v>
      </c>
      <c r="P2499" t="n">
        <v>0</v>
      </c>
      <c r="Q2499" t="n">
        <v>0</v>
      </c>
      <c r="R2499" s="2" t="inlineStr"/>
    </row>
    <row r="2500" ht="15" customHeight="1">
      <c r="A2500" t="inlineStr">
        <is>
          <t>A 23951-2019</t>
        </is>
      </c>
      <c r="B2500" s="1" t="n">
        <v>43597</v>
      </c>
      <c r="C2500" s="1" t="n">
        <v>45212</v>
      </c>
      <c r="D2500" t="inlineStr">
        <is>
          <t>VÄSTRA GÖTALANDS LÄN</t>
        </is>
      </c>
      <c r="E2500" t="inlineStr">
        <is>
          <t>ESSUNGA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24145-2019</t>
        </is>
      </c>
      <c r="B2501" s="1" t="n">
        <v>43598</v>
      </c>
      <c r="C2501" s="1" t="n">
        <v>45212</v>
      </c>
      <c r="D2501" t="inlineStr">
        <is>
          <t>VÄSTRA GÖTALANDS LÄN</t>
        </is>
      </c>
      <c r="E2501" t="inlineStr">
        <is>
          <t>BORÅS</t>
        </is>
      </c>
      <c r="F2501" t="inlineStr">
        <is>
          <t>Kyrkan</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24150-2019</t>
        </is>
      </c>
      <c r="B2502" s="1" t="n">
        <v>43598</v>
      </c>
      <c r="C2502" s="1" t="n">
        <v>45212</v>
      </c>
      <c r="D2502" t="inlineStr">
        <is>
          <t>VÄSTRA GÖTALANDS LÄN</t>
        </is>
      </c>
      <c r="E2502" t="inlineStr">
        <is>
          <t>BORÅS</t>
        </is>
      </c>
      <c r="G2502" t="n">
        <v>4.9</v>
      </c>
      <c r="H2502" t="n">
        <v>0</v>
      </c>
      <c r="I2502" t="n">
        <v>0</v>
      </c>
      <c r="J2502" t="n">
        <v>0</v>
      </c>
      <c r="K2502" t="n">
        <v>0</v>
      </c>
      <c r="L2502" t="n">
        <v>0</v>
      </c>
      <c r="M2502" t="n">
        <v>0</v>
      </c>
      <c r="N2502" t="n">
        <v>0</v>
      </c>
      <c r="O2502" t="n">
        <v>0</v>
      </c>
      <c r="P2502" t="n">
        <v>0</v>
      </c>
      <c r="Q2502" t="n">
        <v>0</v>
      </c>
      <c r="R2502" s="2" t="inlineStr"/>
    </row>
    <row r="2503" ht="15" customHeight="1">
      <c r="A2503" t="inlineStr">
        <is>
          <t>A 24045-2019</t>
        </is>
      </c>
      <c r="B2503" s="1" t="n">
        <v>43598</v>
      </c>
      <c r="C2503" s="1" t="n">
        <v>45212</v>
      </c>
      <c r="D2503" t="inlineStr">
        <is>
          <t>VÄSTRA GÖTALANDS LÄN</t>
        </is>
      </c>
      <c r="E2503" t="inlineStr">
        <is>
          <t>UDDEVALLA</t>
        </is>
      </c>
      <c r="G2503" t="n">
        <v>4.8</v>
      </c>
      <c r="H2503" t="n">
        <v>0</v>
      </c>
      <c r="I2503" t="n">
        <v>0</v>
      </c>
      <c r="J2503" t="n">
        <v>0</v>
      </c>
      <c r="K2503" t="n">
        <v>0</v>
      </c>
      <c r="L2503" t="n">
        <v>0</v>
      </c>
      <c r="M2503" t="n">
        <v>0</v>
      </c>
      <c r="N2503" t="n">
        <v>0</v>
      </c>
      <c r="O2503" t="n">
        <v>0</v>
      </c>
      <c r="P2503" t="n">
        <v>0</v>
      </c>
      <c r="Q2503" t="n">
        <v>0</v>
      </c>
      <c r="R2503" s="2" t="inlineStr"/>
    </row>
    <row r="2504" ht="15" customHeight="1">
      <c r="A2504" t="inlineStr">
        <is>
          <t>A 24050-2019</t>
        </is>
      </c>
      <c r="B2504" s="1" t="n">
        <v>43598</v>
      </c>
      <c r="C2504" s="1" t="n">
        <v>45212</v>
      </c>
      <c r="D2504" t="inlineStr">
        <is>
          <t>VÄSTRA GÖTALANDS LÄN</t>
        </is>
      </c>
      <c r="E2504" t="inlineStr">
        <is>
          <t>UDDEVALLA</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24121-2019</t>
        </is>
      </c>
      <c r="B2505" s="1" t="n">
        <v>43598</v>
      </c>
      <c r="C2505" s="1" t="n">
        <v>45212</v>
      </c>
      <c r="D2505" t="inlineStr">
        <is>
          <t>VÄSTRA GÖTALANDS LÄN</t>
        </is>
      </c>
      <c r="E2505" t="inlineStr">
        <is>
          <t>MARIESTAD</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24140-2019</t>
        </is>
      </c>
      <c r="B2506" s="1" t="n">
        <v>43598</v>
      </c>
      <c r="C2506" s="1" t="n">
        <v>45212</v>
      </c>
      <c r="D2506" t="inlineStr">
        <is>
          <t>VÄSTRA GÖTALANDS LÄN</t>
        </is>
      </c>
      <c r="E2506" t="inlineStr">
        <is>
          <t>BORÅS</t>
        </is>
      </c>
      <c r="F2506" t="inlineStr">
        <is>
          <t>Kyrkan</t>
        </is>
      </c>
      <c r="G2506" t="n">
        <v>3.9</v>
      </c>
      <c r="H2506" t="n">
        <v>0</v>
      </c>
      <c r="I2506" t="n">
        <v>0</v>
      </c>
      <c r="J2506" t="n">
        <v>0</v>
      </c>
      <c r="K2506" t="n">
        <v>0</v>
      </c>
      <c r="L2506" t="n">
        <v>0</v>
      </c>
      <c r="M2506" t="n">
        <v>0</v>
      </c>
      <c r="N2506" t="n">
        <v>0</v>
      </c>
      <c r="O2506" t="n">
        <v>0</v>
      </c>
      <c r="P2506" t="n">
        <v>0</v>
      </c>
      <c r="Q2506" t="n">
        <v>0</v>
      </c>
      <c r="R2506" s="2" t="inlineStr"/>
    </row>
    <row r="2507" ht="15" customHeight="1">
      <c r="A2507" t="inlineStr">
        <is>
          <t>A 24149-2019</t>
        </is>
      </c>
      <c r="B2507" s="1" t="n">
        <v>43598</v>
      </c>
      <c r="C2507" s="1" t="n">
        <v>45212</v>
      </c>
      <c r="D2507" t="inlineStr">
        <is>
          <t>VÄSTRA GÖTALANDS LÄN</t>
        </is>
      </c>
      <c r="E2507" t="inlineStr">
        <is>
          <t>BORÅS</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24026-2019</t>
        </is>
      </c>
      <c r="B2508" s="1" t="n">
        <v>43598</v>
      </c>
      <c r="C2508" s="1" t="n">
        <v>45212</v>
      </c>
      <c r="D2508" t="inlineStr">
        <is>
          <t>VÄSTRA GÖTALANDS LÄN</t>
        </is>
      </c>
      <c r="E2508" t="inlineStr">
        <is>
          <t>UDDEVALLA</t>
        </is>
      </c>
      <c r="G2508" t="n">
        <v>6.6</v>
      </c>
      <c r="H2508" t="n">
        <v>0</v>
      </c>
      <c r="I2508" t="n">
        <v>0</v>
      </c>
      <c r="J2508" t="n">
        <v>0</v>
      </c>
      <c r="K2508" t="n">
        <v>0</v>
      </c>
      <c r="L2508" t="n">
        <v>0</v>
      </c>
      <c r="M2508" t="n">
        <v>0</v>
      </c>
      <c r="N2508" t="n">
        <v>0</v>
      </c>
      <c r="O2508" t="n">
        <v>0</v>
      </c>
      <c r="P2508" t="n">
        <v>0</v>
      </c>
      <c r="Q2508" t="n">
        <v>0</v>
      </c>
      <c r="R2508" s="2" t="inlineStr"/>
    </row>
    <row r="2509" ht="15" customHeight="1">
      <c r="A2509" t="inlineStr">
        <is>
          <t>A 24052-2019</t>
        </is>
      </c>
      <c r="B2509" s="1" t="n">
        <v>43598</v>
      </c>
      <c r="C2509" s="1" t="n">
        <v>45212</v>
      </c>
      <c r="D2509" t="inlineStr">
        <is>
          <t>VÄSTRA GÖTALANDS LÄN</t>
        </is>
      </c>
      <c r="E2509" t="inlineStr">
        <is>
          <t>TRANEMO</t>
        </is>
      </c>
      <c r="F2509" t="inlineStr">
        <is>
          <t>Sveaskog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24075-2019</t>
        </is>
      </c>
      <c r="B2510" s="1" t="n">
        <v>43598</v>
      </c>
      <c r="C2510" s="1" t="n">
        <v>45212</v>
      </c>
      <c r="D2510" t="inlineStr">
        <is>
          <t>VÄSTRA GÖTALANDS LÄN</t>
        </is>
      </c>
      <c r="E2510" t="inlineStr">
        <is>
          <t>VÅRGÅRDA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24253-2019</t>
        </is>
      </c>
      <c r="B2511" s="1" t="n">
        <v>43599</v>
      </c>
      <c r="C2511" s="1" t="n">
        <v>45212</v>
      </c>
      <c r="D2511" t="inlineStr">
        <is>
          <t>VÄSTRA GÖTALANDS LÄN</t>
        </is>
      </c>
      <c r="E2511" t="inlineStr">
        <is>
          <t>MARK</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24296-2019</t>
        </is>
      </c>
      <c r="B2512" s="1" t="n">
        <v>43599</v>
      </c>
      <c r="C2512" s="1" t="n">
        <v>45212</v>
      </c>
      <c r="D2512" t="inlineStr">
        <is>
          <t>VÄSTRA GÖTALANDS LÄN</t>
        </is>
      </c>
      <c r="E2512" t="inlineStr">
        <is>
          <t>LIDKÖPING</t>
        </is>
      </c>
      <c r="F2512" t="inlineStr">
        <is>
          <t>Kyrkan</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24319-2019</t>
        </is>
      </c>
      <c r="B2513" s="1" t="n">
        <v>43599</v>
      </c>
      <c r="C2513" s="1" t="n">
        <v>45212</v>
      </c>
      <c r="D2513" t="inlineStr">
        <is>
          <t>VÄSTRA GÖTALANDS LÄN</t>
        </is>
      </c>
      <c r="E2513" t="inlineStr">
        <is>
          <t>SVENLJUNGA</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24338-2019</t>
        </is>
      </c>
      <c r="B2514" s="1" t="n">
        <v>43599</v>
      </c>
      <c r="C2514" s="1" t="n">
        <v>45212</v>
      </c>
      <c r="D2514" t="inlineStr">
        <is>
          <t>VÄSTRA GÖTALANDS LÄN</t>
        </is>
      </c>
      <c r="E2514" t="inlineStr">
        <is>
          <t>SVENLJUNGA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24361-2019</t>
        </is>
      </c>
      <c r="B2515" s="1" t="n">
        <v>43599</v>
      </c>
      <c r="C2515" s="1" t="n">
        <v>45212</v>
      </c>
      <c r="D2515" t="inlineStr">
        <is>
          <t>VÄSTRA GÖTALANDS LÄN</t>
        </is>
      </c>
      <c r="E2515" t="inlineStr">
        <is>
          <t>FÄRGELANDA</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24830-2019</t>
        </is>
      </c>
      <c r="B2516" s="1" t="n">
        <v>43599</v>
      </c>
      <c r="C2516" s="1" t="n">
        <v>45212</v>
      </c>
      <c r="D2516" t="inlineStr">
        <is>
          <t>VÄSTRA GÖTALANDS LÄN</t>
        </is>
      </c>
      <c r="E2516" t="inlineStr">
        <is>
          <t>SVENLJUNGA</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24304-2019</t>
        </is>
      </c>
      <c r="B2517" s="1" t="n">
        <v>43599</v>
      </c>
      <c r="C2517" s="1" t="n">
        <v>45212</v>
      </c>
      <c r="D2517" t="inlineStr">
        <is>
          <t>VÄSTRA GÖTALANDS LÄN</t>
        </is>
      </c>
      <c r="E2517" t="inlineStr">
        <is>
          <t>BENGTSFORS</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24312-2019</t>
        </is>
      </c>
      <c r="B2518" s="1" t="n">
        <v>43599</v>
      </c>
      <c r="C2518" s="1" t="n">
        <v>45212</v>
      </c>
      <c r="D2518" t="inlineStr">
        <is>
          <t>VÄSTRA GÖTALANDS LÄN</t>
        </is>
      </c>
      <c r="E2518" t="inlineStr">
        <is>
          <t>TROLLHÄTTAN</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24205-2019</t>
        </is>
      </c>
      <c r="B2519" s="1" t="n">
        <v>43599</v>
      </c>
      <c r="C2519" s="1" t="n">
        <v>45212</v>
      </c>
      <c r="D2519" t="inlineStr">
        <is>
          <t>VÄSTRA GÖTALANDS LÄN</t>
        </is>
      </c>
      <c r="E2519" t="inlineStr">
        <is>
          <t>ALINGSÅS</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24384-2019</t>
        </is>
      </c>
      <c r="B2520" s="1" t="n">
        <v>43599</v>
      </c>
      <c r="C2520" s="1" t="n">
        <v>45212</v>
      </c>
      <c r="D2520" t="inlineStr">
        <is>
          <t>VÄSTRA GÖTALANDS LÄN</t>
        </is>
      </c>
      <c r="E2520" t="inlineStr">
        <is>
          <t>TRANEMO</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24883-2019</t>
        </is>
      </c>
      <c r="B2521" s="1" t="n">
        <v>43599</v>
      </c>
      <c r="C2521" s="1" t="n">
        <v>45212</v>
      </c>
      <c r="D2521" t="inlineStr">
        <is>
          <t>VÄSTRA GÖTALANDS LÄN</t>
        </is>
      </c>
      <c r="E2521" t="inlineStr">
        <is>
          <t>TANUM</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24927-2019</t>
        </is>
      </c>
      <c r="B2522" s="1" t="n">
        <v>43599</v>
      </c>
      <c r="C2522" s="1" t="n">
        <v>45212</v>
      </c>
      <c r="D2522" t="inlineStr">
        <is>
          <t>VÄSTRA GÖTALANDS LÄN</t>
        </is>
      </c>
      <c r="E2522" t="inlineStr">
        <is>
          <t>LIDKÖPING</t>
        </is>
      </c>
      <c r="G2522" t="n">
        <v>4.3</v>
      </c>
      <c r="H2522" t="n">
        <v>0</v>
      </c>
      <c r="I2522" t="n">
        <v>0</v>
      </c>
      <c r="J2522" t="n">
        <v>0</v>
      </c>
      <c r="K2522" t="n">
        <v>0</v>
      </c>
      <c r="L2522" t="n">
        <v>0</v>
      </c>
      <c r="M2522" t="n">
        <v>0</v>
      </c>
      <c r="N2522" t="n">
        <v>0</v>
      </c>
      <c r="O2522" t="n">
        <v>0</v>
      </c>
      <c r="P2522" t="n">
        <v>0</v>
      </c>
      <c r="Q2522" t="n">
        <v>0</v>
      </c>
      <c r="R2522" s="2" t="inlineStr"/>
    </row>
    <row r="2523" ht="15" customHeight="1">
      <c r="A2523" t="inlineStr">
        <is>
          <t>A 24214-2019</t>
        </is>
      </c>
      <c r="B2523" s="1" t="n">
        <v>43599</v>
      </c>
      <c r="C2523" s="1" t="n">
        <v>45212</v>
      </c>
      <c r="D2523" t="inlineStr">
        <is>
          <t>VÄSTRA GÖTALANDS LÄN</t>
        </is>
      </c>
      <c r="E2523" t="inlineStr">
        <is>
          <t>VARA</t>
        </is>
      </c>
      <c r="G2523" t="n">
        <v>3.8</v>
      </c>
      <c r="H2523" t="n">
        <v>0</v>
      </c>
      <c r="I2523" t="n">
        <v>0</v>
      </c>
      <c r="J2523" t="n">
        <v>0</v>
      </c>
      <c r="K2523" t="n">
        <v>0</v>
      </c>
      <c r="L2523" t="n">
        <v>0</v>
      </c>
      <c r="M2523" t="n">
        <v>0</v>
      </c>
      <c r="N2523" t="n">
        <v>0</v>
      </c>
      <c r="O2523" t="n">
        <v>0</v>
      </c>
      <c r="P2523" t="n">
        <v>0</v>
      </c>
      <c r="Q2523" t="n">
        <v>0</v>
      </c>
      <c r="R2523" s="2" t="inlineStr"/>
    </row>
    <row r="2524" ht="15" customHeight="1">
      <c r="A2524" t="inlineStr">
        <is>
          <t>A 24331-2019</t>
        </is>
      </c>
      <c r="B2524" s="1" t="n">
        <v>43599</v>
      </c>
      <c r="C2524" s="1" t="n">
        <v>45212</v>
      </c>
      <c r="D2524" t="inlineStr">
        <is>
          <t>VÄSTRA GÖTALANDS LÄN</t>
        </is>
      </c>
      <c r="E2524" t="inlineStr">
        <is>
          <t>SVENLJUNGA</t>
        </is>
      </c>
      <c r="G2524" t="n">
        <v>3.2</v>
      </c>
      <c r="H2524" t="n">
        <v>0</v>
      </c>
      <c r="I2524" t="n">
        <v>0</v>
      </c>
      <c r="J2524" t="n">
        <v>0</v>
      </c>
      <c r="K2524" t="n">
        <v>0</v>
      </c>
      <c r="L2524" t="n">
        <v>0</v>
      </c>
      <c r="M2524" t="n">
        <v>0</v>
      </c>
      <c r="N2524" t="n">
        <v>0</v>
      </c>
      <c r="O2524" t="n">
        <v>0</v>
      </c>
      <c r="P2524" t="n">
        <v>0</v>
      </c>
      <c r="Q2524" t="n">
        <v>0</v>
      </c>
      <c r="R2524" s="2" t="inlineStr"/>
    </row>
    <row r="2525" ht="15" customHeight="1">
      <c r="A2525" t="inlineStr">
        <is>
          <t>A 24385-2019</t>
        </is>
      </c>
      <c r="B2525" s="1" t="n">
        <v>43599</v>
      </c>
      <c r="C2525" s="1" t="n">
        <v>45212</v>
      </c>
      <c r="D2525" t="inlineStr">
        <is>
          <t>VÄSTRA GÖTALANDS LÄN</t>
        </is>
      </c>
      <c r="E2525" t="inlineStr">
        <is>
          <t>TRANEMO</t>
        </is>
      </c>
      <c r="G2525" t="n">
        <v>3.9</v>
      </c>
      <c r="H2525" t="n">
        <v>0</v>
      </c>
      <c r="I2525" t="n">
        <v>0</v>
      </c>
      <c r="J2525" t="n">
        <v>0</v>
      </c>
      <c r="K2525" t="n">
        <v>0</v>
      </c>
      <c r="L2525" t="n">
        <v>0</v>
      </c>
      <c r="M2525" t="n">
        <v>0</v>
      </c>
      <c r="N2525" t="n">
        <v>0</v>
      </c>
      <c r="O2525" t="n">
        <v>0</v>
      </c>
      <c r="P2525" t="n">
        <v>0</v>
      </c>
      <c r="Q2525" t="n">
        <v>0</v>
      </c>
      <c r="R2525" s="2" t="inlineStr"/>
    </row>
    <row r="2526" ht="15" customHeight="1">
      <c r="A2526" t="inlineStr">
        <is>
          <t>A 24494-2019</t>
        </is>
      </c>
      <c r="B2526" s="1" t="n">
        <v>43600</v>
      </c>
      <c r="C2526" s="1" t="n">
        <v>45212</v>
      </c>
      <c r="D2526" t="inlineStr">
        <is>
          <t>VÄSTRA GÖTALANDS LÄN</t>
        </is>
      </c>
      <c r="E2526" t="inlineStr">
        <is>
          <t>VARA</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24464-2019</t>
        </is>
      </c>
      <c r="B2527" s="1" t="n">
        <v>43600</v>
      </c>
      <c r="C2527" s="1" t="n">
        <v>45212</v>
      </c>
      <c r="D2527" t="inlineStr">
        <is>
          <t>VÄSTRA GÖTALANDS LÄN</t>
        </is>
      </c>
      <c r="E2527" t="inlineStr">
        <is>
          <t>ÅMÅL</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24507-2019</t>
        </is>
      </c>
      <c r="B2528" s="1" t="n">
        <v>43600</v>
      </c>
      <c r="C2528" s="1" t="n">
        <v>45212</v>
      </c>
      <c r="D2528" t="inlineStr">
        <is>
          <t>VÄSTRA GÖTALANDS LÄN</t>
        </is>
      </c>
      <c r="E2528" t="inlineStr">
        <is>
          <t>SKARA</t>
        </is>
      </c>
      <c r="F2528" t="inlineStr">
        <is>
          <t>Kyrkan</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24545-2019</t>
        </is>
      </c>
      <c r="B2529" s="1" t="n">
        <v>43600</v>
      </c>
      <c r="C2529" s="1" t="n">
        <v>45212</v>
      </c>
      <c r="D2529" t="inlineStr">
        <is>
          <t>VÄSTRA GÖTALANDS LÄN</t>
        </is>
      </c>
      <c r="E2529" t="inlineStr">
        <is>
          <t>SKARA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24458-2019</t>
        </is>
      </c>
      <c r="B2530" s="1" t="n">
        <v>43600</v>
      </c>
      <c r="C2530" s="1" t="n">
        <v>45212</v>
      </c>
      <c r="D2530" t="inlineStr">
        <is>
          <t>VÄSTRA GÖTALANDS LÄN</t>
        </is>
      </c>
      <c r="E2530" t="inlineStr">
        <is>
          <t>TROLLHÄTTAN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24652-2019</t>
        </is>
      </c>
      <c r="B2531" s="1" t="n">
        <v>43601</v>
      </c>
      <c r="C2531" s="1" t="n">
        <v>45212</v>
      </c>
      <c r="D2531" t="inlineStr">
        <is>
          <t>VÄSTRA GÖTALANDS LÄN</t>
        </is>
      </c>
      <c r="E2531" t="inlineStr">
        <is>
          <t>ULRICEHAMN</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25595-2019</t>
        </is>
      </c>
      <c r="B2532" s="1" t="n">
        <v>43601</v>
      </c>
      <c r="C2532" s="1" t="n">
        <v>45212</v>
      </c>
      <c r="D2532" t="inlineStr">
        <is>
          <t>VÄSTRA GÖTALANDS LÄN</t>
        </is>
      </c>
      <c r="E2532" t="inlineStr">
        <is>
          <t>BENGTSFORS</t>
        </is>
      </c>
      <c r="F2532" t="inlineStr">
        <is>
          <t>Kyrkan</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24653-2019</t>
        </is>
      </c>
      <c r="B2533" s="1" t="n">
        <v>43601</v>
      </c>
      <c r="C2533" s="1" t="n">
        <v>45212</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24675-2019</t>
        </is>
      </c>
      <c r="B2534" s="1" t="n">
        <v>43601</v>
      </c>
      <c r="C2534" s="1" t="n">
        <v>45212</v>
      </c>
      <c r="D2534" t="inlineStr">
        <is>
          <t>VÄSTRA GÖTALANDS LÄN</t>
        </is>
      </c>
      <c r="E2534" t="inlineStr">
        <is>
          <t>TROLLHÄTTAN</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24681-2019</t>
        </is>
      </c>
      <c r="B2535" s="1" t="n">
        <v>43601</v>
      </c>
      <c r="C2535" s="1" t="n">
        <v>45212</v>
      </c>
      <c r="D2535" t="inlineStr">
        <is>
          <t>VÄSTRA GÖTALANDS LÄN</t>
        </is>
      </c>
      <c r="E2535" t="inlineStr">
        <is>
          <t>UDDEVALLA</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24596-2019</t>
        </is>
      </c>
      <c r="B2536" s="1" t="n">
        <v>43601</v>
      </c>
      <c r="C2536" s="1" t="n">
        <v>45212</v>
      </c>
      <c r="D2536" t="inlineStr">
        <is>
          <t>VÄSTRA GÖTALANDS LÄN</t>
        </is>
      </c>
      <c r="E2536" t="inlineStr">
        <is>
          <t>MARK</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24618-2019</t>
        </is>
      </c>
      <c r="B2537" s="1" t="n">
        <v>43601</v>
      </c>
      <c r="C2537" s="1" t="n">
        <v>45212</v>
      </c>
      <c r="D2537" t="inlineStr">
        <is>
          <t>VÄSTRA GÖTALANDS LÄN</t>
        </is>
      </c>
      <c r="E2537" t="inlineStr">
        <is>
          <t>TRANEMO</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24731-2019</t>
        </is>
      </c>
      <c r="B2538" s="1" t="n">
        <v>43601</v>
      </c>
      <c r="C2538" s="1" t="n">
        <v>45212</v>
      </c>
      <c r="D2538" t="inlineStr">
        <is>
          <t>VÄSTRA GÖTALANDS LÄN</t>
        </is>
      </c>
      <c r="E2538" t="inlineStr">
        <is>
          <t>TIDAHOLM</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25454-2019</t>
        </is>
      </c>
      <c r="B2539" s="1" t="n">
        <v>43601</v>
      </c>
      <c r="C2539" s="1" t="n">
        <v>45212</v>
      </c>
      <c r="D2539" t="inlineStr">
        <is>
          <t>VÄSTRA GÖTALANDS LÄN</t>
        </is>
      </c>
      <c r="E2539" t="inlineStr">
        <is>
          <t>BORÅS</t>
        </is>
      </c>
      <c r="F2539" t="inlineStr">
        <is>
          <t>Kommuner</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24951-2019</t>
        </is>
      </c>
      <c r="B2540" s="1" t="n">
        <v>43602</v>
      </c>
      <c r="C2540" s="1" t="n">
        <v>45212</v>
      </c>
      <c r="D2540" t="inlineStr">
        <is>
          <t>VÄSTRA GÖTALANDS LÄN</t>
        </is>
      </c>
      <c r="E2540" t="inlineStr">
        <is>
          <t>MELLERUD</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25646-2019</t>
        </is>
      </c>
      <c r="B2541" s="1" t="n">
        <v>43602</v>
      </c>
      <c r="C2541" s="1" t="n">
        <v>45212</v>
      </c>
      <c r="D2541" t="inlineStr">
        <is>
          <t>VÄSTRA GÖTALANDS LÄN</t>
        </is>
      </c>
      <c r="E2541" t="inlineStr">
        <is>
          <t>ALINGSÅS</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24869-2019</t>
        </is>
      </c>
      <c r="B2542" s="1" t="n">
        <v>43602</v>
      </c>
      <c r="C2542" s="1" t="n">
        <v>45212</v>
      </c>
      <c r="D2542" t="inlineStr">
        <is>
          <t>VÄSTRA GÖTALANDS LÄN</t>
        </is>
      </c>
      <c r="E2542" t="inlineStr">
        <is>
          <t>ESSUNGA</t>
        </is>
      </c>
      <c r="G2542" t="n">
        <v>7.1</v>
      </c>
      <c r="H2542" t="n">
        <v>0</v>
      </c>
      <c r="I2542" t="n">
        <v>0</v>
      </c>
      <c r="J2542" t="n">
        <v>0</v>
      </c>
      <c r="K2542" t="n">
        <v>0</v>
      </c>
      <c r="L2542" t="n">
        <v>0</v>
      </c>
      <c r="M2542" t="n">
        <v>0</v>
      </c>
      <c r="N2542" t="n">
        <v>0</v>
      </c>
      <c r="O2542" t="n">
        <v>0</v>
      </c>
      <c r="P2542" t="n">
        <v>0</v>
      </c>
      <c r="Q2542" t="n">
        <v>0</v>
      </c>
      <c r="R2542" s="2" t="inlineStr"/>
    </row>
    <row r="2543" ht="15" customHeight="1">
      <c r="A2543" t="inlineStr">
        <is>
          <t>A 24956-2019</t>
        </is>
      </c>
      <c r="B2543" s="1" t="n">
        <v>43602</v>
      </c>
      <c r="C2543" s="1" t="n">
        <v>45212</v>
      </c>
      <c r="D2543" t="inlineStr">
        <is>
          <t>VÄSTRA GÖTALANDS LÄN</t>
        </is>
      </c>
      <c r="E2543" t="inlineStr">
        <is>
          <t>VÄNERSBORG</t>
        </is>
      </c>
      <c r="G2543" t="n">
        <v>0.2</v>
      </c>
      <c r="H2543" t="n">
        <v>0</v>
      </c>
      <c r="I2543" t="n">
        <v>0</v>
      </c>
      <c r="J2543" t="n">
        <v>0</v>
      </c>
      <c r="K2543" t="n">
        <v>0</v>
      </c>
      <c r="L2543" t="n">
        <v>0</v>
      </c>
      <c r="M2543" t="n">
        <v>0</v>
      </c>
      <c r="N2543" t="n">
        <v>0</v>
      </c>
      <c r="O2543" t="n">
        <v>0</v>
      </c>
      <c r="P2543" t="n">
        <v>0</v>
      </c>
      <c r="Q2543" t="n">
        <v>0</v>
      </c>
      <c r="R2543" s="2" t="inlineStr"/>
    </row>
    <row r="2544" ht="15" customHeight="1">
      <c r="A2544" t="inlineStr">
        <is>
          <t>A 25649-2019</t>
        </is>
      </c>
      <c r="B2544" s="1" t="n">
        <v>43602</v>
      </c>
      <c r="C2544" s="1" t="n">
        <v>45212</v>
      </c>
      <c r="D2544" t="inlineStr">
        <is>
          <t>VÄSTRA GÖTALANDS LÄN</t>
        </is>
      </c>
      <c r="E2544" t="inlineStr">
        <is>
          <t>ALINGSÅS</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24880-2019</t>
        </is>
      </c>
      <c r="B2545" s="1" t="n">
        <v>43602</v>
      </c>
      <c r="C2545" s="1" t="n">
        <v>45212</v>
      </c>
      <c r="D2545" t="inlineStr">
        <is>
          <t>VÄSTRA GÖTALANDS LÄN</t>
        </is>
      </c>
      <c r="E2545" t="inlineStr">
        <is>
          <t>ULRICEHAMN</t>
        </is>
      </c>
      <c r="G2545" t="n">
        <v>3.1</v>
      </c>
      <c r="H2545" t="n">
        <v>0</v>
      </c>
      <c r="I2545" t="n">
        <v>0</v>
      </c>
      <c r="J2545" t="n">
        <v>0</v>
      </c>
      <c r="K2545" t="n">
        <v>0</v>
      </c>
      <c r="L2545" t="n">
        <v>0</v>
      </c>
      <c r="M2545" t="n">
        <v>0</v>
      </c>
      <c r="N2545" t="n">
        <v>0</v>
      </c>
      <c r="O2545" t="n">
        <v>0</v>
      </c>
      <c r="P2545" t="n">
        <v>0</v>
      </c>
      <c r="Q2545" t="n">
        <v>0</v>
      </c>
      <c r="R2545" s="2" t="inlineStr"/>
    </row>
    <row r="2546" ht="15" customHeight="1">
      <c r="A2546" t="inlineStr">
        <is>
          <t>A 24962-2019</t>
        </is>
      </c>
      <c r="B2546" s="1" t="n">
        <v>43602</v>
      </c>
      <c r="C2546" s="1" t="n">
        <v>45212</v>
      </c>
      <c r="D2546" t="inlineStr">
        <is>
          <t>VÄSTRA GÖTALANDS LÄN</t>
        </is>
      </c>
      <c r="E2546" t="inlineStr">
        <is>
          <t>VÄNERSBORG</t>
        </is>
      </c>
      <c r="G2546" t="n">
        <v>0.1</v>
      </c>
      <c r="H2546" t="n">
        <v>0</v>
      </c>
      <c r="I2546" t="n">
        <v>0</v>
      </c>
      <c r="J2546" t="n">
        <v>0</v>
      </c>
      <c r="K2546" t="n">
        <v>0</v>
      </c>
      <c r="L2546" t="n">
        <v>0</v>
      </c>
      <c r="M2546" t="n">
        <v>0</v>
      </c>
      <c r="N2546" t="n">
        <v>0</v>
      </c>
      <c r="O2546" t="n">
        <v>0</v>
      </c>
      <c r="P2546" t="n">
        <v>0</v>
      </c>
      <c r="Q2546" t="n">
        <v>0</v>
      </c>
      <c r="R2546" s="2" t="inlineStr"/>
    </row>
    <row r="2547" ht="15" customHeight="1">
      <c r="A2547" t="inlineStr">
        <is>
          <t>A 25058-2019</t>
        </is>
      </c>
      <c r="B2547" s="1" t="n">
        <v>43604</v>
      </c>
      <c r="C2547" s="1" t="n">
        <v>45212</v>
      </c>
      <c r="D2547" t="inlineStr">
        <is>
          <t>VÄSTRA GÖTALANDS LÄN</t>
        </is>
      </c>
      <c r="E2547" t="inlineStr">
        <is>
          <t>FALKÖPING</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25057-2019</t>
        </is>
      </c>
      <c r="B2548" s="1" t="n">
        <v>43604</v>
      </c>
      <c r="C2548" s="1" t="n">
        <v>45212</v>
      </c>
      <c r="D2548" t="inlineStr">
        <is>
          <t>VÄSTRA GÖTALANDS LÄN</t>
        </is>
      </c>
      <c r="E2548" t="inlineStr">
        <is>
          <t>FALKÖPING</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25156-2019</t>
        </is>
      </c>
      <c r="B2549" s="1" t="n">
        <v>43605</v>
      </c>
      <c r="C2549" s="1" t="n">
        <v>45212</v>
      </c>
      <c r="D2549" t="inlineStr">
        <is>
          <t>VÄSTRA GÖTALANDS LÄN</t>
        </is>
      </c>
      <c r="E2549" t="inlineStr">
        <is>
          <t>VARA</t>
        </is>
      </c>
      <c r="G2549" t="n">
        <v>0.2</v>
      </c>
      <c r="H2549" t="n">
        <v>0</v>
      </c>
      <c r="I2549" t="n">
        <v>0</v>
      </c>
      <c r="J2549" t="n">
        <v>0</v>
      </c>
      <c r="K2549" t="n">
        <v>0</v>
      </c>
      <c r="L2549" t="n">
        <v>0</v>
      </c>
      <c r="M2549" t="n">
        <v>0</v>
      </c>
      <c r="N2549" t="n">
        <v>0</v>
      </c>
      <c r="O2549" t="n">
        <v>0</v>
      </c>
      <c r="P2549" t="n">
        <v>0</v>
      </c>
      <c r="Q2549" t="n">
        <v>0</v>
      </c>
      <c r="R2549" s="2" t="inlineStr"/>
    </row>
    <row r="2550" ht="15" customHeight="1">
      <c r="A2550" t="inlineStr">
        <is>
          <t>A 25268-2019</t>
        </is>
      </c>
      <c r="B2550" s="1" t="n">
        <v>43605</v>
      </c>
      <c r="C2550" s="1" t="n">
        <v>45212</v>
      </c>
      <c r="D2550" t="inlineStr">
        <is>
          <t>VÄSTRA GÖTALANDS LÄN</t>
        </is>
      </c>
      <c r="E2550" t="inlineStr">
        <is>
          <t>TANUM</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25276-2019</t>
        </is>
      </c>
      <c r="B2551" s="1" t="n">
        <v>43605</v>
      </c>
      <c r="C2551" s="1" t="n">
        <v>45212</v>
      </c>
      <c r="D2551" t="inlineStr">
        <is>
          <t>VÄSTRA GÖTALANDS LÄN</t>
        </is>
      </c>
      <c r="E2551" t="inlineStr">
        <is>
          <t>TANUM</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25183-2019</t>
        </is>
      </c>
      <c r="B2552" s="1" t="n">
        <v>43605</v>
      </c>
      <c r="C2552" s="1" t="n">
        <v>45212</v>
      </c>
      <c r="D2552" t="inlineStr">
        <is>
          <t>VÄSTRA GÖTALANDS LÄN</t>
        </is>
      </c>
      <c r="E2552" t="inlineStr">
        <is>
          <t>FALKÖPING</t>
        </is>
      </c>
      <c r="F2552" t="inlineStr">
        <is>
          <t>Kyrkan</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25225-2019</t>
        </is>
      </c>
      <c r="B2553" s="1" t="n">
        <v>43605</v>
      </c>
      <c r="C2553" s="1" t="n">
        <v>45212</v>
      </c>
      <c r="D2553" t="inlineStr">
        <is>
          <t>VÄSTRA GÖTALANDS LÄN</t>
        </is>
      </c>
      <c r="E2553" t="inlineStr">
        <is>
          <t>STRÖMSTAD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25247-2019</t>
        </is>
      </c>
      <c r="B2554" s="1" t="n">
        <v>43605</v>
      </c>
      <c r="C2554" s="1" t="n">
        <v>45212</v>
      </c>
      <c r="D2554" t="inlineStr">
        <is>
          <t>VÄSTRA GÖTALANDS LÄN</t>
        </is>
      </c>
      <c r="E2554" t="inlineStr">
        <is>
          <t>ULRICEHAMN</t>
        </is>
      </c>
      <c r="F2554" t="inlineStr">
        <is>
          <t>Kommuner</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25177-2019</t>
        </is>
      </c>
      <c r="B2555" s="1" t="n">
        <v>43605</v>
      </c>
      <c r="C2555" s="1" t="n">
        <v>45212</v>
      </c>
      <c r="D2555" t="inlineStr">
        <is>
          <t>VÄSTRA GÖTALANDS LÄN</t>
        </is>
      </c>
      <c r="E2555" t="inlineStr">
        <is>
          <t>VARA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25302-2019</t>
        </is>
      </c>
      <c r="B2556" s="1" t="n">
        <v>43605</v>
      </c>
      <c r="C2556" s="1" t="n">
        <v>45212</v>
      </c>
      <c r="D2556" t="inlineStr">
        <is>
          <t>VÄSTRA GÖTALANDS LÄN</t>
        </is>
      </c>
      <c r="E2556" t="inlineStr">
        <is>
          <t>TANUM</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25161-2019</t>
        </is>
      </c>
      <c r="B2557" s="1" t="n">
        <v>43605</v>
      </c>
      <c r="C2557" s="1" t="n">
        <v>45212</v>
      </c>
      <c r="D2557" t="inlineStr">
        <is>
          <t>VÄSTRA GÖTALANDS LÄN</t>
        </is>
      </c>
      <c r="E2557" t="inlineStr">
        <is>
          <t>MARIESTAD</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25237-2019</t>
        </is>
      </c>
      <c r="B2558" s="1" t="n">
        <v>43605</v>
      </c>
      <c r="C2558" s="1" t="n">
        <v>45212</v>
      </c>
      <c r="D2558" t="inlineStr">
        <is>
          <t>VÄSTRA GÖTALANDS LÄN</t>
        </is>
      </c>
      <c r="E2558" t="inlineStr">
        <is>
          <t>VÅRGÅRDA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25369-2019</t>
        </is>
      </c>
      <c r="B2559" s="1" t="n">
        <v>43606</v>
      </c>
      <c r="C2559" s="1" t="n">
        <v>45212</v>
      </c>
      <c r="D2559" t="inlineStr">
        <is>
          <t>VÄSTRA GÖTALANDS LÄN</t>
        </is>
      </c>
      <c r="E2559" t="inlineStr">
        <is>
          <t>TANUM</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25415-2019</t>
        </is>
      </c>
      <c r="B2560" s="1" t="n">
        <v>43606</v>
      </c>
      <c r="C2560" s="1" t="n">
        <v>45212</v>
      </c>
      <c r="D2560" t="inlineStr">
        <is>
          <t>VÄSTRA GÖTALANDS LÄN</t>
        </is>
      </c>
      <c r="E2560" t="inlineStr">
        <is>
          <t>VÅRGÅRDA</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25531-2019</t>
        </is>
      </c>
      <c r="B2561" s="1" t="n">
        <v>43606</v>
      </c>
      <c r="C2561" s="1" t="n">
        <v>45212</v>
      </c>
      <c r="D2561" t="inlineStr">
        <is>
          <t>VÄSTRA GÖTALANDS LÄN</t>
        </is>
      </c>
      <c r="E2561" t="inlineStr">
        <is>
          <t>TRANEMO</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25359-2019</t>
        </is>
      </c>
      <c r="B2562" s="1" t="n">
        <v>43606</v>
      </c>
      <c r="C2562" s="1" t="n">
        <v>45212</v>
      </c>
      <c r="D2562" t="inlineStr">
        <is>
          <t>VÄSTRA GÖTALANDS LÄN</t>
        </is>
      </c>
      <c r="E2562" t="inlineStr">
        <is>
          <t>LIDKÖPING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25374-2019</t>
        </is>
      </c>
      <c r="B2563" s="1" t="n">
        <v>43606</v>
      </c>
      <c r="C2563" s="1" t="n">
        <v>45212</v>
      </c>
      <c r="D2563" t="inlineStr">
        <is>
          <t>VÄSTRA GÖTALANDS LÄN</t>
        </is>
      </c>
      <c r="E2563" t="inlineStr">
        <is>
          <t>ULRICEHAMN</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26328-2019</t>
        </is>
      </c>
      <c r="B2564" s="1" t="n">
        <v>43606</v>
      </c>
      <c r="C2564" s="1" t="n">
        <v>45212</v>
      </c>
      <c r="D2564" t="inlineStr">
        <is>
          <t>VÄSTRA GÖTALANDS LÄN</t>
        </is>
      </c>
      <c r="E2564" t="inlineStr">
        <is>
          <t>MARK</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26432-2019</t>
        </is>
      </c>
      <c r="B2565" s="1" t="n">
        <v>43606</v>
      </c>
      <c r="C2565" s="1" t="n">
        <v>45212</v>
      </c>
      <c r="D2565" t="inlineStr">
        <is>
          <t>VÄSTRA GÖTALANDS LÄN</t>
        </is>
      </c>
      <c r="E2565" t="inlineStr">
        <is>
          <t>SKARA</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25345-2019</t>
        </is>
      </c>
      <c r="B2566" s="1" t="n">
        <v>43606</v>
      </c>
      <c r="C2566" s="1" t="n">
        <v>45212</v>
      </c>
      <c r="D2566" t="inlineStr">
        <is>
          <t>VÄSTRA GÖTALANDS LÄN</t>
        </is>
      </c>
      <c r="E2566" t="inlineStr">
        <is>
          <t>HÄRRYDA</t>
        </is>
      </c>
      <c r="G2566" t="n">
        <v>10.9</v>
      </c>
      <c r="H2566" t="n">
        <v>0</v>
      </c>
      <c r="I2566" t="n">
        <v>0</v>
      </c>
      <c r="J2566" t="n">
        <v>0</v>
      </c>
      <c r="K2566" t="n">
        <v>0</v>
      </c>
      <c r="L2566" t="n">
        <v>0</v>
      </c>
      <c r="M2566" t="n">
        <v>0</v>
      </c>
      <c r="N2566" t="n">
        <v>0</v>
      </c>
      <c r="O2566" t="n">
        <v>0</v>
      </c>
      <c r="P2566" t="n">
        <v>0</v>
      </c>
      <c r="Q2566" t="n">
        <v>0</v>
      </c>
      <c r="R2566" s="2" t="inlineStr"/>
    </row>
    <row r="2567" ht="15" customHeight="1">
      <c r="A2567" t="inlineStr">
        <is>
          <t>A 25380-2019</t>
        </is>
      </c>
      <c r="B2567" s="1" t="n">
        <v>43606</v>
      </c>
      <c r="C2567" s="1" t="n">
        <v>45212</v>
      </c>
      <c r="D2567" t="inlineStr">
        <is>
          <t>VÄSTRA GÖTALANDS LÄN</t>
        </is>
      </c>
      <c r="E2567" t="inlineStr">
        <is>
          <t>LIDKÖPING</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25411-2019</t>
        </is>
      </c>
      <c r="B2568" s="1" t="n">
        <v>43606</v>
      </c>
      <c r="C2568" s="1" t="n">
        <v>45212</v>
      </c>
      <c r="D2568" t="inlineStr">
        <is>
          <t>VÄSTRA GÖTALANDS LÄN</t>
        </is>
      </c>
      <c r="E2568" t="inlineStr">
        <is>
          <t>ORUST</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25424-2019</t>
        </is>
      </c>
      <c r="B2569" s="1" t="n">
        <v>43606</v>
      </c>
      <c r="C2569" s="1" t="n">
        <v>45212</v>
      </c>
      <c r="D2569" t="inlineStr">
        <is>
          <t>VÄSTRA GÖTALANDS LÄN</t>
        </is>
      </c>
      <c r="E2569" t="inlineStr">
        <is>
          <t>ORUST</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25444-2019</t>
        </is>
      </c>
      <c r="B2570" s="1" t="n">
        <v>43606</v>
      </c>
      <c r="C2570" s="1" t="n">
        <v>45212</v>
      </c>
      <c r="D2570" t="inlineStr">
        <is>
          <t>VÄSTRA GÖTALANDS LÄN</t>
        </is>
      </c>
      <c r="E2570" t="inlineStr">
        <is>
          <t>VÄNERSBORG</t>
        </is>
      </c>
      <c r="G2570" t="n">
        <v>6.8</v>
      </c>
      <c r="H2570" t="n">
        <v>0</v>
      </c>
      <c r="I2570" t="n">
        <v>0</v>
      </c>
      <c r="J2570" t="n">
        <v>0</v>
      </c>
      <c r="K2570" t="n">
        <v>0</v>
      </c>
      <c r="L2570" t="n">
        <v>0</v>
      </c>
      <c r="M2570" t="n">
        <v>0</v>
      </c>
      <c r="N2570" t="n">
        <v>0</v>
      </c>
      <c r="O2570" t="n">
        <v>0</v>
      </c>
      <c r="P2570" t="n">
        <v>0</v>
      </c>
      <c r="Q2570" t="n">
        <v>0</v>
      </c>
      <c r="R2570" s="2" t="inlineStr"/>
    </row>
    <row r="2571" ht="15" customHeight="1">
      <c r="A2571" t="inlineStr">
        <is>
          <t>A 25524-2019</t>
        </is>
      </c>
      <c r="B2571" s="1" t="n">
        <v>43606</v>
      </c>
      <c r="C2571" s="1" t="n">
        <v>45212</v>
      </c>
      <c r="D2571" t="inlineStr">
        <is>
          <t>VÄSTRA GÖTALANDS LÄN</t>
        </is>
      </c>
      <c r="E2571" t="inlineStr">
        <is>
          <t>HJO</t>
        </is>
      </c>
      <c r="G2571" t="n">
        <v>7.7</v>
      </c>
      <c r="H2571" t="n">
        <v>0</v>
      </c>
      <c r="I2571" t="n">
        <v>0</v>
      </c>
      <c r="J2571" t="n">
        <v>0</v>
      </c>
      <c r="K2571" t="n">
        <v>0</v>
      </c>
      <c r="L2571" t="n">
        <v>0</v>
      </c>
      <c r="M2571" t="n">
        <v>0</v>
      </c>
      <c r="N2571" t="n">
        <v>0</v>
      </c>
      <c r="O2571" t="n">
        <v>0</v>
      </c>
      <c r="P2571" t="n">
        <v>0</v>
      </c>
      <c r="Q2571" t="n">
        <v>0</v>
      </c>
      <c r="R2571" s="2" t="inlineStr"/>
    </row>
    <row r="2572" ht="15" customHeight="1">
      <c r="A2572" t="inlineStr">
        <is>
          <t>A 25530-2019</t>
        </is>
      </c>
      <c r="B2572" s="1" t="n">
        <v>43606</v>
      </c>
      <c r="C2572" s="1" t="n">
        <v>45212</v>
      </c>
      <c r="D2572" t="inlineStr">
        <is>
          <t>VÄSTRA GÖTALANDS LÄN</t>
        </is>
      </c>
      <c r="E2572" t="inlineStr">
        <is>
          <t>TRANEMO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26363-2019</t>
        </is>
      </c>
      <c r="B2573" s="1" t="n">
        <v>43606</v>
      </c>
      <c r="C2573" s="1" t="n">
        <v>45212</v>
      </c>
      <c r="D2573" t="inlineStr">
        <is>
          <t>VÄSTRA GÖTALANDS LÄN</t>
        </is>
      </c>
      <c r="E2573" t="inlineStr">
        <is>
          <t>VARA</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25372-2019</t>
        </is>
      </c>
      <c r="B2574" s="1" t="n">
        <v>43606</v>
      </c>
      <c r="C2574" s="1" t="n">
        <v>45212</v>
      </c>
      <c r="D2574" t="inlineStr">
        <is>
          <t>VÄSTRA GÖTALANDS LÄN</t>
        </is>
      </c>
      <c r="E2574" t="inlineStr">
        <is>
          <t>ULRICEHAMN</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25378-2019</t>
        </is>
      </c>
      <c r="B2575" s="1" t="n">
        <v>43606</v>
      </c>
      <c r="C2575" s="1" t="n">
        <v>45212</v>
      </c>
      <c r="D2575" t="inlineStr">
        <is>
          <t>VÄSTRA GÖTALANDS LÄN</t>
        </is>
      </c>
      <c r="E2575" t="inlineStr">
        <is>
          <t>LIDKÖPING</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25417-2019</t>
        </is>
      </c>
      <c r="B2576" s="1" t="n">
        <v>43606</v>
      </c>
      <c r="C2576" s="1" t="n">
        <v>45212</v>
      </c>
      <c r="D2576" t="inlineStr">
        <is>
          <t>VÄSTRA GÖTALANDS LÄN</t>
        </is>
      </c>
      <c r="E2576" t="inlineStr">
        <is>
          <t>BOLLEBYGD</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25505-2019</t>
        </is>
      </c>
      <c r="B2577" s="1" t="n">
        <v>43606</v>
      </c>
      <c r="C2577" s="1" t="n">
        <v>45212</v>
      </c>
      <c r="D2577" t="inlineStr">
        <is>
          <t>VÄSTRA GÖTALANDS LÄN</t>
        </is>
      </c>
      <c r="E2577" t="inlineStr">
        <is>
          <t>ULRICEHAMN</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25532-2019</t>
        </is>
      </c>
      <c r="B2578" s="1" t="n">
        <v>43606</v>
      </c>
      <c r="C2578" s="1" t="n">
        <v>45212</v>
      </c>
      <c r="D2578" t="inlineStr">
        <is>
          <t>VÄSTRA GÖTALANDS LÄN</t>
        </is>
      </c>
      <c r="E2578" t="inlineStr">
        <is>
          <t>TRANEMO</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26324-2019</t>
        </is>
      </c>
      <c r="B2579" s="1" t="n">
        <v>43606</v>
      </c>
      <c r="C2579" s="1" t="n">
        <v>45212</v>
      </c>
      <c r="D2579" t="inlineStr">
        <is>
          <t>VÄSTRA GÖTALANDS LÄN</t>
        </is>
      </c>
      <c r="E2579" t="inlineStr">
        <is>
          <t>MARK</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26425-2019</t>
        </is>
      </c>
      <c r="B2580" s="1" t="n">
        <v>43606</v>
      </c>
      <c r="C2580" s="1" t="n">
        <v>45212</v>
      </c>
      <c r="D2580" t="inlineStr">
        <is>
          <t>VÄSTRA GÖTALANDS LÄN</t>
        </is>
      </c>
      <c r="E2580" t="inlineStr">
        <is>
          <t>LIDKÖPING</t>
        </is>
      </c>
      <c r="F2580" t="inlineStr">
        <is>
          <t>Kommuner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25579-2019</t>
        </is>
      </c>
      <c r="B2581" s="1" t="n">
        <v>43607</v>
      </c>
      <c r="C2581" s="1" t="n">
        <v>45212</v>
      </c>
      <c r="D2581" t="inlineStr">
        <is>
          <t>VÄSTRA GÖTALANDS LÄN</t>
        </is>
      </c>
      <c r="E2581" t="inlineStr">
        <is>
          <t>SKARA</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25605-2019</t>
        </is>
      </c>
      <c r="B2582" s="1" t="n">
        <v>43607</v>
      </c>
      <c r="C2582" s="1" t="n">
        <v>45212</v>
      </c>
      <c r="D2582" t="inlineStr">
        <is>
          <t>VÄSTRA GÖTALANDS LÄN</t>
        </is>
      </c>
      <c r="E2582" t="inlineStr">
        <is>
          <t>FALKÖPING</t>
        </is>
      </c>
      <c r="G2582" t="n">
        <v>4</v>
      </c>
      <c r="H2582" t="n">
        <v>0</v>
      </c>
      <c r="I2582" t="n">
        <v>0</v>
      </c>
      <c r="J2582" t="n">
        <v>0</v>
      </c>
      <c r="K2582" t="n">
        <v>0</v>
      </c>
      <c r="L2582" t="n">
        <v>0</v>
      </c>
      <c r="M2582" t="n">
        <v>0</v>
      </c>
      <c r="N2582" t="n">
        <v>0</v>
      </c>
      <c r="O2582" t="n">
        <v>0</v>
      </c>
      <c r="P2582" t="n">
        <v>0</v>
      </c>
      <c r="Q2582" t="n">
        <v>0</v>
      </c>
      <c r="R2582" s="2" t="inlineStr"/>
    </row>
    <row r="2583" ht="15" customHeight="1">
      <c r="A2583" t="inlineStr">
        <is>
          <t>A 25724-2019</t>
        </is>
      </c>
      <c r="B2583" s="1" t="n">
        <v>43608</v>
      </c>
      <c r="C2583" s="1" t="n">
        <v>45212</v>
      </c>
      <c r="D2583" t="inlineStr">
        <is>
          <t>VÄSTRA GÖTALANDS LÄN</t>
        </is>
      </c>
      <c r="E2583" t="inlineStr">
        <is>
          <t>TRANEMO</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25812-2019</t>
        </is>
      </c>
      <c r="B2584" s="1" t="n">
        <v>43608</v>
      </c>
      <c r="C2584" s="1" t="n">
        <v>45212</v>
      </c>
      <c r="D2584" t="inlineStr">
        <is>
          <t>VÄSTRA GÖTALANDS LÄN</t>
        </is>
      </c>
      <c r="E2584" t="inlineStr">
        <is>
          <t>TANUM</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25837-2019</t>
        </is>
      </c>
      <c r="B2585" s="1" t="n">
        <v>43608</v>
      </c>
      <c r="C2585" s="1" t="n">
        <v>45212</v>
      </c>
      <c r="D2585" t="inlineStr">
        <is>
          <t>VÄSTRA GÖTALANDS LÄN</t>
        </is>
      </c>
      <c r="E2585" t="inlineStr">
        <is>
          <t>TANUM</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25938-2019</t>
        </is>
      </c>
      <c r="B2586" s="1" t="n">
        <v>43608</v>
      </c>
      <c r="C2586" s="1" t="n">
        <v>45212</v>
      </c>
      <c r="D2586" t="inlineStr">
        <is>
          <t>VÄSTRA GÖTALANDS LÄN</t>
        </is>
      </c>
      <c r="E2586" t="inlineStr">
        <is>
          <t>MELLERUD</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25723-2019</t>
        </is>
      </c>
      <c r="B2587" s="1" t="n">
        <v>43608</v>
      </c>
      <c r="C2587" s="1" t="n">
        <v>45212</v>
      </c>
      <c r="D2587" t="inlineStr">
        <is>
          <t>VÄSTRA GÖTALANDS LÄN</t>
        </is>
      </c>
      <c r="E2587" t="inlineStr">
        <is>
          <t>TRANEMO</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25772-2019</t>
        </is>
      </c>
      <c r="B2588" s="1" t="n">
        <v>43608</v>
      </c>
      <c r="C2588" s="1" t="n">
        <v>45212</v>
      </c>
      <c r="D2588" t="inlineStr">
        <is>
          <t>VÄSTRA GÖTALANDS LÄN</t>
        </is>
      </c>
      <c r="E2588" t="inlineStr">
        <is>
          <t>FÄRGELANDA</t>
        </is>
      </c>
      <c r="G2588" t="n">
        <v>12.6</v>
      </c>
      <c r="H2588" t="n">
        <v>0</v>
      </c>
      <c r="I2588" t="n">
        <v>0</v>
      </c>
      <c r="J2588" t="n">
        <v>0</v>
      </c>
      <c r="K2588" t="n">
        <v>0</v>
      </c>
      <c r="L2588" t="n">
        <v>0</v>
      </c>
      <c r="M2588" t="n">
        <v>0</v>
      </c>
      <c r="N2588" t="n">
        <v>0</v>
      </c>
      <c r="O2588" t="n">
        <v>0</v>
      </c>
      <c r="P2588" t="n">
        <v>0</v>
      </c>
      <c r="Q2588" t="n">
        <v>0</v>
      </c>
      <c r="R2588" s="2" t="inlineStr"/>
    </row>
    <row r="2589" ht="15" customHeight="1">
      <c r="A2589" t="inlineStr">
        <is>
          <t>A 25836-2019</t>
        </is>
      </c>
      <c r="B2589" s="1" t="n">
        <v>43608</v>
      </c>
      <c r="C2589" s="1" t="n">
        <v>45212</v>
      </c>
      <c r="D2589" t="inlineStr">
        <is>
          <t>VÄSTRA GÖTALANDS LÄN</t>
        </is>
      </c>
      <c r="E2589" t="inlineStr">
        <is>
          <t>TANUM</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25720-2019</t>
        </is>
      </c>
      <c r="B2590" s="1" t="n">
        <v>43608</v>
      </c>
      <c r="C2590" s="1" t="n">
        <v>45212</v>
      </c>
      <c r="D2590" t="inlineStr">
        <is>
          <t>VÄSTRA GÖTALANDS LÄN</t>
        </is>
      </c>
      <c r="E2590" t="inlineStr">
        <is>
          <t>BORÅS</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25728-2019</t>
        </is>
      </c>
      <c r="B2591" s="1" t="n">
        <v>43608</v>
      </c>
      <c r="C2591" s="1" t="n">
        <v>45212</v>
      </c>
      <c r="D2591" t="inlineStr">
        <is>
          <t>VÄSTRA GÖTALANDS LÄN</t>
        </is>
      </c>
      <c r="E2591" t="inlineStr">
        <is>
          <t>ALINGSÅS</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25785-2019</t>
        </is>
      </c>
      <c r="B2592" s="1" t="n">
        <v>43608</v>
      </c>
      <c r="C2592" s="1" t="n">
        <v>45212</v>
      </c>
      <c r="D2592" t="inlineStr">
        <is>
          <t>VÄSTRA GÖTALANDS LÄN</t>
        </is>
      </c>
      <c r="E2592" t="inlineStr">
        <is>
          <t>ULRICEHAMN</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25726-2019</t>
        </is>
      </c>
      <c r="B2593" s="1" t="n">
        <v>43608</v>
      </c>
      <c r="C2593" s="1" t="n">
        <v>45212</v>
      </c>
      <c r="D2593" t="inlineStr">
        <is>
          <t>VÄSTRA GÖTALANDS LÄN</t>
        </is>
      </c>
      <c r="E2593" t="inlineStr">
        <is>
          <t>TRANEMO</t>
        </is>
      </c>
      <c r="G2593" t="n">
        <v>5.2</v>
      </c>
      <c r="H2593" t="n">
        <v>0</v>
      </c>
      <c r="I2593" t="n">
        <v>0</v>
      </c>
      <c r="J2593" t="n">
        <v>0</v>
      </c>
      <c r="K2593" t="n">
        <v>0</v>
      </c>
      <c r="L2593" t="n">
        <v>0</v>
      </c>
      <c r="M2593" t="n">
        <v>0</v>
      </c>
      <c r="N2593" t="n">
        <v>0</v>
      </c>
      <c r="O2593" t="n">
        <v>0</v>
      </c>
      <c r="P2593" t="n">
        <v>0</v>
      </c>
      <c r="Q2593" t="n">
        <v>0</v>
      </c>
      <c r="R2593" s="2" t="inlineStr"/>
    </row>
    <row r="2594" ht="15" customHeight="1">
      <c r="A2594" t="inlineStr">
        <is>
          <t>A 26915-2019</t>
        </is>
      </c>
      <c r="B2594" s="1" t="n">
        <v>43608</v>
      </c>
      <c r="C2594" s="1" t="n">
        <v>45212</v>
      </c>
      <c r="D2594" t="inlineStr">
        <is>
          <t>VÄSTRA GÖTALANDS LÄN</t>
        </is>
      </c>
      <c r="E2594" t="inlineStr">
        <is>
          <t>LIDKÖPING</t>
        </is>
      </c>
      <c r="F2594" t="inlineStr">
        <is>
          <t>Kommuner</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26168-2019</t>
        </is>
      </c>
      <c r="B2595" s="1" t="n">
        <v>43609</v>
      </c>
      <c r="C2595" s="1" t="n">
        <v>45212</v>
      </c>
      <c r="D2595" t="inlineStr">
        <is>
          <t>VÄSTRA GÖTALANDS LÄN</t>
        </is>
      </c>
      <c r="E2595" t="inlineStr">
        <is>
          <t>GÖTENE</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26228-2019</t>
        </is>
      </c>
      <c r="B2596" s="1" t="n">
        <v>43609</v>
      </c>
      <c r="C2596" s="1" t="n">
        <v>45212</v>
      </c>
      <c r="D2596" t="inlineStr">
        <is>
          <t>VÄSTRA GÖTALANDS LÄN</t>
        </is>
      </c>
      <c r="E2596" t="inlineStr">
        <is>
          <t>SVENLJUNGA</t>
        </is>
      </c>
      <c r="G2596" t="n">
        <v>7.1</v>
      </c>
      <c r="H2596" t="n">
        <v>0</v>
      </c>
      <c r="I2596" t="n">
        <v>0</v>
      </c>
      <c r="J2596" t="n">
        <v>0</v>
      </c>
      <c r="K2596" t="n">
        <v>0</v>
      </c>
      <c r="L2596" t="n">
        <v>0</v>
      </c>
      <c r="M2596" t="n">
        <v>0</v>
      </c>
      <c r="N2596" t="n">
        <v>0</v>
      </c>
      <c r="O2596" t="n">
        <v>0</v>
      </c>
      <c r="P2596" t="n">
        <v>0</v>
      </c>
      <c r="Q2596" t="n">
        <v>0</v>
      </c>
      <c r="R2596" s="2" t="inlineStr"/>
    </row>
    <row r="2597" ht="15" customHeight="1">
      <c r="A2597" t="inlineStr">
        <is>
          <t>A 26093-2019</t>
        </is>
      </c>
      <c r="B2597" s="1" t="n">
        <v>43609</v>
      </c>
      <c r="C2597" s="1" t="n">
        <v>45212</v>
      </c>
      <c r="D2597" t="inlineStr">
        <is>
          <t>VÄSTRA GÖTALANDS LÄN</t>
        </is>
      </c>
      <c r="E2597" t="inlineStr">
        <is>
          <t>FÄRGELANDA</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26975-2019</t>
        </is>
      </c>
      <c r="B2598" s="1" t="n">
        <v>43609</v>
      </c>
      <c r="C2598" s="1" t="n">
        <v>45212</v>
      </c>
      <c r="D2598" t="inlineStr">
        <is>
          <t>VÄSTRA GÖTALANDS LÄN</t>
        </is>
      </c>
      <c r="E2598" t="inlineStr">
        <is>
          <t>SVENLJUNGA</t>
        </is>
      </c>
      <c r="F2598" t="inlineStr">
        <is>
          <t>Övriga Aktiebolag</t>
        </is>
      </c>
      <c r="G2598" t="n">
        <v>0.3</v>
      </c>
      <c r="H2598" t="n">
        <v>0</v>
      </c>
      <c r="I2598" t="n">
        <v>0</v>
      </c>
      <c r="J2598" t="n">
        <v>0</v>
      </c>
      <c r="K2598" t="n">
        <v>0</v>
      </c>
      <c r="L2598" t="n">
        <v>0</v>
      </c>
      <c r="M2598" t="n">
        <v>0</v>
      </c>
      <c r="N2598" t="n">
        <v>0</v>
      </c>
      <c r="O2598" t="n">
        <v>0</v>
      </c>
      <c r="P2598" t="n">
        <v>0</v>
      </c>
      <c r="Q2598" t="n">
        <v>0</v>
      </c>
      <c r="R2598" s="2" t="inlineStr"/>
    </row>
    <row r="2599" ht="15" customHeight="1">
      <c r="A2599" t="inlineStr">
        <is>
          <t>A 26118-2019</t>
        </is>
      </c>
      <c r="B2599" s="1" t="n">
        <v>43609</v>
      </c>
      <c r="C2599" s="1" t="n">
        <v>45212</v>
      </c>
      <c r="D2599" t="inlineStr">
        <is>
          <t>VÄSTRA GÖTALANDS LÄN</t>
        </is>
      </c>
      <c r="E2599" t="inlineStr">
        <is>
          <t>FALKÖPING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26134-2019</t>
        </is>
      </c>
      <c r="B2600" s="1" t="n">
        <v>43609</v>
      </c>
      <c r="C2600" s="1" t="n">
        <v>45212</v>
      </c>
      <c r="D2600" t="inlineStr">
        <is>
          <t>VÄSTRA GÖTALANDS LÄN</t>
        </is>
      </c>
      <c r="E2600" t="inlineStr">
        <is>
          <t>SKÖVDE</t>
        </is>
      </c>
      <c r="F2600" t="inlineStr">
        <is>
          <t>Övriga statliga verk och myndigheter</t>
        </is>
      </c>
      <c r="G2600" t="n">
        <v>18.9</v>
      </c>
      <c r="H2600" t="n">
        <v>0</v>
      </c>
      <c r="I2600" t="n">
        <v>0</v>
      </c>
      <c r="J2600" t="n">
        <v>0</v>
      </c>
      <c r="K2600" t="n">
        <v>0</v>
      </c>
      <c r="L2600" t="n">
        <v>0</v>
      </c>
      <c r="M2600" t="n">
        <v>0</v>
      </c>
      <c r="N2600" t="n">
        <v>0</v>
      </c>
      <c r="O2600" t="n">
        <v>0</v>
      </c>
      <c r="P2600" t="n">
        <v>0</v>
      </c>
      <c r="Q2600" t="n">
        <v>0</v>
      </c>
      <c r="R2600" s="2" t="inlineStr"/>
    </row>
    <row r="2601" ht="15" customHeight="1">
      <c r="A2601" t="inlineStr">
        <is>
          <t>A 26143-2019</t>
        </is>
      </c>
      <c r="B2601" s="1" t="n">
        <v>43609</v>
      </c>
      <c r="C2601" s="1" t="n">
        <v>45212</v>
      </c>
      <c r="D2601" t="inlineStr">
        <is>
          <t>VÄSTRA GÖTALANDS LÄN</t>
        </is>
      </c>
      <c r="E2601" t="inlineStr">
        <is>
          <t>KARLSBORG</t>
        </is>
      </c>
      <c r="F2601" t="inlineStr">
        <is>
          <t>Övriga statliga verk och myndigheter</t>
        </is>
      </c>
      <c r="G2601" t="n">
        <v>3.4</v>
      </c>
      <c r="H2601" t="n">
        <v>0</v>
      </c>
      <c r="I2601" t="n">
        <v>0</v>
      </c>
      <c r="J2601" t="n">
        <v>0</v>
      </c>
      <c r="K2601" t="n">
        <v>0</v>
      </c>
      <c r="L2601" t="n">
        <v>0</v>
      </c>
      <c r="M2601" t="n">
        <v>0</v>
      </c>
      <c r="N2601" t="n">
        <v>0</v>
      </c>
      <c r="O2601" t="n">
        <v>0</v>
      </c>
      <c r="P2601" t="n">
        <v>0</v>
      </c>
      <c r="Q2601" t="n">
        <v>0</v>
      </c>
      <c r="R2601" s="2" t="inlineStr"/>
    </row>
    <row r="2602" ht="15" customHeight="1">
      <c r="A2602" t="inlineStr">
        <is>
          <t>A 26233-2019</t>
        </is>
      </c>
      <c r="B2602" s="1" t="n">
        <v>43609</v>
      </c>
      <c r="C2602" s="1" t="n">
        <v>45212</v>
      </c>
      <c r="D2602" t="inlineStr">
        <is>
          <t>VÄSTRA GÖTALANDS LÄN</t>
        </is>
      </c>
      <c r="E2602" t="inlineStr">
        <is>
          <t>VARA</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26257-2019</t>
        </is>
      </c>
      <c r="B2603" s="1" t="n">
        <v>43610</v>
      </c>
      <c r="C2603" s="1" t="n">
        <v>45212</v>
      </c>
      <c r="D2603" t="inlineStr">
        <is>
          <t>VÄSTRA GÖTALANDS LÄN</t>
        </is>
      </c>
      <c r="E2603" t="inlineStr">
        <is>
          <t>HJO</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26262-2019</t>
        </is>
      </c>
      <c r="B2604" s="1" t="n">
        <v>43610</v>
      </c>
      <c r="C2604" s="1" t="n">
        <v>45212</v>
      </c>
      <c r="D2604" t="inlineStr">
        <is>
          <t>VÄSTRA GÖTALANDS LÄN</t>
        </is>
      </c>
      <c r="E2604" t="inlineStr">
        <is>
          <t>DALS-ED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26329-2019</t>
        </is>
      </c>
      <c r="B2605" s="1" t="n">
        <v>43612</v>
      </c>
      <c r="C2605" s="1" t="n">
        <v>45212</v>
      </c>
      <c r="D2605" t="inlineStr">
        <is>
          <t>VÄSTRA GÖTALANDS LÄN</t>
        </is>
      </c>
      <c r="E2605" t="inlineStr">
        <is>
          <t>MARK</t>
        </is>
      </c>
      <c r="G2605" t="n">
        <v>9.199999999999999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26418-2019</t>
        </is>
      </c>
      <c r="B2606" s="1" t="n">
        <v>43612</v>
      </c>
      <c r="C2606" s="1" t="n">
        <v>45212</v>
      </c>
      <c r="D2606" t="inlineStr">
        <is>
          <t>VÄSTRA GÖTALANDS LÄN</t>
        </is>
      </c>
      <c r="E2606" t="inlineStr">
        <is>
          <t>SKARA</t>
        </is>
      </c>
      <c r="F2606" t="inlineStr">
        <is>
          <t>Sveaskog</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26570-2019</t>
        </is>
      </c>
      <c r="B2607" s="1" t="n">
        <v>43612</v>
      </c>
      <c r="C2607" s="1" t="n">
        <v>45212</v>
      </c>
      <c r="D2607" t="inlineStr">
        <is>
          <t>VÄSTRA GÖTALANDS LÄN</t>
        </is>
      </c>
      <c r="E2607" t="inlineStr">
        <is>
          <t>SKARA</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26318-2019</t>
        </is>
      </c>
      <c r="B2608" s="1" t="n">
        <v>43612</v>
      </c>
      <c r="C2608" s="1" t="n">
        <v>45212</v>
      </c>
      <c r="D2608" t="inlineStr">
        <is>
          <t>VÄSTRA GÖTALANDS LÄN</t>
        </is>
      </c>
      <c r="E2608" t="inlineStr">
        <is>
          <t>MARK</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26577-2019</t>
        </is>
      </c>
      <c r="B2609" s="1" t="n">
        <v>43612</v>
      </c>
      <c r="C2609" s="1" t="n">
        <v>45212</v>
      </c>
      <c r="D2609" t="inlineStr">
        <is>
          <t>VÄSTRA GÖTALANDS LÄN</t>
        </is>
      </c>
      <c r="E2609" t="inlineStr">
        <is>
          <t>SKARA</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26603-2019</t>
        </is>
      </c>
      <c r="B2610" s="1" t="n">
        <v>43612</v>
      </c>
      <c r="C2610" s="1" t="n">
        <v>45212</v>
      </c>
      <c r="D2610" t="inlineStr">
        <is>
          <t>VÄSTRA GÖTALANDS LÄN</t>
        </is>
      </c>
      <c r="E2610" t="inlineStr">
        <is>
          <t>MARK</t>
        </is>
      </c>
      <c r="G2610" t="n">
        <v>1.6</v>
      </c>
      <c r="H2610" t="n">
        <v>0</v>
      </c>
      <c r="I2610" t="n">
        <v>0</v>
      </c>
      <c r="J2610" t="n">
        <v>0</v>
      </c>
      <c r="K2610" t="n">
        <v>0</v>
      </c>
      <c r="L2610" t="n">
        <v>0</v>
      </c>
      <c r="M2610" t="n">
        <v>0</v>
      </c>
      <c r="N2610" t="n">
        <v>0</v>
      </c>
      <c r="O2610" t="n">
        <v>0</v>
      </c>
      <c r="P2610" t="n">
        <v>0</v>
      </c>
      <c r="Q2610" t="n">
        <v>0</v>
      </c>
      <c r="R2610" s="2" t="inlineStr"/>
    </row>
    <row r="2611" ht="15" customHeight="1">
      <c r="A2611" t="inlineStr">
        <is>
          <t>A 26419-2019</t>
        </is>
      </c>
      <c r="B2611" s="1" t="n">
        <v>43612</v>
      </c>
      <c r="C2611" s="1" t="n">
        <v>45212</v>
      </c>
      <c r="D2611" t="inlineStr">
        <is>
          <t>VÄSTRA GÖTALANDS LÄN</t>
        </is>
      </c>
      <c r="E2611" t="inlineStr">
        <is>
          <t>FALKÖPING</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26599-2019</t>
        </is>
      </c>
      <c r="B2612" s="1" t="n">
        <v>43612</v>
      </c>
      <c r="C2612" s="1" t="n">
        <v>45212</v>
      </c>
      <c r="D2612" t="inlineStr">
        <is>
          <t>VÄSTRA GÖTALANDS LÄN</t>
        </is>
      </c>
      <c r="E2612" t="inlineStr">
        <is>
          <t>SKARA</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27897-2019</t>
        </is>
      </c>
      <c r="B2613" s="1" t="n">
        <v>43612</v>
      </c>
      <c r="C2613" s="1" t="n">
        <v>45212</v>
      </c>
      <c r="D2613" t="inlineStr">
        <is>
          <t>VÄSTRA GÖTALANDS LÄN</t>
        </is>
      </c>
      <c r="E2613" t="inlineStr">
        <is>
          <t>TROLLHÄTTAN</t>
        </is>
      </c>
      <c r="G2613" t="n">
        <v>17.6</v>
      </c>
      <c r="H2613" t="n">
        <v>0</v>
      </c>
      <c r="I2613" t="n">
        <v>0</v>
      </c>
      <c r="J2613" t="n">
        <v>0</v>
      </c>
      <c r="K2613" t="n">
        <v>0</v>
      </c>
      <c r="L2613" t="n">
        <v>0</v>
      </c>
      <c r="M2613" t="n">
        <v>0</v>
      </c>
      <c r="N2613" t="n">
        <v>0</v>
      </c>
      <c r="O2613" t="n">
        <v>0</v>
      </c>
      <c r="P2613" t="n">
        <v>0</v>
      </c>
      <c r="Q2613" t="n">
        <v>0</v>
      </c>
      <c r="R2613" s="2" t="inlineStr"/>
    </row>
    <row r="2614" ht="15" customHeight="1">
      <c r="A2614" t="inlineStr">
        <is>
          <t>A 26473-2019</t>
        </is>
      </c>
      <c r="B2614" s="1" t="n">
        <v>43612</v>
      </c>
      <c r="C2614" s="1" t="n">
        <v>45212</v>
      </c>
      <c r="D2614" t="inlineStr">
        <is>
          <t>VÄSTRA GÖTALANDS LÄN</t>
        </is>
      </c>
      <c r="E2614" t="inlineStr">
        <is>
          <t>MELLERUD</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26537-2019</t>
        </is>
      </c>
      <c r="B2615" s="1" t="n">
        <v>43612</v>
      </c>
      <c r="C2615" s="1" t="n">
        <v>45212</v>
      </c>
      <c r="D2615" t="inlineStr">
        <is>
          <t>VÄSTRA GÖTALANDS LÄN</t>
        </is>
      </c>
      <c r="E2615" t="inlineStr">
        <is>
          <t>TANUM</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27112-2019</t>
        </is>
      </c>
      <c r="B2616" s="1" t="n">
        <v>43612</v>
      </c>
      <c r="C2616" s="1" t="n">
        <v>45212</v>
      </c>
      <c r="D2616" t="inlineStr">
        <is>
          <t>VÄSTRA GÖTALANDS LÄN</t>
        </is>
      </c>
      <c r="E2616" t="inlineStr">
        <is>
          <t>DALS-ED</t>
        </is>
      </c>
      <c r="G2616" t="n">
        <v>11.5</v>
      </c>
      <c r="H2616" t="n">
        <v>0</v>
      </c>
      <c r="I2616" t="n">
        <v>0</v>
      </c>
      <c r="J2616" t="n">
        <v>0</v>
      </c>
      <c r="K2616" t="n">
        <v>0</v>
      </c>
      <c r="L2616" t="n">
        <v>0</v>
      </c>
      <c r="M2616" t="n">
        <v>0</v>
      </c>
      <c r="N2616" t="n">
        <v>0</v>
      </c>
      <c r="O2616" t="n">
        <v>0</v>
      </c>
      <c r="P2616" t="n">
        <v>0</v>
      </c>
      <c r="Q2616" t="n">
        <v>0</v>
      </c>
      <c r="R2616" s="2" t="inlineStr"/>
    </row>
    <row r="2617" ht="15" customHeight="1">
      <c r="A2617" t="inlineStr">
        <is>
          <t>A 26801-2019</t>
        </is>
      </c>
      <c r="B2617" s="1" t="n">
        <v>43613</v>
      </c>
      <c r="C2617" s="1" t="n">
        <v>45212</v>
      </c>
      <c r="D2617" t="inlineStr">
        <is>
          <t>VÄSTRA GÖTALANDS LÄN</t>
        </is>
      </c>
      <c r="E2617" t="inlineStr">
        <is>
          <t>MARIESTAD</t>
        </is>
      </c>
      <c r="G2617" t="n">
        <v>12.1</v>
      </c>
      <c r="H2617" t="n">
        <v>0</v>
      </c>
      <c r="I2617" t="n">
        <v>0</v>
      </c>
      <c r="J2617" t="n">
        <v>0</v>
      </c>
      <c r="K2617" t="n">
        <v>0</v>
      </c>
      <c r="L2617" t="n">
        <v>0</v>
      </c>
      <c r="M2617" t="n">
        <v>0</v>
      </c>
      <c r="N2617" t="n">
        <v>0</v>
      </c>
      <c r="O2617" t="n">
        <v>0</v>
      </c>
      <c r="P2617" t="n">
        <v>0</v>
      </c>
      <c r="Q2617" t="n">
        <v>0</v>
      </c>
      <c r="R2617" s="2" t="inlineStr"/>
    </row>
    <row r="2618" ht="15" customHeight="1">
      <c r="A2618" t="inlineStr">
        <is>
          <t>A 26881-2019</t>
        </is>
      </c>
      <c r="B2618" s="1" t="n">
        <v>43613</v>
      </c>
      <c r="C2618" s="1" t="n">
        <v>45212</v>
      </c>
      <c r="D2618" t="inlineStr">
        <is>
          <t>VÄSTRA GÖTALANDS LÄN</t>
        </is>
      </c>
      <c r="E2618" t="inlineStr">
        <is>
          <t>LILLA EDET</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26728-2019</t>
        </is>
      </c>
      <c r="B2619" s="1" t="n">
        <v>43613</v>
      </c>
      <c r="C2619" s="1" t="n">
        <v>45212</v>
      </c>
      <c r="D2619" t="inlineStr">
        <is>
          <t>VÄSTRA GÖTALANDS LÄN</t>
        </is>
      </c>
      <c r="E2619" t="inlineStr">
        <is>
          <t>TANUM</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26799-2019</t>
        </is>
      </c>
      <c r="B2620" s="1" t="n">
        <v>43613</v>
      </c>
      <c r="C2620" s="1" t="n">
        <v>45212</v>
      </c>
      <c r="D2620" t="inlineStr">
        <is>
          <t>VÄSTRA GÖTALANDS LÄN</t>
        </is>
      </c>
      <c r="E2620" t="inlineStr">
        <is>
          <t>MARIESTAD</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26804-2019</t>
        </is>
      </c>
      <c r="B2621" s="1" t="n">
        <v>43613</v>
      </c>
      <c r="C2621" s="1" t="n">
        <v>45212</v>
      </c>
      <c r="D2621" t="inlineStr">
        <is>
          <t>VÄSTRA GÖTALANDS LÄN</t>
        </is>
      </c>
      <c r="E2621" t="inlineStr">
        <is>
          <t>BENGTSFORS</t>
        </is>
      </c>
      <c r="G2621" t="n">
        <v>3.9</v>
      </c>
      <c r="H2621" t="n">
        <v>0</v>
      </c>
      <c r="I2621" t="n">
        <v>0</v>
      </c>
      <c r="J2621" t="n">
        <v>0</v>
      </c>
      <c r="K2621" t="n">
        <v>0</v>
      </c>
      <c r="L2621" t="n">
        <v>0</v>
      </c>
      <c r="M2621" t="n">
        <v>0</v>
      </c>
      <c r="N2621" t="n">
        <v>0</v>
      </c>
      <c r="O2621" t="n">
        <v>0</v>
      </c>
      <c r="P2621" t="n">
        <v>0</v>
      </c>
      <c r="Q2621" t="n">
        <v>0</v>
      </c>
      <c r="R2621" s="2" t="inlineStr"/>
    </row>
    <row r="2622" ht="15" customHeight="1">
      <c r="A2622" t="inlineStr">
        <is>
          <t>A 26932-2019</t>
        </is>
      </c>
      <c r="B2622" s="1" t="n">
        <v>43613</v>
      </c>
      <c r="C2622" s="1" t="n">
        <v>45212</v>
      </c>
      <c r="D2622" t="inlineStr">
        <is>
          <t>VÄSTRA GÖTALANDS LÄN</t>
        </is>
      </c>
      <c r="E2622" t="inlineStr">
        <is>
          <t>VARA</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27019-2019</t>
        </is>
      </c>
      <c r="B2623" s="1" t="n">
        <v>43613</v>
      </c>
      <c r="C2623" s="1" t="n">
        <v>45212</v>
      </c>
      <c r="D2623" t="inlineStr">
        <is>
          <t>VÄSTRA GÖTALANDS LÄN</t>
        </is>
      </c>
      <c r="E2623" t="inlineStr">
        <is>
          <t>BENGTSFORS</t>
        </is>
      </c>
      <c r="G2623" t="n">
        <v>10.5</v>
      </c>
      <c r="H2623" t="n">
        <v>0</v>
      </c>
      <c r="I2623" t="n">
        <v>0</v>
      </c>
      <c r="J2623" t="n">
        <v>0</v>
      </c>
      <c r="K2623" t="n">
        <v>0</v>
      </c>
      <c r="L2623" t="n">
        <v>0</v>
      </c>
      <c r="M2623" t="n">
        <v>0</v>
      </c>
      <c r="N2623" t="n">
        <v>0</v>
      </c>
      <c r="O2623" t="n">
        <v>0</v>
      </c>
      <c r="P2623" t="n">
        <v>0</v>
      </c>
      <c r="Q2623" t="n">
        <v>0</v>
      </c>
      <c r="R2623" s="2" t="inlineStr"/>
    </row>
    <row r="2624" ht="15" customHeight="1">
      <c r="A2624" t="inlineStr">
        <is>
          <t>A 26659-2019</t>
        </is>
      </c>
      <c r="B2624" s="1" t="n">
        <v>43613</v>
      </c>
      <c r="C2624" s="1" t="n">
        <v>45212</v>
      </c>
      <c r="D2624" t="inlineStr">
        <is>
          <t>VÄSTRA GÖTALANDS LÄN</t>
        </is>
      </c>
      <c r="E2624" t="inlineStr">
        <is>
          <t>FÄRGELANDA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26803-2019</t>
        </is>
      </c>
      <c r="B2625" s="1" t="n">
        <v>43613</v>
      </c>
      <c r="C2625" s="1" t="n">
        <v>45212</v>
      </c>
      <c r="D2625" t="inlineStr">
        <is>
          <t>VÄSTRA GÖTALANDS LÄN</t>
        </is>
      </c>
      <c r="E2625" t="inlineStr">
        <is>
          <t>MARIESTAD</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26684-2019</t>
        </is>
      </c>
      <c r="B2626" s="1" t="n">
        <v>43613</v>
      </c>
      <c r="C2626" s="1" t="n">
        <v>45212</v>
      </c>
      <c r="D2626" t="inlineStr">
        <is>
          <t>VÄSTRA GÖTALANDS LÄN</t>
        </is>
      </c>
      <c r="E2626" t="inlineStr">
        <is>
          <t>VARA</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26740-2019</t>
        </is>
      </c>
      <c r="B2627" s="1" t="n">
        <v>43613</v>
      </c>
      <c r="C2627" s="1" t="n">
        <v>45212</v>
      </c>
      <c r="D2627" t="inlineStr">
        <is>
          <t>VÄSTRA GÖTALANDS LÄN</t>
        </is>
      </c>
      <c r="E2627" t="inlineStr">
        <is>
          <t>FÄRGELANDA</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26839-2019</t>
        </is>
      </c>
      <c r="B2628" s="1" t="n">
        <v>43613</v>
      </c>
      <c r="C2628" s="1" t="n">
        <v>45212</v>
      </c>
      <c r="D2628" t="inlineStr">
        <is>
          <t>VÄSTRA GÖTALANDS LÄN</t>
        </is>
      </c>
      <c r="E2628" t="inlineStr">
        <is>
          <t>GULLSPÅNG</t>
        </is>
      </c>
      <c r="G2628" t="n">
        <v>3.7</v>
      </c>
      <c r="H2628" t="n">
        <v>0</v>
      </c>
      <c r="I2628" t="n">
        <v>0</v>
      </c>
      <c r="J2628" t="n">
        <v>0</v>
      </c>
      <c r="K2628" t="n">
        <v>0</v>
      </c>
      <c r="L2628" t="n">
        <v>0</v>
      </c>
      <c r="M2628" t="n">
        <v>0</v>
      </c>
      <c r="N2628" t="n">
        <v>0</v>
      </c>
      <c r="O2628" t="n">
        <v>0</v>
      </c>
      <c r="P2628" t="n">
        <v>0</v>
      </c>
      <c r="Q2628" t="n">
        <v>0</v>
      </c>
      <c r="R2628" s="2" t="inlineStr"/>
    </row>
    <row r="2629" ht="15" customHeight="1">
      <c r="A2629" t="inlineStr">
        <is>
          <t>A 28033-2019</t>
        </is>
      </c>
      <c r="B2629" s="1" t="n">
        <v>43613</v>
      </c>
      <c r="C2629" s="1" t="n">
        <v>45212</v>
      </c>
      <c r="D2629" t="inlineStr">
        <is>
          <t>VÄSTRA GÖTALANDS LÄN</t>
        </is>
      </c>
      <c r="E2629" t="inlineStr">
        <is>
          <t>KARLSBORG</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28158-2019</t>
        </is>
      </c>
      <c r="B2630" s="1" t="n">
        <v>43613</v>
      </c>
      <c r="C2630" s="1" t="n">
        <v>45212</v>
      </c>
      <c r="D2630" t="inlineStr">
        <is>
          <t>VÄSTRA GÖTALANDS LÄN</t>
        </is>
      </c>
      <c r="E2630" t="inlineStr">
        <is>
          <t>STRÖMSTAD</t>
        </is>
      </c>
      <c r="G2630" t="n">
        <v>5.8</v>
      </c>
      <c r="H2630" t="n">
        <v>0</v>
      </c>
      <c r="I2630" t="n">
        <v>0</v>
      </c>
      <c r="J2630" t="n">
        <v>0</v>
      </c>
      <c r="K2630" t="n">
        <v>0</v>
      </c>
      <c r="L2630" t="n">
        <v>0</v>
      </c>
      <c r="M2630" t="n">
        <v>0</v>
      </c>
      <c r="N2630" t="n">
        <v>0</v>
      </c>
      <c r="O2630" t="n">
        <v>0</v>
      </c>
      <c r="P2630" t="n">
        <v>0</v>
      </c>
      <c r="Q2630" t="n">
        <v>0</v>
      </c>
      <c r="R2630" s="2" t="inlineStr"/>
    </row>
    <row r="2631" ht="15" customHeight="1">
      <c r="A2631" t="inlineStr">
        <is>
          <t>A 27148-2019</t>
        </is>
      </c>
      <c r="B2631" s="1" t="n">
        <v>43614</v>
      </c>
      <c r="C2631" s="1" t="n">
        <v>45212</v>
      </c>
      <c r="D2631" t="inlineStr">
        <is>
          <t>VÄSTRA GÖTALANDS LÄN</t>
        </is>
      </c>
      <c r="E2631" t="inlineStr">
        <is>
          <t>LIDKÖPING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27175-2019</t>
        </is>
      </c>
      <c r="B2632" s="1" t="n">
        <v>43614</v>
      </c>
      <c r="C2632" s="1" t="n">
        <v>45212</v>
      </c>
      <c r="D2632" t="inlineStr">
        <is>
          <t>VÄSTRA GÖTALANDS LÄN</t>
        </is>
      </c>
      <c r="E2632" t="inlineStr">
        <is>
          <t>GÖTENE</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27100-2019</t>
        </is>
      </c>
      <c r="B2633" s="1" t="n">
        <v>43614</v>
      </c>
      <c r="C2633" s="1" t="n">
        <v>45212</v>
      </c>
      <c r="D2633" t="inlineStr">
        <is>
          <t>VÄSTRA GÖTALANDS LÄN</t>
        </is>
      </c>
      <c r="E2633" t="inlineStr">
        <is>
          <t>TANUM</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27153-2019</t>
        </is>
      </c>
      <c r="B2634" s="1" t="n">
        <v>43614</v>
      </c>
      <c r="C2634" s="1" t="n">
        <v>45212</v>
      </c>
      <c r="D2634" t="inlineStr">
        <is>
          <t>VÄSTRA GÖTALANDS LÄN</t>
        </is>
      </c>
      <c r="E2634" t="inlineStr">
        <is>
          <t>BENGTSFORS</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27024-2019</t>
        </is>
      </c>
      <c r="B2635" s="1" t="n">
        <v>43614</v>
      </c>
      <c r="C2635" s="1" t="n">
        <v>45212</v>
      </c>
      <c r="D2635" t="inlineStr">
        <is>
          <t>VÄSTRA GÖTALANDS LÄN</t>
        </is>
      </c>
      <c r="E2635" t="inlineStr">
        <is>
          <t>MELLERUD</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28644-2019</t>
        </is>
      </c>
      <c r="B2636" s="1" t="n">
        <v>43614</v>
      </c>
      <c r="C2636" s="1" t="n">
        <v>45212</v>
      </c>
      <c r="D2636" t="inlineStr">
        <is>
          <t>VÄSTRA GÖTALANDS LÄN</t>
        </is>
      </c>
      <c r="E2636" t="inlineStr">
        <is>
          <t>FALKÖPING</t>
        </is>
      </c>
      <c r="G2636" t="n">
        <v>4.7</v>
      </c>
      <c r="H2636" t="n">
        <v>0</v>
      </c>
      <c r="I2636" t="n">
        <v>0</v>
      </c>
      <c r="J2636" t="n">
        <v>0</v>
      </c>
      <c r="K2636" t="n">
        <v>0</v>
      </c>
      <c r="L2636" t="n">
        <v>0</v>
      </c>
      <c r="M2636" t="n">
        <v>0</v>
      </c>
      <c r="N2636" t="n">
        <v>0</v>
      </c>
      <c r="O2636" t="n">
        <v>0</v>
      </c>
      <c r="P2636" t="n">
        <v>0</v>
      </c>
      <c r="Q2636" t="n">
        <v>0</v>
      </c>
      <c r="R2636" s="2" t="inlineStr"/>
    </row>
    <row r="2637" ht="15" customHeight="1">
      <c r="A2637" t="inlineStr">
        <is>
          <t>A 27053-2019</t>
        </is>
      </c>
      <c r="B2637" s="1" t="n">
        <v>43614</v>
      </c>
      <c r="C2637" s="1" t="n">
        <v>45212</v>
      </c>
      <c r="D2637" t="inlineStr">
        <is>
          <t>VÄSTRA GÖTALANDS LÄN</t>
        </is>
      </c>
      <c r="E2637" t="inlineStr">
        <is>
          <t>LIDKÖPING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27097-2019</t>
        </is>
      </c>
      <c r="B2638" s="1" t="n">
        <v>43614</v>
      </c>
      <c r="C2638" s="1" t="n">
        <v>45212</v>
      </c>
      <c r="D2638" t="inlineStr">
        <is>
          <t>VÄSTRA GÖTALANDS LÄN</t>
        </is>
      </c>
      <c r="E2638" t="inlineStr">
        <is>
          <t>TIDAHOLM</t>
        </is>
      </c>
      <c r="F2638" t="inlineStr">
        <is>
          <t>Sveaskog</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27173-2019</t>
        </is>
      </c>
      <c r="B2639" s="1" t="n">
        <v>43614</v>
      </c>
      <c r="C2639" s="1" t="n">
        <v>45212</v>
      </c>
      <c r="D2639" t="inlineStr">
        <is>
          <t>VÄSTRA GÖTALANDS LÄN</t>
        </is>
      </c>
      <c r="E2639" t="inlineStr">
        <is>
          <t>TÖREBODA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27177-2019</t>
        </is>
      </c>
      <c r="B2640" s="1" t="n">
        <v>43614</v>
      </c>
      <c r="C2640" s="1" t="n">
        <v>45212</v>
      </c>
      <c r="D2640" t="inlineStr">
        <is>
          <t>VÄSTRA GÖTALANDS LÄN</t>
        </is>
      </c>
      <c r="E2640" t="inlineStr">
        <is>
          <t>TÖREBODA</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27485-2019</t>
        </is>
      </c>
      <c r="B2641" s="1" t="n">
        <v>43614</v>
      </c>
      <c r="C2641" s="1" t="n">
        <v>45212</v>
      </c>
      <c r="D2641" t="inlineStr">
        <is>
          <t>VÄSTRA GÖTALANDS LÄN</t>
        </is>
      </c>
      <c r="E2641" t="inlineStr">
        <is>
          <t>GULLSPÅNG</t>
        </is>
      </c>
      <c r="G2641" t="n">
        <v>7.7</v>
      </c>
      <c r="H2641" t="n">
        <v>0</v>
      </c>
      <c r="I2641" t="n">
        <v>0</v>
      </c>
      <c r="J2641" t="n">
        <v>0</v>
      </c>
      <c r="K2641" t="n">
        <v>0</v>
      </c>
      <c r="L2641" t="n">
        <v>0</v>
      </c>
      <c r="M2641" t="n">
        <v>0</v>
      </c>
      <c r="N2641" t="n">
        <v>0</v>
      </c>
      <c r="O2641" t="n">
        <v>0</v>
      </c>
      <c r="P2641" t="n">
        <v>0</v>
      </c>
      <c r="Q2641" t="n">
        <v>0</v>
      </c>
      <c r="R2641" s="2" t="inlineStr"/>
    </row>
    <row r="2642" ht="15" customHeight="1">
      <c r="A2642" t="inlineStr">
        <is>
          <t>A 27309-2019</t>
        </is>
      </c>
      <c r="B2642" s="1" t="n">
        <v>43616</v>
      </c>
      <c r="C2642" s="1" t="n">
        <v>45212</v>
      </c>
      <c r="D2642" t="inlineStr">
        <is>
          <t>VÄSTRA GÖTALANDS LÄN</t>
        </is>
      </c>
      <c r="E2642" t="inlineStr">
        <is>
          <t>VÅRGÅRDA</t>
        </is>
      </c>
      <c r="F2642" t="inlineStr">
        <is>
          <t>Kommuner</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27358-2019</t>
        </is>
      </c>
      <c r="B2643" s="1" t="n">
        <v>43616</v>
      </c>
      <c r="C2643" s="1" t="n">
        <v>45212</v>
      </c>
      <c r="D2643" t="inlineStr">
        <is>
          <t>VÄSTRA GÖTALANDS LÄN</t>
        </is>
      </c>
      <c r="E2643" t="inlineStr">
        <is>
          <t>TRANEMO</t>
        </is>
      </c>
      <c r="F2643" t="inlineStr">
        <is>
          <t>Sveaskog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27286-2019</t>
        </is>
      </c>
      <c r="B2644" s="1" t="n">
        <v>43616</v>
      </c>
      <c r="C2644" s="1" t="n">
        <v>45212</v>
      </c>
      <c r="D2644" t="inlineStr">
        <is>
          <t>VÄSTRA GÖTALANDS LÄN</t>
        </is>
      </c>
      <c r="E2644" t="inlineStr">
        <is>
          <t>UDDEVALLA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27299-2019</t>
        </is>
      </c>
      <c r="B2645" s="1" t="n">
        <v>43616</v>
      </c>
      <c r="C2645" s="1" t="n">
        <v>45212</v>
      </c>
      <c r="D2645" t="inlineStr">
        <is>
          <t>VÄSTRA GÖTALANDS LÄN</t>
        </is>
      </c>
      <c r="E2645" t="inlineStr">
        <is>
          <t>HERRLJUNGA</t>
        </is>
      </c>
      <c r="G2645" t="n">
        <v>4.1</v>
      </c>
      <c r="H2645" t="n">
        <v>0</v>
      </c>
      <c r="I2645" t="n">
        <v>0</v>
      </c>
      <c r="J2645" t="n">
        <v>0</v>
      </c>
      <c r="K2645" t="n">
        <v>0</v>
      </c>
      <c r="L2645" t="n">
        <v>0</v>
      </c>
      <c r="M2645" t="n">
        <v>0</v>
      </c>
      <c r="N2645" t="n">
        <v>0</v>
      </c>
      <c r="O2645" t="n">
        <v>0</v>
      </c>
      <c r="P2645" t="n">
        <v>0</v>
      </c>
      <c r="Q2645" t="n">
        <v>0</v>
      </c>
      <c r="R2645" s="2" t="inlineStr"/>
    </row>
    <row r="2646" ht="15" customHeight="1">
      <c r="A2646" t="inlineStr">
        <is>
          <t>A 27359-2019</t>
        </is>
      </c>
      <c r="B2646" s="1" t="n">
        <v>43616</v>
      </c>
      <c r="C2646" s="1" t="n">
        <v>45212</v>
      </c>
      <c r="D2646" t="inlineStr">
        <is>
          <t>VÄSTRA GÖTALANDS LÄN</t>
        </is>
      </c>
      <c r="E2646" t="inlineStr">
        <is>
          <t>TRANEMO</t>
        </is>
      </c>
      <c r="F2646" t="inlineStr">
        <is>
          <t>Sveaskog</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28748-2019</t>
        </is>
      </c>
      <c r="B2647" s="1" t="n">
        <v>43616</v>
      </c>
      <c r="C2647" s="1" t="n">
        <v>45212</v>
      </c>
      <c r="D2647" t="inlineStr">
        <is>
          <t>VÄSTRA GÖTALANDS LÄN</t>
        </is>
      </c>
      <c r="E2647" t="inlineStr">
        <is>
          <t>GULLSPÅNG</t>
        </is>
      </c>
      <c r="G2647" t="n">
        <v>3.1</v>
      </c>
      <c r="H2647" t="n">
        <v>0</v>
      </c>
      <c r="I2647" t="n">
        <v>0</v>
      </c>
      <c r="J2647" t="n">
        <v>0</v>
      </c>
      <c r="K2647" t="n">
        <v>0</v>
      </c>
      <c r="L2647" t="n">
        <v>0</v>
      </c>
      <c r="M2647" t="n">
        <v>0</v>
      </c>
      <c r="N2647" t="n">
        <v>0</v>
      </c>
      <c r="O2647" t="n">
        <v>0</v>
      </c>
      <c r="P2647" t="n">
        <v>0</v>
      </c>
      <c r="Q2647" t="n">
        <v>0</v>
      </c>
      <c r="R2647" s="2" t="inlineStr"/>
    </row>
    <row r="2648" ht="15" customHeight="1">
      <c r="A2648" t="inlineStr">
        <is>
          <t>A 27291-2019</t>
        </is>
      </c>
      <c r="B2648" s="1" t="n">
        <v>43616</v>
      </c>
      <c r="C2648" s="1" t="n">
        <v>45212</v>
      </c>
      <c r="D2648" t="inlineStr">
        <is>
          <t>VÄSTRA GÖTALANDS LÄN</t>
        </is>
      </c>
      <c r="E2648" t="inlineStr">
        <is>
          <t>ÅMÅL</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27360-2019</t>
        </is>
      </c>
      <c r="B2649" s="1" t="n">
        <v>43616</v>
      </c>
      <c r="C2649" s="1" t="n">
        <v>45212</v>
      </c>
      <c r="D2649" t="inlineStr">
        <is>
          <t>VÄSTRA GÖTALANDS LÄN</t>
        </is>
      </c>
      <c r="E2649" t="inlineStr">
        <is>
          <t>FÄRGELANDA</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27454-2019</t>
        </is>
      </c>
      <c r="B2650" s="1" t="n">
        <v>43618</v>
      </c>
      <c r="C2650" s="1" t="n">
        <v>45212</v>
      </c>
      <c r="D2650" t="inlineStr">
        <is>
          <t>VÄSTRA GÖTALANDS LÄN</t>
        </is>
      </c>
      <c r="E2650" t="inlineStr">
        <is>
          <t>FÄRGELANDA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27465-2019</t>
        </is>
      </c>
      <c r="B2651" s="1" t="n">
        <v>43618</v>
      </c>
      <c r="C2651" s="1" t="n">
        <v>45212</v>
      </c>
      <c r="D2651" t="inlineStr">
        <is>
          <t>VÄSTRA GÖTALANDS LÄN</t>
        </is>
      </c>
      <c r="E2651" t="inlineStr">
        <is>
          <t>BENGTSFORS</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27463-2019</t>
        </is>
      </c>
      <c r="B2652" s="1" t="n">
        <v>43618</v>
      </c>
      <c r="C2652" s="1" t="n">
        <v>45212</v>
      </c>
      <c r="D2652" t="inlineStr">
        <is>
          <t>VÄSTRA GÖTALANDS LÄN</t>
        </is>
      </c>
      <c r="E2652" t="inlineStr">
        <is>
          <t>BENGTSFORS</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27543-2019</t>
        </is>
      </c>
      <c r="B2653" s="1" t="n">
        <v>43619</v>
      </c>
      <c r="C2653" s="1" t="n">
        <v>45212</v>
      </c>
      <c r="D2653" t="inlineStr">
        <is>
          <t>VÄSTRA GÖTALANDS LÄN</t>
        </is>
      </c>
      <c r="E2653" t="inlineStr">
        <is>
          <t>FALKÖPING</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27648-2019</t>
        </is>
      </c>
      <c r="B2654" s="1" t="n">
        <v>43619</v>
      </c>
      <c r="C2654" s="1" t="n">
        <v>45212</v>
      </c>
      <c r="D2654" t="inlineStr">
        <is>
          <t>VÄSTRA GÖTALANDS LÄN</t>
        </is>
      </c>
      <c r="E2654" t="inlineStr">
        <is>
          <t>SKARA</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28915-2019</t>
        </is>
      </c>
      <c r="B2655" s="1" t="n">
        <v>43619</v>
      </c>
      <c r="C2655" s="1" t="n">
        <v>45212</v>
      </c>
      <c r="D2655" t="inlineStr">
        <is>
          <t>VÄSTRA GÖTALANDS LÄN</t>
        </is>
      </c>
      <c r="E2655" t="inlineStr">
        <is>
          <t>TIDAHOLM</t>
        </is>
      </c>
      <c r="G2655" t="n">
        <v>5.5</v>
      </c>
      <c r="H2655" t="n">
        <v>0</v>
      </c>
      <c r="I2655" t="n">
        <v>0</v>
      </c>
      <c r="J2655" t="n">
        <v>0</v>
      </c>
      <c r="K2655" t="n">
        <v>0</v>
      </c>
      <c r="L2655" t="n">
        <v>0</v>
      </c>
      <c r="M2655" t="n">
        <v>0</v>
      </c>
      <c r="N2655" t="n">
        <v>0</v>
      </c>
      <c r="O2655" t="n">
        <v>0</v>
      </c>
      <c r="P2655" t="n">
        <v>0</v>
      </c>
      <c r="Q2655" t="n">
        <v>0</v>
      </c>
      <c r="R2655" s="2" t="inlineStr"/>
    </row>
    <row r="2656" ht="15" customHeight="1">
      <c r="A2656" t="inlineStr">
        <is>
          <t>A 27520-2019</t>
        </is>
      </c>
      <c r="B2656" s="1" t="n">
        <v>43619</v>
      </c>
      <c r="C2656" s="1" t="n">
        <v>45212</v>
      </c>
      <c r="D2656" t="inlineStr">
        <is>
          <t>VÄSTRA GÖTALANDS LÄN</t>
        </is>
      </c>
      <c r="E2656" t="inlineStr">
        <is>
          <t>UDDEVALLA</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27694-2019</t>
        </is>
      </c>
      <c r="B2657" s="1" t="n">
        <v>43619</v>
      </c>
      <c r="C2657" s="1" t="n">
        <v>45212</v>
      </c>
      <c r="D2657" t="inlineStr">
        <is>
          <t>VÄSTRA GÖTALANDS LÄN</t>
        </is>
      </c>
      <c r="E2657" t="inlineStr">
        <is>
          <t>HJO</t>
        </is>
      </c>
      <c r="G2657" t="n">
        <v>6.3</v>
      </c>
      <c r="H2657" t="n">
        <v>0</v>
      </c>
      <c r="I2657" t="n">
        <v>0</v>
      </c>
      <c r="J2657" t="n">
        <v>0</v>
      </c>
      <c r="K2657" t="n">
        <v>0</v>
      </c>
      <c r="L2657" t="n">
        <v>0</v>
      </c>
      <c r="M2657" t="n">
        <v>0</v>
      </c>
      <c r="N2657" t="n">
        <v>0</v>
      </c>
      <c r="O2657" t="n">
        <v>0</v>
      </c>
      <c r="P2657" t="n">
        <v>0</v>
      </c>
      <c r="Q2657" t="n">
        <v>0</v>
      </c>
      <c r="R2657" s="2" t="inlineStr"/>
    </row>
    <row r="2658" ht="15" customHeight="1">
      <c r="A2658" t="inlineStr">
        <is>
          <t>A 27481-2019</t>
        </is>
      </c>
      <c r="B2658" s="1" t="n">
        <v>43619</v>
      </c>
      <c r="C2658" s="1" t="n">
        <v>45212</v>
      </c>
      <c r="D2658" t="inlineStr">
        <is>
          <t>VÄSTRA GÖTALANDS LÄN</t>
        </is>
      </c>
      <c r="E2658" t="inlineStr">
        <is>
          <t>TROLLHÄTTAN</t>
        </is>
      </c>
      <c r="G2658" t="n">
        <v>5.4</v>
      </c>
      <c r="H2658" t="n">
        <v>0</v>
      </c>
      <c r="I2658" t="n">
        <v>0</v>
      </c>
      <c r="J2658" t="n">
        <v>0</v>
      </c>
      <c r="K2658" t="n">
        <v>0</v>
      </c>
      <c r="L2658" t="n">
        <v>0</v>
      </c>
      <c r="M2658" t="n">
        <v>0</v>
      </c>
      <c r="N2658" t="n">
        <v>0</v>
      </c>
      <c r="O2658" t="n">
        <v>0</v>
      </c>
      <c r="P2658" t="n">
        <v>0</v>
      </c>
      <c r="Q2658" t="n">
        <v>0</v>
      </c>
      <c r="R2658" s="2" t="inlineStr"/>
    </row>
    <row r="2659" ht="15" customHeight="1">
      <c r="A2659" t="inlineStr">
        <is>
          <t>A 27517-2019</t>
        </is>
      </c>
      <c r="B2659" s="1" t="n">
        <v>43619</v>
      </c>
      <c r="C2659" s="1" t="n">
        <v>45212</v>
      </c>
      <c r="D2659" t="inlineStr">
        <is>
          <t>VÄSTRA GÖTALANDS LÄN</t>
        </is>
      </c>
      <c r="E2659" t="inlineStr">
        <is>
          <t>STENUNGSUND</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27484-2019</t>
        </is>
      </c>
      <c r="B2660" s="1" t="n">
        <v>43619</v>
      </c>
      <c r="C2660" s="1" t="n">
        <v>45212</v>
      </c>
      <c r="D2660" t="inlineStr">
        <is>
          <t>VÄSTRA GÖTALANDS LÄN</t>
        </is>
      </c>
      <c r="E2660" t="inlineStr">
        <is>
          <t>BENGTSFORS</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27646-2019</t>
        </is>
      </c>
      <c r="B2661" s="1" t="n">
        <v>43619</v>
      </c>
      <c r="C2661" s="1" t="n">
        <v>45212</v>
      </c>
      <c r="D2661" t="inlineStr">
        <is>
          <t>VÄSTRA GÖTALANDS LÄN</t>
        </is>
      </c>
      <c r="E2661" t="inlineStr">
        <is>
          <t>SKARA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27829-2019</t>
        </is>
      </c>
      <c r="B2662" s="1" t="n">
        <v>43620</v>
      </c>
      <c r="C2662" s="1" t="n">
        <v>45212</v>
      </c>
      <c r="D2662" t="inlineStr">
        <is>
          <t>VÄSTRA GÖTALANDS LÄN</t>
        </is>
      </c>
      <c r="E2662" t="inlineStr">
        <is>
          <t>FÄRGELANDA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27883-2019</t>
        </is>
      </c>
      <c r="B2663" s="1" t="n">
        <v>43620</v>
      </c>
      <c r="C2663" s="1" t="n">
        <v>45212</v>
      </c>
      <c r="D2663" t="inlineStr">
        <is>
          <t>VÄSTRA GÖTALANDS LÄN</t>
        </is>
      </c>
      <c r="E2663" t="inlineStr">
        <is>
          <t>MELLERUD</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28912-2019</t>
        </is>
      </c>
      <c r="B2664" s="1" t="n">
        <v>43620</v>
      </c>
      <c r="C2664" s="1" t="n">
        <v>45212</v>
      </c>
      <c r="D2664" t="inlineStr">
        <is>
          <t>VÄSTRA GÖTALANDS LÄN</t>
        </is>
      </c>
      <c r="E2664" t="inlineStr">
        <is>
          <t>MELLERUD</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27825-2019</t>
        </is>
      </c>
      <c r="B2665" s="1" t="n">
        <v>43620</v>
      </c>
      <c r="C2665" s="1" t="n">
        <v>45212</v>
      </c>
      <c r="D2665" t="inlineStr">
        <is>
          <t>VÄSTRA GÖTALANDS LÄN</t>
        </is>
      </c>
      <c r="E2665" t="inlineStr">
        <is>
          <t>SVENLJUNGA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27836-2019</t>
        </is>
      </c>
      <c r="B2666" s="1" t="n">
        <v>43620</v>
      </c>
      <c r="C2666" s="1" t="n">
        <v>45212</v>
      </c>
      <c r="D2666" t="inlineStr">
        <is>
          <t>VÄSTRA GÖTALANDS LÄN</t>
        </is>
      </c>
      <c r="E2666" t="inlineStr">
        <is>
          <t>MELLERUD</t>
        </is>
      </c>
      <c r="G2666" t="n">
        <v>1.4</v>
      </c>
      <c r="H2666" t="n">
        <v>0</v>
      </c>
      <c r="I2666" t="n">
        <v>0</v>
      </c>
      <c r="J2666" t="n">
        <v>0</v>
      </c>
      <c r="K2666" t="n">
        <v>0</v>
      </c>
      <c r="L2666" t="n">
        <v>0</v>
      </c>
      <c r="M2666" t="n">
        <v>0</v>
      </c>
      <c r="N2666" t="n">
        <v>0</v>
      </c>
      <c r="O2666" t="n">
        <v>0</v>
      </c>
      <c r="P2666" t="n">
        <v>0</v>
      </c>
      <c r="Q2666" t="n">
        <v>0</v>
      </c>
      <c r="R2666" s="2" t="inlineStr"/>
    </row>
    <row r="2667" ht="15" customHeight="1">
      <c r="A2667" t="inlineStr">
        <is>
          <t>A 27871-2019</t>
        </is>
      </c>
      <c r="B2667" s="1" t="n">
        <v>43620</v>
      </c>
      <c r="C2667" s="1" t="n">
        <v>45212</v>
      </c>
      <c r="D2667" t="inlineStr">
        <is>
          <t>VÄSTRA GÖTALANDS LÄN</t>
        </is>
      </c>
      <c r="E2667" t="inlineStr">
        <is>
          <t>VÄNERSBORG</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27943-2019</t>
        </is>
      </c>
      <c r="B2668" s="1" t="n">
        <v>43620</v>
      </c>
      <c r="C2668" s="1" t="n">
        <v>45212</v>
      </c>
      <c r="D2668" t="inlineStr">
        <is>
          <t>VÄSTRA GÖTALANDS LÄN</t>
        </is>
      </c>
      <c r="E2668" t="inlineStr">
        <is>
          <t>ALINGSÅS</t>
        </is>
      </c>
      <c r="F2668" t="inlineStr">
        <is>
          <t>Kyrkan</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29000-2019</t>
        </is>
      </c>
      <c r="B2669" s="1" t="n">
        <v>43620</v>
      </c>
      <c r="C2669" s="1" t="n">
        <v>45212</v>
      </c>
      <c r="D2669" t="inlineStr">
        <is>
          <t>VÄSTRA GÖTALANDS LÄN</t>
        </is>
      </c>
      <c r="E2669" t="inlineStr">
        <is>
          <t>VÅRGÅRDA</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27826-2019</t>
        </is>
      </c>
      <c r="B2670" s="1" t="n">
        <v>43620</v>
      </c>
      <c r="C2670" s="1" t="n">
        <v>45212</v>
      </c>
      <c r="D2670" t="inlineStr">
        <is>
          <t>VÄSTRA GÖTALANDS LÄN</t>
        </is>
      </c>
      <c r="E2670" t="inlineStr">
        <is>
          <t>SVENLJUNGA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27874-2019</t>
        </is>
      </c>
      <c r="B2671" s="1" t="n">
        <v>43620</v>
      </c>
      <c r="C2671" s="1" t="n">
        <v>45212</v>
      </c>
      <c r="D2671" t="inlineStr">
        <is>
          <t>VÄSTRA GÖTALANDS LÄN</t>
        </is>
      </c>
      <c r="E2671" t="inlineStr">
        <is>
          <t>VÄNERSBORG</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27945-2019</t>
        </is>
      </c>
      <c r="B2672" s="1" t="n">
        <v>43620</v>
      </c>
      <c r="C2672" s="1" t="n">
        <v>45212</v>
      </c>
      <c r="D2672" t="inlineStr">
        <is>
          <t>VÄSTRA GÖTALANDS LÄN</t>
        </is>
      </c>
      <c r="E2672" t="inlineStr">
        <is>
          <t>TIDAHOLM</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29008-2019</t>
        </is>
      </c>
      <c r="B2673" s="1" t="n">
        <v>43620</v>
      </c>
      <c r="C2673" s="1" t="n">
        <v>45212</v>
      </c>
      <c r="D2673" t="inlineStr">
        <is>
          <t>VÄSTRA GÖTALANDS LÄN</t>
        </is>
      </c>
      <c r="E2673" t="inlineStr">
        <is>
          <t>SKÖVDE</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27997-2019</t>
        </is>
      </c>
      <c r="B2674" s="1" t="n">
        <v>43621</v>
      </c>
      <c r="C2674" s="1" t="n">
        <v>45212</v>
      </c>
      <c r="D2674" t="inlineStr">
        <is>
          <t>VÄSTRA GÖTALANDS LÄN</t>
        </is>
      </c>
      <c r="E2674" t="inlineStr">
        <is>
          <t>KARLSBORG</t>
        </is>
      </c>
      <c r="F2674" t="inlineStr">
        <is>
          <t>Sveaskog</t>
        </is>
      </c>
      <c r="G2674" t="n">
        <v>11.9</v>
      </c>
      <c r="H2674" t="n">
        <v>0</v>
      </c>
      <c r="I2674" t="n">
        <v>0</v>
      </c>
      <c r="J2674" t="n">
        <v>0</v>
      </c>
      <c r="K2674" t="n">
        <v>0</v>
      </c>
      <c r="L2674" t="n">
        <v>0</v>
      </c>
      <c r="M2674" t="n">
        <v>0</v>
      </c>
      <c r="N2674" t="n">
        <v>0</v>
      </c>
      <c r="O2674" t="n">
        <v>0</v>
      </c>
      <c r="P2674" t="n">
        <v>0</v>
      </c>
      <c r="Q2674" t="n">
        <v>0</v>
      </c>
      <c r="R2674" s="2" t="inlineStr"/>
    </row>
    <row r="2675" ht="15" customHeight="1">
      <c r="A2675" t="inlineStr">
        <is>
          <t>A 28008-2019</t>
        </is>
      </c>
      <c r="B2675" s="1" t="n">
        <v>43621</v>
      </c>
      <c r="C2675" s="1" t="n">
        <v>45212</v>
      </c>
      <c r="D2675" t="inlineStr">
        <is>
          <t>VÄSTRA GÖTALANDS LÄN</t>
        </is>
      </c>
      <c r="E2675" t="inlineStr">
        <is>
          <t>ORUST</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28015-2019</t>
        </is>
      </c>
      <c r="B2676" s="1" t="n">
        <v>43621</v>
      </c>
      <c r="C2676" s="1" t="n">
        <v>45212</v>
      </c>
      <c r="D2676" t="inlineStr">
        <is>
          <t>VÄSTRA GÖTALANDS LÄN</t>
        </is>
      </c>
      <c r="E2676" t="inlineStr">
        <is>
          <t>ORUST</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28040-2019</t>
        </is>
      </c>
      <c r="B2677" s="1" t="n">
        <v>43621</v>
      </c>
      <c r="C2677" s="1" t="n">
        <v>45212</v>
      </c>
      <c r="D2677" t="inlineStr">
        <is>
          <t>VÄSTRA GÖTALANDS LÄN</t>
        </is>
      </c>
      <c r="E2677" t="inlineStr">
        <is>
          <t>FÄRGELANDA</t>
        </is>
      </c>
      <c r="G2677" t="n">
        <v>7.8</v>
      </c>
      <c r="H2677" t="n">
        <v>0</v>
      </c>
      <c r="I2677" t="n">
        <v>0</v>
      </c>
      <c r="J2677" t="n">
        <v>0</v>
      </c>
      <c r="K2677" t="n">
        <v>0</v>
      </c>
      <c r="L2677" t="n">
        <v>0</v>
      </c>
      <c r="M2677" t="n">
        <v>0</v>
      </c>
      <c r="N2677" t="n">
        <v>0</v>
      </c>
      <c r="O2677" t="n">
        <v>0</v>
      </c>
      <c r="P2677" t="n">
        <v>0</v>
      </c>
      <c r="Q2677" t="n">
        <v>0</v>
      </c>
      <c r="R2677" s="2" t="inlineStr"/>
    </row>
    <row r="2678" ht="15" customHeight="1">
      <c r="A2678" t="inlineStr">
        <is>
          <t>A 28080-2019</t>
        </is>
      </c>
      <c r="B2678" s="1" t="n">
        <v>43621</v>
      </c>
      <c r="C2678" s="1" t="n">
        <v>45212</v>
      </c>
      <c r="D2678" t="inlineStr">
        <is>
          <t>VÄSTRA GÖTALANDS LÄN</t>
        </is>
      </c>
      <c r="E2678" t="inlineStr">
        <is>
          <t>KARLSBORG</t>
        </is>
      </c>
      <c r="F2678" t="inlineStr">
        <is>
          <t>Sveaskog</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29085-2019</t>
        </is>
      </c>
      <c r="B2679" s="1" t="n">
        <v>43621</v>
      </c>
      <c r="C2679" s="1" t="n">
        <v>45212</v>
      </c>
      <c r="D2679" t="inlineStr">
        <is>
          <t>VÄSTRA GÖTALANDS LÄN</t>
        </is>
      </c>
      <c r="E2679" t="inlineStr">
        <is>
          <t>TIDAHOLM</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29188-2019</t>
        </is>
      </c>
      <c r="B2680" s="1" t="n">
        <v>43621</v>
      </c>
      <c r="C2680" s="1" t="n">
        <v>45212</v>
      </c>
      <c r="D2680" t="inlineStr">
        <is>
          <t>VÄSTRA GÖTALANDS LÄN</t>
        </is>
      </c>
      <c r="E2680" t="inlineStr">
        <is>
          <t>ORUST</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27996-2019</t>
        </is>
      </c>
      <c r="B2681" s="1" t="n">
        <v>43621</v>
      </c>
      <c r="C2681" s="1" t="n">
        <v>45212</v>
      </c>
      <c r="D2681" t="inlineStr">
        <is>
          <t>VÄSTRA GÖTALANDS LÄN</t>
        </is>
      </c>
      <c r="E2681" t="inlineStr">
        <is>
          <t>KARLSBORG</t>
        </is>
      </c>
      <c r="F2681" t="inlineStr">
        <is>
          <t>Sveaskog</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28087-2019</t>
        </is>
      </c>
      <c r="B2682" s="1" t="n">
        <v>43621</v>
      </c>
      <c r="C2682" s="1" t="n">
        <v>45212</v>
      </c>
      <c r="D2682" t="inlineStr">
        <is>
          <t>VÄSTRA GÖTALANDS LÄN</t>
        </is>
      </c>
      <c r="E2682" t="inlineStr">
        <is>
          <t>KARLSBORG</t>
        </is>
      </c>
      <c r="F2682" t="inlineStr">
        <is>
          <t>Sveaskog</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28183-2019</t>
        </is>
      </c>
      <c r="B2683" s="1" t="n">
        <v>43621</v>
      </c>
      <c r="C2683" s="1" t="n">
        <v>45212</v>
      </c>
      <c r="D2683" t="inlineStr">
        <is>
          <t>VÄSTRA GÖTALANDS LÄN</t>
        </is>
      </c>
      <c r="E2683" t="inlineStr">
        <is>
          <t>MÖLNDAL</t>
        </is>
      </c>
      <c r="G2683" t="n">
        <v>1.4</v>
      </c>
      <c r="H2683" t="n">
        <v>0</v>
      </c>
      <c r="I2683" t="n">
        <v>0</v>
      </c>
      <c r="J2683" t="n">
        <v>0</v>
      </c>
      <c r="K2683" t="n">
        <v>0</v>
      </c>
      <c r="L2683" t="n">
        <v>0</v>
      </c>
      <c r="M2683" t="n">
        <v>0</v>
      </c>
      <c r="N2683" t="n">
        <v>0</v>
      </c>
      <c r="O2683" t="n">
        <v>0</v>
      </c>
      <c r="P2683" t="n">
        <v>0</v>
      </c>
      <c r="Q2683" t="n">
        <v>0</v>
      </c>
      <c r="R2683" s="2" t="inlineStr"/>
    </row>
    <row r="2684" ht="15" customHeight="1">
      <c r="A2684" t="inlineStr">
        <is>
          <t>A 28187-2019</t>
        </is>
      </c>
      <c r="B2684" s="1" t="n">
        <v>43621</v>
      </c>
      <c r="C2684" s="1" t="n">
        <v>45212</v>
      </c>
      <c r="D2684" t="inlineStr">
        <is>
          <t>VÄSTRA GÖTALANDS LÄN</t>
        </is>
      </c>
      <c r="E2684" t="inlineStr">
        <is>
          <t>ÅMÅL</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29190-2019</t>
        </is>
      </c>
      <c r="B2685" s="1" t="n">
        <v>43621</v>
      </c>
      <c r="C2685" s="1" t="n">
        <v>45212</v>
      </c>
      <c r="D2685" t="inlineStr">
        <is>
          <t>VÄSTRA GÖTALANDS LÄN</t>
        </is>
      </c>
      <c r="E2685" t="inlineStr">
        <is>
          <t>ORUST</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28011-2019</t>
        </is>
      </c>
      <c r="B2686" s="1" t="n">
        <v>43621</v>
      </c>
      <c r="C2686" s="1" t="n">
        <v>45212</v>
      </c>
      <c r="D2686" t="inlineStr">
        <is>
          <t>VÄSTRA GÖTALANDS LÄN</t>
        </is>
      </c>
      <c r="E2686" t="inlineStr">
        <is>
          <t>ORUST</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28084-2019</t>
        </is>
      </c>
      <c r="B2687" s="1" t="n">
        <v>43621</v>
      </c>
      <c r="C2687" s="1" t="n">
        <v>45212</v>
      </c>
      <c r="D2687" t="inlineStr">
        <is>
          <t>VÄSTRA GÖTALANDS LÄN</t>
        </is>
      </c>
      <c r="E2687" t="inlineStr">
        <is>
          <t>KARLSBORG</t>
        </is>
      </c>
      <c r="F2687" t="inlineStr">
        <is>
          <t>Sveaskog</t>
        </is>
      </c>
      <c r="G2687" t="n">
        <v>3.7</v>
      </c>
      <c r="H2687" t="n">
        <v>0</v>
      </c>
      <c r="I2687" t="n">
        <v>0</v>
      </c>
      <c r="J2687" t="n">
        <v>0</v>
      </c>
      <c r="K2687" t="n">
        <v>0</v>
      </c>
      <c r="L2687" t="n">
        <v>0</v>
      </c>
      <c r="M2687" t="n">
        <v>0</v>
      </c>
      <c r="N2687" t="n">
        <v>0</v>
      </c>
      <c r="O2687" t="n">
        <v>0</v>
      </c>
      <c r="P2687" t="n">
        <v>0</v>
      </c>
      <c r="Q2687" t="n">
        <v>0</v>
      </c>
      <c r="R2687" s="2" t="inlineStr"/>
    </row>
    <row r="2688" ht="15" customHeight="1">
      <c r="A2688" t="inlineStr">
        <is>
          <t>A 28317-2019</t>
        </is>
      </c>
      <c r="B2688" s="1" t="n">
        <v>43623</v>
      </c>
      <c r="C2688" s="1" t="n">
        <v>45212</v>
      </c>
      <c r="D2688" t="inlineStr">
        <is>
          <t>VÄSTRA GÖTALANDS LÄN</t>
        </is>
      </c>
      <c r="E2688" t="inlineStr">
        <is>
          <t>STRÖMSTAD</t>
        </is>
      </c>
      <c r="G2688" t="n">
        <v>7.1</v>
      </c>
      <c r="H2688" t="n">
        <v>0</v>
      </c>
      <c r="I2688" t="n">
        <v>0</v>
      </c>
      <c r="J2688" t="n">
        <v>0</v>
      </c>
      <c r="K2688" t="n">
        <v>0</v>
      </c>
      <c r="L2688" t="n">
        <v>0</v>
      </c>
      <c r="M2688" t="n">
        <v>0</v>
      </c>
      <c r="N2688" t="n">
        <v>0</v>
      </c>
      <c r="O2688" t="n">
        <v>0</v>
      </c>
      <c r="P2688" t="n">
        <v>0</v>
      </c>
      <c r="Q2688" t="n">
        <v>0</v>
      </c>
      <c r="R2688" s="2" t="inlineStr"/>
    </row>
    <row r="2689" ht="15" customHeight="1">
      <c r="A2689" t="inlineStr">
        <is>
          <t>A 28254-2019</t>
        </is>
      </c>
      <c r="B2689" s="1" t="n">
        <v>43623</v>
      </c>
      <c r="C2689" s="1" t="n">
        <v>45212</v>
      </c>
      <c r="D2689" t="inlineStr">
        <is>
          <t>VÄSTRA GÖTALANDS LÄN</t>
        </is>
      </c>
      <c r="E2689" t="inlineStr">
        <is>
          <t>SKÖVDE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28346-2019</t>
        </is>
      </c>
      <c r="B2690" s="1" t="n">
        <v>43624</v>
      </c>
      <c r="C2690" s="1" t="n">
        <v>45212</v>
      </c>
      <c r="D2690" t="inlineStr">
        <is>
          <t>VÄSTRA GÖTALANDS LÄN</t>
        </is>
      </c>
      <c r="E2690" t="inlineStr">
        <is>
          <t>BOLLEBYGD</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28362-2019</t>
        </is>
      </c>
      <c r="B2691" s="1" t="n">
        <v>43625</v>
      </c>
      <c r="C2691" s="1" t="n">
        <v>45212</v>
      </c>
      <c r="D2691" t="inlineStr">
        <is>
          <t>VÄSTRA GÖTALANDS LÄN</t>
        </is>
      </c>
      <c r="E2691" t="inlineStr">
        <is>
          <t>MARK</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28478-2019</t>
        </is>
      </c>
      <c r="B2692" s="1" t="n">
        <v>43626</v>
      </c>
      <c r="C2692" s="1" t="n">
        <v>45212</v>
      </c>
      <c r="D2692" t="inlineStr">
        <is>
          <t>VÄSTRA GÖTALANDS LÄN</t>
        </is>
      </c>
      <c r="E2692" t="inlineStr">
        <is>
          <t>SVENLJUNGA</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28505-2019</t>
        </is>
      </c>
      <c r="B2693" s="1" t="n">
        <v>43626</v>
      </c>
      <c r="C2693" s="1" t="n">
        <v>45212</v>
      </c>
      <c r="D2693" t="inlineStr">
        <is>
          <t>VÄSTRA GÖTALANDS LÄN</t>
        </is>
      </c>
      <c r="E2693" t="inlineStr">
        <is>
          <t>TRANEMO</t>
        </is>
      </c>
      <c r="G2693" t="n">
        <v>5.3</v>
      </c>
      <c r="H2693" t="n">
        <v>0</v>
      </c>
      <c r="I2693" t="n">
        <v>0</v>
      </c>
      <c r="J2693" t="n">
        <v>0</v>
      </c>
      <c r="K2693" t="n">
        <v>0</v>
      </c>
      <c r="L2693" t="n">
        <v>0</v>
      </c>
      <c r="M2693" t="n">
        <v>0</v>
      </c>
      <c r="N2693" t="n">
        <v>0</v>
      </c>
      <c r="O2693" t="n">
        <v>0</v>
      </c>
      <c r="P2693" t="n">
        <v>0</v>
      </c>
      <c r="Q2693" t="n">
        <v>0</v>
      </c>
      <c r="R2693" s="2" t="inlineStr"/>
    </row>
    <row r="2694" ht="15" customHeight="1">
      <c r="A2694" t="inlineStr">
        <is>
          <t>A 28420-2019</t>
        </is>
      </c>
      <c r="B2694" s="1" t="n">
        <v>43626</v>
      </c>
      <c r="C2694" s="1" t="n">
        <v>45212</v>
      </c>
      <c r="D2694" t="inlineStr">
        <is>
          <t>VÄSTRA GÖTALANDS LÄN</t>
        </is>
      </c>
      <c r="E2694" t="inlineStr">
        <is>
          <t>STENUNGSUND</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28485-2019</t>
        </is>
      </c>
      <c r="B2695" s="1" t="n">
        <v>43626</v>
      </c>
      <c r="C2695" s="1" t="n">
        <v>45212</v>
      </c>
      <c r="D2695" t="inlineStr">
        <is>
          <t>VÄSTRA GÖTALANDS LÄN</t>
        </is>
      </c>
      <c r="E2695" t="inlineStr">
        <is>
          <t>SVENLJUNGA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28391-2019</t>
        </is>
      </c>
      <c r="B2696" s="1" t="n">
        <v>43626</v>
      </c>
      <c r="C2696" s="1" t="n">
        <v>45212</v>
      </c>
      <c r="D2696" t="inlineStr">
        <is>
          <t>VÄSTRA GÖTALANDS LÄN</t>
        </is>
      </c>
      <c r="E2696" t="inlineStr">
        <is>
          <t>BORÅS</t>
        </is>
      </c>
      <c r="F2696" t="inlineStr">
        <is>
          <t>Kyrkan</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28427-2019</t>
        </is>
      </c>
      <c r="B2697" s="1" t="n">
        <v>43626</v>
      </c>
      <c r="C2697" s="1" t="n">
        <v>45212</v>
      </c>
      <c r="D2697" t="inlineStr">
        <is>
          <t>VÄSTRA GÖTALANDS LÄN</t>
        </is>
      </c>
      <c r="E2697" t="inlineStr">
        <is>
          <t>STENUNGSUND</t>
        </is>
      </c>
      <c r="G2697" t="n">
        <v>0.4</v>
      </c>
      <c r="H2697" t="n">
        <v>0</v>
      </c>
      <c r="I2697" t="n">
        <v>0</v>
      </c>
      <c r="J2697" t="n">
        <v>0</v>
      </c>
      <c r="K2697" t="n">
        <v>0</v>
      </c>
      <c r="L2697" t="n">
        <v>0</v>
      </c>
      <c r="M2697" t="n">
        <v>0</v>
      </c>
      <c r="N2697" t="n">
        <v>0</v>
      </c>
      <c r="O2697" t="n">
        <v>0</v>
      </c>
      <c r="P2697" t="n">
        <v>0</v>
      </c>
      <c r="Q2697" t="n">
        <v>0</v>
      </c>
      <c r="R2697" s="2" t="inlineStr"/>
    </row>
    <row r="2698" ht="15" customHeight="1">
      <c r="A2698" t="inlineStr">
        <is>
          <t>A 28654-2019</t>
        </is>
      </c>
      <c r="B2698" s="1" t="n">
        <v>43627</v>
      </c>
      <c r="C2698" s="1" t="n">
        <v>45212</v>
      </c>
      <c r="D2698" t="inlineStr">
        <is>
          <t>VÄSTRA GÖTALANDS LÄN</t>
        </is>
      </c>
      <c r="E2698" t="inlineStr">
        <is>
          <t>BENGTSFORS</t>
        </is>
      </c>
      <c r="G2698" t="n">
        <v>3.9</v>
      </c>
      <c r="H2698" t="n">
        <v>0</v>
      </c>
      <c r="I2698" t="n">
        <v>0</v>
      </c>
      <c r="J2698" t="n">
        <v>0</v>
      </c>
      <c r="K2698" t="n">
        <v>0</v>
      </c>
      <c r="L2698" t="n">
        <v>0</v>
      </c>
      <c r="M2698" t="n">
        <v>0</v>
      </c>
      <c r="N2698" t="n">
        <v>0</v>
      </c>
      <c r="O2698" t="n">
        <v>0</v>
      </c>
      <c r="P2698" t="n">
        <v>0</v>
      </c>
      <c r="Q2698" t="n">
        <v>0</v>
      </c>
      <c r="R2698" s="2" t="inlineStr"/>
    </row>
    <row r="2699" ht="15" customHeight="1">
      <c r="A2699" t="inlineStr">
        <is>
          <t>A 28703-2019</t>
        </is>
      </c>
      <c r="B2699" s="1" t="n">
        <v>43627</v>
      </c>
      <c r="C2699" s="1" t="n">
        <v>45212</v>
      </c>
      <c r="D2699" t="inlineStr">
        <is>
          <t>VÄSTRA GÖTALANDS LÄN</t>
        </is>
      </c>
      <c r="E2699" t="inlineStr">
        <is>
          <t>BORÅS</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28842-2019</t>
        </is>
      </c>
      <c r="B2700" s="1" t="n">
        <v>43627</v>
      </c>
      <c r="C2700" s="1" t="n">
        <v>45212</v>
      </c>
      <c r="D2700" t="inlineStr">
        <is>
          <t>VÄSTRA GÖTALANDS LÄN</t>
        </is>
      </c>
      <c r="E2700" t="inlineStr">
        <is>
          <t>VARA</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28790-2019</t>
        </is>
      </c>
      <c r="B2701" s="1" t="n">
        <v>43627</v>
      </c>
      <c r="C2701" s="1" t="n">
        <v>45212</v>
      </c>
      <c r="D2701" t="inlineStr">
        <is>
          <t>VÄSTRA GÖTALANDS LÄN</t>
        </is>
      </c>
      <c r="E2701" t="inlineStr">
        <is>
          <t>LIDKÖPING</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28618-2019</t>
        </is>
      </c>
      <c r="B2702" s="1" t="n">
        <v>43627</v>
      </c>
      <c r="C2702" s="1" t="n">
        <v>45212</v>
      </c>
      <c r="D2702" t="inlineStr">
        <is>
          <t>VÄSTRA GÖTALANDS LÄN</t>
        </is>
      </c>
      <c r="E2702" t="inlineStr">
        <is>
          <t>BORÅS</t>
        </is>
      </c>
      <c r="G2702" t="n">
        <v>4.4</v>
      </c>
      <c r="H2702" t="n">
        <v>0</v>
      </c>
      <c r="I2702" t="n">
        <v>0</v>
      </c>
      <c r="J2702" t="n">
        <v>0</v>
      </c>
      <c r="K2702" t="n">
        <v>0</v>
      </c>
      <c r="L2702" t="n">
        <v>0</v>
      </c>
      <c r="M2702" t="n">
        <v>0</v>
      </c>
      <c r="N2702" t="n">
        <v>0</v>
      </c>
      <c r="O2702" t="n">
        <v>0</v>
      </c>
      <c r="P2702" t="n">
        <v>0</v>
      </c>
      <c r="Q2702" t="n">
        <v>0</v>
      </c>
      <c r="R2702" s="2" t="inlineStr"/>
    </row>
    <row r="2703" ht="15" customHeight="1">
      <c r="A2703" t="inlineStr">
        <is>
          <t>A 28847-2019</t>
        </is>
      </c>
      <c r="B2703" s="1" t="n">
        <v>43627</v>
      </c>
      <c r="C2703" s="1" t="n">
        <v>45212</v>
      </c>
      <c r="D2703" t="inlineStr">
        <is>
          <t>VÄSTRA GÖTALANDS LÄN</t>
        </is>
      </c>
      <c r="E2703" t="inlineStr">
        <is>
          <t>MARIESTAD</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29521-2019</t>
        </is>
      </c>
      <c r="B2704" s="1" t="n">
        <v>43627</v>
      </c>
      <c r="C2704" s="1" t="n">
        <v>45212</v>
      </c>
      <c r="D2704" t="inlineStr">
        <is>
          <t>VÄSTRA GÖTALANDS LÄN</t>
        </is>
      </c>
      <c r="E2704" t="inlineStr">
        <is>
          <t>MARK</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29134-2019</t>
        </is>
      </c>
      <c r="B2705" s="1" t="n">
        <v>43628</v>
      </c>
      <c r="C2705" s="1" t="n">
        <v>45212</v>
      </c>
      <c r="D2705" t="inlineStr">
        <is>
          <t>VÄSTRA GÖTALANDS LÄN</t>
        </is>
      </c>
      <c r="E2705" t="inlineStr">
        <is>
          <t>MUNKEDAL</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29131-2019</t>
        </is>
      </c>
      <c r="B2706" s="1" t="n">
        <v>43628</v>
      </c>
      <c r="C2706" s="1" t="n">
        <v>45212</v>
      </c>
      <c r="D2706" t="inlineStr">
        <is>
          <t>VÄSTRA GÖTALANDS LÄN</t>
        </is>
      </c>
      <c r="E2706" t="inlineStr">
        <is>
          <t>LIDKÖPING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29040-2019</t>
        </is>
      </c>
      <c r="B2707" s="1" t="n">
        <v>43628</v>
      </c>
      <c r="C2707" s="1" t="n">
        <v>45212</v>
      </c>
      <c r="D2707" t="inlineStr">
        <is>
          <t>VÄSTRA GÖTALANDS LÄN</t>
        </is>
      </c>
      <c r="E2707" t="inlineStr">
        <is>
          <t>ALINGSÅS</t>
        </is>
      </c>
      <c r="F2707" t="inlineStr">
        <is>
          <t>Kyrkan</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29130-2019</t>
        </is>
      </c>
      <c r="B2708" s="1" t="n">
        <v>43628</v>
      </c>
      <c r="C2708" s="1" t="n">
        <v>45212</v>
      </c>
      <c r="D2708" t="inlineStr">
        <is>
          <t>VÄSTRA GÖTALANDS LÄN</t>
        </is>
      </c>
      <c r="E2708" t="inlineStr">
        <is>
          <t>FALKÖPING</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29462-2019</t>
        </is>
      </c>
      <c r="B2709" s="1" t="n">
        <v>43629</v>
      </c>
      <c r="C2709" s="1" t="n">
        <v>45212</v>
      </c>
      <c r="D2709" t="inlineStr">
        <is>
          <t>VÄSTRA GÖTALANDS LÄN</t>
        </is>
      </c>
      <c r="E2709" t="inlineStr">
        <is>
          <t>TIDAHOLM</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29468-2019</t>
        </is>
      </c>
      <c r="B2710" s="1" t="n">
        <v>43629</v>
      </c>
      <c r="C2710" s="1" t="n">
        <v>45212</v>
      </c>
      <c r="D2710" t="inlineStr">
        <is>
          <t>VÄSTRA GÖTALANDS LÄN</t>
        </is>
      </c>
      <c r="E2710" t="inlineStr">
        <is>
          <t>FÄRGELANDA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29248-2019</t>
        </is>
      </c>
      <c r="B2711" s="1" t="n">
        <v>43629</v>
      </c>
      <c r="C2711" s="1" t="n">
        <v>45212</v>
      </c>
      <c r="D2711" t="inlineStr">
        <is>
          <t>VÄSTRA GÖTALANDS LÄN</t>
        </is>
      </c>
      <c r="E2711" t="inlineStr">
        <is>
          <t>SKÖVDE</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29460-2019</t>
        </is>
      </c>
      <c r="B2712" s="1" t="n">
        <v>43629</v>
      </c>
      <c r="C2712" s="1" t="n">
        <v>45212</v>
      </c>
      <c r="D2712" t="inlineStr">
        <is>
          <t>VÄSTRA GÖTALANDS LÄN</t>
        </is>
      </c>
      <c r="E2712" t="inlineStr">
        <is>
          <t>STRÖMSTAD</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29545-2019</t>
        </is>
      </c>
      <c r="B2713" s="1" t="n">
        <v>43630</v>
      </c>
      <c r="C2713" s="1" t="n">
        <v>45212</v>
      </c>
      <c r="D2713" t="inlineStr">
        <is>
          <t>VÄSTRA GÖTALANDS LÄN</t>
        </is>
      </c>
      <c r="E2713" t="inlineStr">
        <is>
          <t>MUNKEDAL</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29584-2019</t>
        </is>
      </c>
      <c r="B2714" s="1" t="n">
        <v>43630</v>
      </c>
      <c r="C2714" s="1" t="n">
        <v>45212</v>
      </c>
      <c r="D2714" t="inlineStr">
        <is>
          <t>VÄSTRA GÖTALANDS LÄN</t>
        </is>
      </c>
      <c r="E2714" t="inlineStr">
        <is>
          <t>KARLSBORG</t>
        </is>
      </c>
      <c r="F2714" t="inlineStr">
        <is>
          <t>Övriga Aktiebolag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29684-2019</t>
        </is>
      </c>
      <c r="B2715" s="1" t="n">
        <v>43630</v>
      </c>
      <c r="C2715" s="1" t="n">
        <v>45212</v>
      </c>
      <c r="D2715" t="inlineStr">
        <is>
          <t>VÄSTRA GÖTALANDS LÄN</t>
        </is>
      </c>
      <c r="E2715" t="inlineStr">
        <is>
          <t>LERUM</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29737-2019</t>
        </is>
      </c>
      <c r="B2716" s="1" t="n">
        <v>43630</v>
      </c>
      <c r="C2716" s="1" t="n">
        <v>45212</v>
      </c>
      <c r="D2716" t="inlineStr">
        <is>
          <t>VÄSTRA GÖTALANDS LÄN</t>
        </is>
      </c>
      <c r="E2716" t="inlineStr">
        <is>
          <t>VARA</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29727-2019</t>
        </is>
      </c>
      <c r="B2717" s="1" t="n">
        <v>43630</v>
      </c>
      <c r="C2717" s="1" t="n">
        <v>45212</v>
      </c>
      <c r="D2717" t="inlineStr">
        <is>
          <t>VÄSTRA GÖTALANDS LÄN</t>
        </is>
      </c>
      <c r="E2717" t="inlineStr">
        <is>
          <t>TIBRO</t>
        </is>
      </c>
      <c r="F2717" t="inlineStr">
        <is>
          <t>Kommuner</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29571-2019</t>
        </is>
      </c>
      <c r="B2718" s="1" t="n">
        <v>43630</v>
      </c>
      <c r="C2718" s="1" t="n">
        <v>45212</v>
      </c>
      <c r="D2718" t="inlineStr">
        <is>
          <t>VÄSTRA GÖTALANDS LÄN</t>
        </is>
      </c>
      <c r="E2718" t="inlineStr">
        <is>
          <t>KARLSBORG</t>
        </is>
      </c>
      <c r="F2718" t="inlineStr">
        <is>
          <t>Övriga Aktiebolag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29609-2019</t>
        </is>
      </c>
      <c r="B2719" s="1" t="n">
        <v>43630</v>
      </c>
      <c r="C2719" s="1" t="n">
        <v>45212</v>
      </c>
      <c r="D2719" t="inlineStr">
        <is>
          <t>VÄSTRA GÖTALANDS LÄN</t>
        </is>
      </c>
      <c r="E2719" t="inlineStr">
        <is>
          <t>STENUNGSUND</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29732-2019</t>
        </is>
      </c>
      <c r="B2720" s="1" t="n">
        <v>43630</v>
      </c>
      <c r="C2720" s="1" t="n">
        <v>45212</v>
      </c>
      <c r="D2720" t="inlineStr">
        <is>
          <t>VÄSTRA GÖTALANDS LÄN</t>
        </is>
      </c>
      <c r="E2720" t="inlineStr">
        <is>
          <t>MELLERUD</t>
        </is>
      </c>
      <c r="G2720" t="n">
        <v>3</v>
      </c>
      <c r="H2720" t="n">
        <v>0</v>
      </c>
      <c r="I2720" t="n">
        <v>0</v>
      </c>
      <c r="J2720" t="n">
        <v>0</v>
      </c>
      <c r="K2720" t="n">
        <v>0</v>
      </c>
      <c r="L2720" t="n">
        <v>0</v>
      </c>
      <c r="M2720" t="n">
        <v>0</v>
      </c>
      <c r="N2720" t="n">
        <v>0</v>
      </c>
      <c r="O2720" t="n">
        <v>0</v>
      </c>
      <c r="P2720" t="n">
        <v>0</v>
      </c>
      <c r="Q2720" t="n">
        <v>0</v>
      </c>
      <c r="R2720" s="2" t="inlineStr"/>
    </row>
    <row r="2721" ht="15" customHeight="1">
      <c r="A2721" t="inlineStr">
        <is>
          <t>A 29556-2019</t>
        </is>
      </c>
      <c r="B2721" s="1" t="n">
        <v>43630</v>
      </c>
      <c r="C2721" s="1" t="n">
        <v>45212</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29617-2019</t>
        </is>
      </c>
      <c r="B2722" s="1" t="n">
        <v>43630</v>
      </c>
      <c r="C2722" s="1" t="n">
        <v>45212</v>
      </c>
      <c r="D2722" t="inlineStr">
        <is>
          <t>VÄSTRA GÖTALANDS LÄN</t>
        </is>
      </c>
      <c r="E2722" t="inlineStr">
        <is>
          <t>KARLSBORG</t>
        </is>
      </c>
      <c r="F2722" t="inlineStr">
        <is>
          <t>Övriga Aktiebolag</t>
        </is>
      </c>
      <c r="G2722" t="n">
        <v>1.9</v>
      </c>
      <c r="H2722" t="n">
        <v>0</v>
      </c>
      <c r="I2722" t="n">
        <v>0</v>
      </c>
      <c r="J2722" t="n">
        <v>0</v>
      </c>
      <c r="K2722" t="n">
        <v>0</v>
      </c>
      <c r="L2722" t="n">
        <v>0</v>
      </c>
      <c r="M2722" t="n">
        <v>0</v>
      </c>
      <c r="N2722" t="n">
        <v>0</v>
      </c>
      <c r="O2722" t="n">
        <v>0</v>
      </c>
      <c r="P2722" t="n">
        <v>0</v>
      </c>
      <c r="Q2722" t="n">
        <v>0</v>
      </c>
      <c r="R2722" s="2" t="inlineStr"/>
    </row>
    <row r="2723" ht="15" customHeight="1">
      <c r="A2723" t="inlineStr">
        <is>
          <t>A 30231-2019</t>
        </is>
      </c>
      <c r="B2723" s="1" t="n">
        <v>43630</v>
      </c>
      <c r="C2723" s="1" t="n">
        <v>45212</v>
      </c>
      <c r="D2723" t="inlineStr">
        <is>
          <t>VÄSTRA GÖTALANDS LÄN</t>
        </is>
      </c>
      <c r="E2723" t="inlineStr">
        <is>
          <t>ALINGSÅS</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30273-2019</t>
        </is>
      </c>
      <c r="B2724" s="1" t="n">
        <v>43632</v>
      </c>
      <c r="C2724" s="1" t="n">
        <v>45212</v>
      </c>
      <c r="D2724" t="inlineStr">
        <is>
          <t>VÄSTRA GÖTALANDS LÄN</t>
        </is>
      </c>
      <c r="E2724" t="inlineStr">
        <is>
          <t>MUNKEDAL</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30216-2019</t>
        </is>
      </c>
      <c r="B2725" s="1" t="n">
        <v>43632</v>
      </c>
      <c r="C2725" s="1" t="n">
        <v>45212</v>
      </c>
      <c r="D2725" t="inlineStr">
        <is>
          <t>VÄSTRA GÖTALANDS LÄN</t>
        </is>
      </c>
      <c r="E2725" t="inlineStr">
        <is>
          <t>MUNKEDAL</t>
        </is>
      </c>
      <c r="G2725" t="n">
        <v>7.6</v>
      </c>
      <c r="H2725" t="n">
        <v>0</v>
      </c>
      <c r="I2725" t="n">
        <v>0</v>
      </c>
      <c r="J2725" t="n">
        <v>0</v>
      </c>
      <c r="K2725" t="n">
        <v>0</v>
      </c>
      <c r="L2725" t="n">
        <v>0</v>
      </c>
      <c r="M2725" t="n">
        <v>0</v>
      </c>
      <c r="N2725" t="n">
        <v>0</v>
      </c>
      <c r="O2725" t="n">
        <v>0</v>
      </c>
      <c r="P2725" t="n">
        <v>0</v>
      </c>
      <c r="Q2725" t="n">
        <v>0</v>
      </c>
      <c r="R2725" s="2" t="inlineStr"/>
    </row>
    <row r="2726" ht="15" customHeight="1">
      <c r="A2726" t="inlineStr">
        <is>
          <t>A 29768-2019</t>
        </is>
      </c>
      <c r="B2726" s="1" t="n">
        <v>43632</v>
      </c>
      <c r="C2726" s="1" t="n">
        <v>45212</v>
      </c>
      <c r="D2726" t="inlineStr">
        <is>
          <t>VÄSTRA GÖTALANDS LÄN</t>
        </is>
      </c>
      <c r="E2726" t="inlineStr">
        <is>
          <t>BOLLEBYGD</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30278-2019</t>
        </is>
      </c>
      <c r="B2727" s="1" t="n">
        <v>43632</v>
      </c>
      <c r="C2727" s="1" t="n">
        <v>45212</v>
      </c>
      <c r="D2727" t="inlineStr">
        <is>
          <t>VÄSTRA GÖTALANDS LÄN</t>
        </is>
      </c>
      <c r="E2727" t="inlineStr">
        <is>
          <t>TANUM</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30098-2019</t>
        </is>
      </c>
      <c r="B2728" s="1" t="n">
        <v>43633</v>
      </c>
      <c r="C2728" s="1" t="n">
        <v>45212</v>
      </c>
      <c r="D2728" t="inlineStr">
        <is>
          <t>VÄSTRA GÖTALANDS LÄN</t>
        </is>
      </c>
      <c r="E2728" t="inlineStr">
        <is>
          <t>BENGTSFORS</t>
        </is>
      </c>
      <c r="G2728" t="n">
        <v>2.5</v>
      </c>
      <c r="H2728" t="n">
        <v>0</v>
      </c>
      <c r="I2728" t="n">
        <v>0</v>
      </c>
      <c r="J2728" t="n">
        <v>0</v>
      </c>
      <c r="K2728" t="n">
        <v>0</v>
      </c>
      <c r="L2728" t="n">
        <v>0</v>
      </c>
      <c r="M2728" t="n">
        <v>0</v>
      </c>
      <c r="N2728" t="n">
        <v>0</v>
      </c>
      <c r="O2728" t="n">
        <v>0</v>
      </c>
      <c r="P2728" t="n">
        <v>0</v>
      </c>
      <c r="Q2728" t="n">
        <v>0</v>
      </c>
      <c r="R2728" s="2" t="inlineStr"/>
    </row>
    <row r="2729" ht="15" customHeight="1">
      <c r="A2729" t="inlineStr">
        <is>
          <t>A 30406-2019</t>
        </is>
      </c>
      <c r="B2729" s="1" t="n">
        <v>43633</v>
      </c>
      <c r="C2729" s="1" t="n">
        <v>45212</v>
      </c>
      <c r="D2729" t="inlineStr">
        <is>
          <t>VÄSTRA GÖTALANDS LÄN</t>
        </is>
      </c>
      <c r="E2729" t="inlineStr">
        <is>
          <t>ÅMÅL</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30454-2019</t>
        </is>
      </c>
      <c r="B2730" s="1" t="n">
        <v>43633</v>
      </c>
      <c r="C2730" s="1" t="n">
        <v>45212</v>
      </c>
      <c r="D2730" t="inlineStr">
        <is>
          <t>VÄSTRA GÖTALANDS LÄN</t>
        </is>
      </c>
      <c r="E2730" t="inlineStr">
        <is>
          <t>ALINGSÅS</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29906-2019</t>
        </is>
      </c>
      <c r="B2731" s="1" t="n">
        <v>43633</v>
      </c>
      <c r="C2731" s="1" t="n">
        <v>45212</v>
      </c>
      <c r="D2731" t="inlineStr">
        <is>
          <t>VÄSTRA GÖTALANDS LÄN</t>
        </is>
      </c>
      <c r="E2731" t="inlineStr">
        <is>
          <t>STENUNGSUND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29905-2019</t>
        </is>
      </c>
      <c r="B2732" s="1" t="n">
        <v>43633</v>
      </c>
      <c r="C2732" s="1" t="n">
        <v>45212</v>
      </c>
      <c r="D2732" t="inlineStr">
        <is>
          <t>VÄSTRA GÖTALANDS LÄN</t>
        </is>
      </c>
      <c r="E2732" t="inlineStr">
        <is>
          <t>BENGTSFORS</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30280-2019</t>
        </is>
      </c>
      <c r="B2733" s="1" t="n">
        <v>43633</v>
      </c>
      <c r="C2733" s="1" t="n">
        <v>45212</v>
      </c>
      <c r="D2733" t="inlineStr">
        <is>
          <t>VÄSTRA GÖTALANDS LÄN</t>
        </is>
      </c>
      <c r="E2733" t="inlineStr">
        <is>
          <t>DALS-ED</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30494-2019</t>
        </is>
      </c>
      <c r="B2734" s="1" t="n">
        <v>43633</v>
      </c>
      <c r="C2734" s="1" t="n">
        <v>45212</v>
      </c>
      <c r="D2734" t="inlineStr">
        <is>
          <t>VÄSTRA GÖTALANDS LÄN</t>
        </is>
      </c>
      <c r="E2734" t="inlineStr">
        <is>
          <t>SKARA</t>
        </is>
      </c>
      <c r="G2734" t="n">
        <v>1.5</v>
      </c>
      <c r="H2734" t="n">
        <v>0</v>
      </c>
      <c r="I2734" t="n">
        <v>0</v>
      </c>
      <c r="J2734" t="n">
        <v>0</v>
      </c>
      <c r="K2734" t="n">
        <v>0</v>
      </c>
      <c r="L2734" t="n">
        <v>0</v>
      </c>
      <c r="M2734" t="n">
        <v>0</v>
      </c>
      <c r="N2734" t="n">
        <v>0</v>
      </c>
      <c r="O2734" t="n">
        <v>0</v>
      </c>
      <c r="P2734" t="n">
        <v>0</v>
      </c>
      <c r="Q2734" t="n">
        <v>0</v>
      </c>
      <c r="R2734" s="2" t="inlineStr"/>
    </row>
    <row r="2735" ht="15" customHeight="1">
      <c r="A2735" t="inlineStr">
        <is>
          <t>A 29830-2019</t>
        </is>
      </c>
      <c r="B2735" s="1" t="n">
        <v>43633</v>
      </c>
      <c r="C2735" s="1" t="n">
        <v>45212</v>
      </c>
      <c r="D2735" t="inlineStr">
        <is>
          <t>VÄSTRA GÖTALANDS LÄN</t>
        </is>
      </c>
      <c r="E2735" t="inlineStr">
        <is>
          <t>VÅRGÅRDA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30458-2019</t>
        </is>
      </c>
      <c r="B2736" s="1" t="n">
        <v>43633</v>
      </c>
      <c r="C2736" s="1" t="n">
        <v>45212</v>
      </c>
      <c r="D2736" t="inlineStr">
        <is>
          <t>VÄSTRA GÖTALANDS LÄN</t>
        </is>
      </c>
      <c r="E2736" t="inlineStr">
        <is>
          <t>DALS-ED</t>
        </is>
      </c>
      <c r="G2736" t="n">
        <v>5.6</v>
      </c>
      <c r="H2736" t="n">
        <v>0</v>
      </c>
      <c r="I2736" t="n">
        <v>0</v>
      </c>
      <c r="J2736" t="n">
        <v>0</v>
      </c>
      <c r="K2736" t="n">
        <v>0</v>
      </c>
      <c r="L2736" t="n">
        <v>0</v>
      </c>
      <c r="M2736" t="n">
        <v>0</v>
      </c>
      <c r="N2736" t="n">
        <v>0</v>
      </c>
      <c r="O2736" t="n">
        <v>0</v>
      </c>
      <c r="P2736" t="n">
        <v>0</v>
      </c>
      <c r="Q2736" t="n">
        <v>0</v>
      </c>
      <c r="R2736" s="2" t="inlineStr"/>
    </row>
    <row r="2737" ht="15" customHeight="1">
      <c r="A2737" t="inlineStr">
        <is>
          <t>A 30238-2019</t>
        </is>
      </c>
      <c r="B2737" s="1" t="n">
        <v>43634</v>
      </c>
      <c r="C2737" s="1" t="n">
        <v>45212</v>
      </c>
      <c r="D2737" t="inlineStr">
        <is>
          <t>VÄSTRA GÖTALANDS LÄN</t>
        </is>
      </c>
      <c r="E2737" t="inlineStr">
        <is>
          <t>BOLLEBYGD</t>
        </is>
      </c>
      <c r="G2737" t="n">
        <v>3.4</v>
      </c>
      <c r="H2737" t="n">
        <v>0</v>
      </c>
      <c r="I2737" t="n">
        <v>0</v>
      </c>
      <c r="J2737" t="n">
        <v>0</v>
      </c>
      <c r="K2737" t="n">
        <v>0</v>
      </c>
      <c r="L2737" t="n">
        <v>0</v>
      </c>
      <c r="M2737" t="n">
        <v>0</v>
      </c>
      <c r="N2737" t="n">
        <v>0</v>
      </c>
      <c r="O2737" t="n">
        <v>0</v>
      </c>
      <c r="P2737" t="n">
        <v>0</v>
      </c>
      <c r="Q2737" t="n">
        <v>0</v>
      </c>
      <c r="R2737" s="2" t="inlineStr"/>
    </row>
    <row r="2738" ht="15" customHeight="1">
      <c r="A2738" t="inlineStr">
        <is>
          <t>A 30311-2019</t>
        </is>
      </c>
      <c r="B2738" s="1" t="n">
        <v>43634</v>
      </c>
      <c r="C2738" s="1" t="n">
        <v>45212</v>
      </c>
      <c r="D2738" t="inlineStr">
        <is>
          <t>VÄSTRA GÖTALANDS LÄN</t>
        </is>
      </c>
      <c r="E2738" t="inlineStr">
        <is>
          <t>KARLSBORG</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30453-2019</t>
        </is>
      </c>
      <c r="B2739" s="1" t="n">
        <v>43634</v>
      </c>
      <c r="C2739" s="1" t="n">
        <v>45212</v>
      </c>
      <c r="D2739" t="inlineStr">
        <is>
          <t>VÄSTRA GÖTALANDS LÄN</t>
        </is>
      </c>
      <c r="E2739" t="inlineStr">
        <is>
          <t>KUNGÄLV</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30191-2019</t>
        </is>
      </c>
      <c r="B2740" s="1" t="n">
        <v>43634</v>
      </c>
      <c r="C2740" s="1" t="n">
        <v>45212</v>
      </c>
      <c r="D2740" t="inlineStr">
        <is>
          <t>VÄSTRA GÖTALANDS LÄN</t>
        </is>
      </c>
      <c r="E2740" t="inlineStr">
        <is>
          <t>LILLA EDET</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30318-2019</t>
        </is>
      </c>
      <c r="B2741" s="1" t="n">
        <v>43634</v>
      </c>
      <c r="C2741" s="1" t="n">
        <v>45212</v>
      </c>
      <c r="D2741" t="inlineStr">
        <is>
          <t>VÄSTRA GÖTALANDS LÄN</t>
        </is>
      </c>
      <c r="E2741" t="inlineStr">
        <is>
          <t>KARLSBORG</t>
        </is>
      </c>
      <c r="G2741" t="n">
        <v>2.6</v>
      </c>
      <c r="H2741" t="n">
        <v>0</v>
      </c>
      <c r="I2741" t="n">
        <v>0</v>
      </c>
      <c r="J2741" t="n">
        <v>0</v>
      </c>
      <c r="K2741" t="n">
        <v>0</v>
      </c>
      <c r="L2741" t="n">
        <v>0</v>
      </c>
      <c r="M2741" t="n">
        <v>0</v>
      </c>
      <c r="N2741" t="n">
        <v>0</v>
      </c>
      <c r="O2741" t="n">
        <v>0</v>
      </c>
      <c r="P2741" t="n">
        <v>0</v>
      </c>
      <c r="Q2741" t="n">
        <v>0</v>
      </c>
      <c r="R2741" s="2" t="inlineStr"/>
    </row>
    <row r="2742" ht="15" customHeight="1">
      <c r="A2742" t="inlineStr">
        <is>
          <t>A 30210-2019</t>
        </is>
      </c>
      <c r="B2742" s="1" t="n">
        <v>43634</v>
      </c>
      <c r="C2742" s="1" t="n">
        <v>45212</v>
      </c>
      <c r="D2742" t="inlineStr">
        <is>
          <t>VÄSTRA GÖTALANDS LÄN</t>
        </is>
      </c>
      <c r="E2742" t="inlineStr">
        <is>
          <t>KARLSBORG</t>
        </is>
      </c>
      <c r="G2742" t="n">
        <v>0.6</v>
      </c>
      <c r="H2742" t="n">
        <v>0</v>
      </c>
      <c r="I2742" t="n">
        <v>0</v>
      </c>
      <c r="J2742" t="n">
        <v>0</v>
      </c>
      <c r="K2742" t="n">
        <v>0</v>
      </c>
      <c r="L2742" t="n">
        <v>0</v>
      </c>
      <c r="M2742" t="n">
        <v>0</v>
      </c>
      <c r="N2742" t="n">
        <v>0</v>
      </c>
      <c r="O2742" t="n">
        <v>0</v>
      </c>
      <c r="P2742" t="n">
        <v>0</v>
      </c>
      <c r="Q2742" t="n">
        <v>0</v>
      </c>
      <c r="R2742" s="2" t="inlineStr"/>
    </row>
    <row r="2743" ht="15" customHeight="1">
      <c r="A2743" t="inlineStr">
        <is>
          <t>A 30245-2019</t>
        </is>
      </c>
      <c r="B2743" s="1" t="n">
        <v>43634</v>
      </c>
      <c r="C2743" s="1" t="n">
        <v>45212</v>
      </c>
      <c r="D2743" t="inlineStr">
        <is>
          <t>VÄSTRA GÖTALANDS LÄN</t>
        </is>
      </c>
      <c r="E2743" t="inlineStr">
        <is>
          <t>SVENLJUNGA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30320-2019</t>
        </is>
      </c>
      <c r="B2744" s="1" t="n">
        <v>43634</v>
      </c>
      <c r="C2744" s="1" t="n">
        <v>45212</v>
      </c>
      <c r="D2744" t="inlineStr">
        <is>
          <t>VÄSTRA GÖTALANDS LÄN</t>
        </is>
      </c>
      <c r="E2744" t="inlineStr">
        <is>
          <t>KARLSBORG</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30444-2019</t>
        </is>
      </c>
      <c r="B2745" s="1" t="n">
        <v>43635</v>
      </c>
      <c r="C2745" s="1" t="n">
        <v>45212</v>
      </c>
      <c r="D2745" t="inlineStr">
        <is>
          <t>VÄSTRA GÖTALANDS LÄN</t>
        </is>
      </c>
      <c r="E2745" t="inlineStr">
        <is>
          <t>ÅMÅL</t>
        </is>
      </c>
      <c r="G2745" t="n">
        <v>6</v>
      </c>
      <c r="H2745" t="n">
        <v>0</v>
      </c>
      <c r="I2745" t="n">
        <v>0</v>
      </c>
      <c r="J2745" t="n">
        <v>0</v>
      </c>
      <c r="K2745" t="n">
        <v>0</v>
      </c>
      <c r="L2745" t="n">
        <v>0</v>
      </c>
      <c r="M2745" t="n">
        <v>0</v>
      </c>
      <c r="N2745" t="n">
        <v>0</v>
      </c>
      <c r="O2745" t="n">
        <v>0</v>
      </c>
      <c r="P2745" t="n">
        <v>0</v>
      </c>
      <c r="Q2745" t="n">
        <v>0</v>
      </c>
      <c r="R2745" s="2" t="inlineStr"/>
    </row>
    <row r="2746" ht="15" customHeight="1">
      <c r="A2746" t="inlineStr">
        <is>
          <t>A 30538-2019</t>
        </is>
      </c>
      <c r="B2746" s="1" t="n">
        <v>43635</v>
      </c>
      <c r="C2746" s="1" t="n">
        <v>45212</v>
      </c>
      <c r="D2746" t="inlineStr">
        <is>
          <t>VÄSTRA GÖTALANDS LÄN</t>
        </is>
      </c>
      <c r="E2746" t="inlineStr">
        <is>
          <t>BENGTSFORS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30703-2019</t>
        </is>
      </c>
      <c r="B2747" s="1" t="n">
        <v>43635</v>
      </c>
      <c r="C2747" s="1" t="n">
        <v>45212</v>
      </c>
      <c r="D2747" t="inlineStr">
        <is>
          <t>VÄSTRA GÖTALANDS LÄN</t>
        </is>
      </c>
      <c r="E2747" t="inlineStr">
        <is>
          <t>GÖTENE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30576-2019</t>
        </is>
      </c>
      <c r="B2748" s="1" t="n">
        <v>43635</v>
      </c>
      <c r="C2748" s="1" t="n">
        <v>45212</v>
      </c>
      <c r="D2748" t="inlineStr">
        <is>
          <t>VÄSTRA GÖTALANDS LÄN</t>
        </is>
      </c>
      <c r="E2748" t="inlineStr">
        <is>
          <t>BORÅS</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30441-2019</t>
        </is>
      </c>
      <c r="B2749" s="1" t="n">
        <v>43635</v>
      </c>
      <c r="C2749" s="1" t="n">
        <v>45212</v>
      </c>
      <c r="D2749" t="inlineStr">
        <is>
          <t>VÄSTRA GÖTALANDS LÄN</t>
        </is>
      </c>
      <c r="E2749" t="inlineStr">
        <is>
          <t>ÅMÅL</t>
        </is>
      </c>
      <c r="G2749" t="n">
        <v>4</v>
      </c>
      <c r="H2749" t="n">
        <v>0</v>
      </c>
      <c r="I2749" t="n">
        <v>0</v>
      </c>
      <c r="J2749" t="n">
        <v>0</v>
      </c>
      <c r="K2749" t="n">
        <v>0</v>
      </c>
      <c r="L2749" t="n">
        <v>0</v>
      </c>
      <c r="M2749" t="n">
        <v>0</v>
      </c>
      <c r="N2749" t="n">
        <v>0</v>
      </c>
      <c r="O2749" t="n">
        <v>0</v>
      </c>
      <c r="P2749" t="n">
        <v>0</v>
      </c>
      <c r="Q2749" t="n">
        <v>0</v>
      </c>
      <c r="R2749" s="2" t="inlineStr"/>
    </row>
    <row r="2750" ht="15" customHeight="1">
      <c r="A2750" t="inlineStr">
        <is>
          <t>A 30683-2019</t>
        </is>
      </c>
      <c r="B2750" s="1" t="n">
        <v>43635</v>
      </c>
      <c r="C2750" s="1" t="n">
        <v>45212</v>
      </c>
      <c r="D2750" t="inlineStr">
        <is>
          <t>VÄSTRA GÖTALANDS LÄN</t>
        </is>
      </c>
      <c r="E2750" t="inlineStr">
        <is>
          <t>TÖREBODA</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30516-2019</t>
        </is>
      </c>
      <c r="B2751" s="1" t="n">
        <v>43635</v>
      </c>
      <c r="C2751" s="1" t="n">
        <v>45212</v>
      </c>
      <c r="D2751" t="inlineStr">
        <is>
          <t>VÄSTRA GÖTALANDS LÄN</t>
        </is>
      </c>
      <c r="E2751" t="inlineStr">
        <is>
          <t>ALINGSÅS</t>
        </is>
      </c>
      <c r="G2751" t="n">
        <v>8.9</v>
      </c>
      <c r="H2751" t="n">
        <v>0</v>
      </c>
      <c r="I2751" t="n">
        <v>0</v>
      </c>
      <c r="J2751" t="n">
        <v>0</v>
      </c>
      <c r="K2751" t="n">
        <v>0</v>
      </c>
      <c r="L2751" t="n">
        <v>0</v>
      </c>
      <c r="M2751" t="n">
        <v>0</v>
      </c>
      <c r="N2751" t="n">
        <v>0</v>
      </c>
      <c r="O2751" t="n">
        <v>0</v>
      </c>
      <c r="P2751" t="n">
        <v>0</v>
      </c>
      <c r="Q2751" t="n">
        <v>0</v>
      </c>
      <c r="R2751" s="2" t="inlineStr"/>
    </row>
    <row r="2752" ht="15" customHeight="1">
      <c r="A2752" t="inlineStr">
        <is>
          <t>A 30675-2019</t>
        </is>
      </c>
      <c r="B2752" s="1" t="n">
        <v>43635</v>
      </c>
      <c r="C2752" s="1" t="n">
        <v>45212</v>
      </c>
      <c r="D2752" t="inlineStr">
        <is>
          <t>VÄSTRA GÖTALANDS LÄN</t>
        </is>
      </c>
      <c r="E2752" t="inlineStr">
        <is>
          <t>KARLSBORG</t>
        </is>
      </c>
      <c r="G2752" t="n">
        <v>3.3</v>
      </c>
      <c r="H2752" t="n">
        <v>0</v>
      </c>
      <c r="I2752" t="n">
        <v>0</v>
      </c>
      <c r="J2752" t="n">
        <v>0</v>
      </c>
      <c r="K2752" t="n">
        <v>0</v>
      </c>
      <c r="L2752" t="n">
        <v>0</v>
      </c>
      <c r="M2752" t="n">
        <v>0</v>
      </c>
      <c r="N2752" t="n">
        <v>0</v>
      </c>
      <c r="O2752" t="n">
        <v>0</v>
      </c>
      <c r="P2752" t="n">
        <v>0</v>
      </c>
      <c r="Q2752" t="n">
        <v>0</v>
      </c>
      <c r="R2752" s="2" t="inlineStr"/>
    </row>
    <row r="2753" ht="15" customHeight="1">
      <c r="A2753" t="inlineStr">
        <is>
          <t>A 30688-2019</t>
        </is>
      </c>
      <c r="B2753" s="1" t="n">
        <v>43636</v>
      </c>
      <c r="C2753" s="1" t="n">
        <v>45212</v>
      </c>
      <c r="D2753" t="inlineStr">
        <is>
          <t>VÄSTRA GÖTALANDS LÄN</t>
        </is>
      </c>
      <c r="E2753" t="inlineStr">
        <is>
          <t>VÅRGÅRDA</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30784-2019</t>
        </is>
      </c>
      <c r="B2754" s="1" t="n">
        <v>43636</v>
      </c>
      <c r="C2754" s="1" t="n">
        <v>45212</v>
      </c>
      <c r="D2754" t="inlineStr">
        <is>
          <t>VÄSTRA GÖTALANDS LÄN</t>
        </is>
      </c>
      <c r="E2754" t="inlineStr">
        <is>
          <t>MELLERUD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30852-2019</t>
        </is>
      </c>
      <c r="B2755" s="1" t="n">
        <v>43636</v>
      </c>
      <c r="C2755" s="1" t="n">
        <v>45212</v>
      </c>
      <c r="D2755" t="inlineStr">
        <is>
          <t>VÄSTRA GÖTALANDS LÄN</t>
        </is>
      </c>
      <c r="E2755" t="inlineStr">
        <is>
          <t>UDDEVALLA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30911-2019</t>
        </is>
      </c>
      <c r="B2756" s="1" t="n">
        <v>43636</v>
      </c>
      <c r="C2756" s="1" t="n">
        <v>45212</v>
      </c>
      <c r="D2756" t="inlineStr">
        <is>
          <t>VÄSTRA GÖTALANDS LÄN</t>
        </is>
      </c>
      <c r="E2756" t="inlineStr">
        <is>
          <t>FÄRGELANDA</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30743-2019</t>
        </is>
      </c>
      <c r="B2757" s="1" t="n">
        <v>43636</v>
      </c>
      <c r="C2757" s="1" t="n">
        <v>45212</v>
      </c>
      <c r="D2757" t="inlineStr">
        <is>
          <t>VÄSTRA GÖTALANDS LÄN</t>
        </is>
      </c>
      <c r="E2757" t="inlineStr">
        <is>
          <t>SKARA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30782-2019</t>
        </is>
      </c>
      <c r="B2758" s="1" t="n">
        <v>43636</v>
      </c>
      <c r="C2758" s="1" t="n">
        <v>45212</v>
      </c>
      <c r="D2758" t="inlineStr">
        <is>
          <t>VÄSTRA GÖTALANDS LÄN</t>
        </is>
      </c>
      <c r="E2758" t="inlineStr">
        <is>
          <t>MELLERUD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30800-2019</t>
        </is>
      </c>
      <c r="B2759" s="1" t="n">
        <v>43636</v>
      </c>
      <c r="C2759" s="1" t="n">
        <v>45212</v>
      </c>
      <c r="D2759" t="inlineStr">
        <is>
          <t>VÄSTRA GÖTALANDS LÄN</t>
        </is>
      </c>
      <c r="E2759" t="inlineStr">
        <is>
          <t>HÄRRYDA</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30865-2019</t>
        </is>
      </c>
      <c r="B2760" s="1" t="n">
        <v>43636</v>
      </c>
      <c r="C2760" s="1" t="n">
        <v>45212</v>
      </c>
      <c r="D2760" t="inlineStr">
        <is>
          <t>VÄSTRA GÖTALANDS LÄN</t>
        </is>
      </c>
      <c r="E2760" t="inlineStr">
        <is>
          <t>SKARA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30797-2019</t>
        </is>
      </c>
      <c r="B2761" s="1" t="n">
        <v>43636</v>
      </c>
      <c r="C2761" s="1" t="n">
        <v>45212</v>
      </c>
      <c r="D2761" t="inlineStr">
        <is>
          <t>VÄSTRA GÖTALANDS LÄN</t>
        </is>
      </c>
      <c r="E2761" t="inlineStr">
        <is>
          <t>BOLLEBYGD</t>
        </is>
      </c>
      <c r="G2761" t="n">
        <v>20.3</v>
      </c>
      <c r="H2761" t="n">
        <v>0</v>
      </c>
      <c r="I2761" t="n">
        <v>0</v>
      </c>
      <c r="J2761" t="n">
        <v>0</v>
      </c>
      <c r="K2761" t="n">
        <v>0</v>
      </c>
      <c r="L2761" t="n">
        <v>0</v>
      </c>
      <c r="M2761" t="n">
        <v>0</v>
      </c>
      <c r="N2761" t="n">
        <v>0</v>
      </c>
      <c r="O2761" t="n">
        <v>0</v>
      </c>
      <c r="P2761" t="n">
        <v>0</v>
      </c>
      <c r="Q2761" t="n">
        <v>0</v>
      </c>
      <c r="R2761" s="2" t="inlineStr"/>
    </row>
    <row r="2762" ht="15" customHeight="1">
      <c r="A2762" t="inlineStr">
        <is>
          <t>A 30836-2019</t>
        </is>
      </c>
      <c r="B2762" s="1" t="n">
        <v>43636</v>
      </c>
      <c r="C2762" s="1" t="n">
        <v>45212</v>
      </c>
      <c r="D2762" t="inlineStr">
        <is>
          <t>VÄSTRA GÖTALANDS LÄN</t>
        </is>
      </c>
      <c r="E2762" t="inlineStr">
        <is>
          <t>GULLSPÅNG</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31354-2019</t>
        </is>
      </c>
      <c r="B2763" s="1" t="n">
        <v>43636</v>
      </c>
      <c r="C2763" s="1" t="n">
        <v>45212</v>
      </c>
      <c r="D2763" t="inlineStr">
        <is>
          <t>VÄSTRA GÖTALANDS LÄN</t>
        </is>
      </c>
      <c r="E2763" t="inlineStr">
        <is>
          <t>ORUST</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30862-2019</t>
        </is>
      </c>
      <c r="B2764" s="1" t="n">
        <v>43636</v>
      </c>
      <c r="C2764" s="1" t="n">
        <v>45212</v>
      </c>
      <c r="D2764" t="inlineStr">
        <is>
          <t>VÄSTRA GÖTALANDS LÄN</t>
        </is>
      </c>
      <c r="E2764" t="inlineStr">
        <is>
          <t>MARK</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30873-2019</t>
        </is>
      </c>
      <c r="B2765" s="1" t="n">
        <v>43636</v>
      </c>
      <c r="C2765" s="1" t="n">
        <v>45212</v>
      </c>
      <c r="D2765" t="inlineStr">
        <is>
          <t>VÄSTRA GÖTALANDS LÄN</t>
        </is>
      </c>
      <c r="E2765" t="inlineStr">
        <is>
          <t>BORÅS</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30908-2019</t>
        </is>
      </c>
      <c r="B2766" s="1" t="n">
        <v>43636</v>
      </c>
      <c r="C2766" s="1" t="n">
        <v>45212</v>
      </c>
      <c r="D2766" t="inlineStr">
        <is>
          <t>VÄSTRA GÖTALANDS LÄN</t>
        </is>
      </c>
      <c r="E2766" t="inlineStr">
        <is>
          <t>ALINGSÅS</t>
        </is>
      </c>
      <c r="G2766" t="n">
        <v>8.300000000000001</v>
      </c>
      <c r="H2766" t="n">
        <v>0</v>
      </c>
      <c r="I2766" t="n">
        <v>0</v>
      </c>
      <c r="J2766" t="n">
        <v>0</v>
      </c>
      <c r="K2766" t="n">
        <v>0</v>
      </c>
      <c r="L2766" t="n">
        <v>0</v>
      </c>
      <c r="M2766" t="n">
        <v>0</v>
      </c>
      <c r="N2766" t="n">
        <v>0</v>
      </c>
      <c r="O2766" t="n">
        <v>0</v>
      </c>
      <c r="P2766" t="n">
        <v>0</v>
      </c>
      <c r="Q2766" t="n">
        <v>0</v>
      </c>
      <c r="R2766" s="2" t="inlineStr"/>
    </row>
    <row r="2767" ht="15" customHeight="1">
      <c r="A2767" t="inlineStr">
        <is>
          <t>A 30914-2019</t>
        </is>
      </c>
      <c r="B2767" s="1" t="n">
        <v>43636</v>
      </c>
      <c r="C2767" s="1" t="n">
        <v>45212</v>
      </c>
      <c r="D2767" t="inlineStr">
        <is>
          <t>VÄSTRA GÖTALANDS LÄN</t>
        </is>
      </c>
      <c r="E2767" t="inlineStr">
        <is>
          <t>VARA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30949-2019</t>
        </is>
      </c>
      <c r="B2768" s="1" t="n">
        <v>43637</v>
      </c>
      <c r="C2768" s="1" t="n">
        <v>45212</v>
      </c>
      <c r="D2768" t="inlineStr">
        <is>
          <t>VÄSTRA GÖTALANDS LÄN</t>
        </is>
      </c>
      <c r="E2768" t="inlineStr">
        <is>
          <t>BOLLEBYGD</t>
        </is>
      </c>
      <c r="G2768" t="n">
        <v>4.9</v>
      </c>
      <c r="H2768" t="n">
        <v>0</v>
      </c>
      <c r="I2768" t="n">
        <v>0</v>
      </c>
      <c r="J2768" t="n">
        <v>0</v>
      </c>
      <c r="K2768" t="n">
        <v>0</v>
      </c>
      <c r="L2768" t="n">
        <v>0</v>
      </c>
      <c r="M2768" t="n">
        <v>0</v>
      </c>
      <c r="N2768" t="n">
        <v>0</v>
      </c>
      <c r="O2768" t="n">
        <v>0</v>
      </c>
      <c r="P2768" t="n">
        <v>0</v>
      </c>
      <c r="Q2768" t="n">
        <v>0</v>
      </c>
      <c r="R2768" s="2" t="inlineStr"/>
    </row>
    <row r="2769" ht="15" customHeight="1">
      <c r="A2769" t="inlineStr">
        <is>
          <t>A 31624-2019</t>
        </is>
      </c>
      <c r="B2769" s="1" t="n">
        <v>43640</v>
      </c>
      <c r="C2769" s="1" t="n">
        <v>45212</v>
      </c>
      <c r="D2769" t="inlineStr">
        <is>
          <t>VÄSTRA GÖTALANDS LÄN</t>
        </is>
      </c>
      <c r="E2769" t="inlineStr">
        <is>
          <t>BORÅS</t>
        </is>
      </c>
      <c r="F2769" t="inlineStr">
        <is>
          <t>Kommuner</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31039-2019</t>
        </is>
      </c>
      <c r="B2770" s="1" t="n">
        <v>43640</v>
      </c>
      <c r="C2770" s="1" t="n">
        <v>45212</v>
      </c>
      <c r="D2770" t="inlineStr">
        <is>
          <t>VÄSTRA GÖTALANDS LÄN</t>
        </is>
      </c>
      <c r="E2770" t="inlineStr">
        <is>
          <t>FÄRGELANDA</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31073-2019</t>
        </is>
      </c>
      <c r="B2771" s="1" t="n">
        <v>43640</v>
      </c>
      <c r="C2771" s="1" t="n">
        <v>45212</v>
      </c>
      <c r="D2771" t="inlineStr">
        <is>
          <t>VÄSTRA GÖTALANDS LÄN</t>
        </is>
      </c>
      <c r="E2771" t="inlineStr">
        <is>
          <t>MARIESTAD</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31216-2019</t>
        </is>
      </c>
      <c r="B2772" s="1" t="n">
        <v>43640</v>
      </c>
      <c r="C2772" s="1" t="n">
        <v>45212</v>
      </c>
      <c r="D2772" t="inlineStr">
        <is>
          <t>VÄSTRA GÖTALANDS LÄN</t>
        </is>
      </c>
      <c r="E2772" t="inlineStr">
        <is>
          <t>UDDEVALLA</t>
        </is>
      </c>
      <c r="G2772" t="n">
        <v>5.9</v>
      </c>
      <c r="H2772" t="n">
        <v>0</v>
      </c>
      <c r="I2772" t="n">
        <v>0</v>
      </c>
      <c r="J2772" t="n">
        <v>0</v>
      </c>
      <c r="K2772" t="n">
        <v>0</v>
      </c>
      <c r="L2772" t="n">
        <v>0</v>
      </c>
      <c r="M2772" t="n">
        <v>0</v>
      </c>
      <c r="N2772" t="n">
        <v>0</v>
      </c>
      <c r="O2772" t="n">
        <v>0</v>
      </c>
      <c r="P2772" t="n">
        <v>0</v>
      </c>
      <c r="Q2772" t="n">
        <v>0</v>
      </c>
      <c r="R2772" s="2" t="inlineStr"/>
    </row>
    <row r="2773" ht="15" customHeight="1">
      <c r="A2773" t="inlineStr">
        <is>
          <t>A 31085-2019</t>
        </is>
      </c>
      <c r="B2773" s="1" t="n">
        <v>43640</v>
      </c>
      <c r="C2773" s="1" t="n">
        <v>45212</v>
      </c>
      <c r="D2773" t="inlineStr">
        <is>
          <t>VÄSTRA GÖTALANDS LÄN</t>
        </is>
      </c>
      <c r="E2773" t="inlineStr">
        <is>
          <t>FALKÖPING</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31266-2019</t>
        </is>
      </c>
      <c r="B2774" s="1" t="n">
        <v>43640</v>
      </c>
      <c r="C2774" s="1" t="n">
        <v>45212</v>
      </c>
      <c r="D2774" t="inlineStr">
        <is>
          <t>VÄSTRA GÖTALANDS LÄN</t>
        </is>
      </c>
      <c r="E2774" t="inlineStr">
        <is>
          <t>GRÄSTORP</t>
        </is>
      </c>
      <c r="G2774" t="n">
        <v>12.1</v>
      </c>
      <c r="H2774" t="n">
        <v>0</v>
      </c>
      <c r="I2774" t="n">
        <v>0</v>
      </c>
      <c r="J2774" t="n">
        <v>0</v>
      </c>
      <c r="K2774" t="n">
        <v>0</v>
      </c>
      <c r="L2774" t="n">
        <v>0</v>
      </c>
      <c r="M2774" t="n">
        <v>0</v>
      </c>
      <c r="N2774" t="n">
        <v>0</v>
      </c>
      <c r="O2774" t="n">
        <v>0</v>
      </c>
      <c r="P2774" t="n">
        <v>0</v>
      </c>
      <c r="Q2774" t="n">
        <v>0</v>
      </c>
      <c r="R2774" s="2" t="inlineStr"/>
    </row>
    <row r="2775" ht="15" customHeight="1">
      <c r="A2775" t="inlineStr">
        <is>
          <t>A 31497-2019</t>
        </is>
      </c>
      <c r="B2775" s="1" t="n">
        <v>43641</v>
      </c>
      <c r="C2775" s="1" t="n">
        <v>45212</v>
      </c>
      <c r="D2775" t="inlineStr">
        <is>
          <t>VÄSTRA GÖTALANDS LÄN</t>
        </is>
      </c>
      <c r="E2775" t="inlineStr">
        <is>
          <t>MELLERUD</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31875-2019</t>
        </is>
      </c>
      <c r="B2776" s="1" t="n">
        <v>43641</v>
      </c>
      <c r="C2776" s="1" t="n">
        <v>45212</v>
      </c>
      <c r="D2776" t="inlineStr">
        <is>
          <t>VÄSTRA GÖTALANDS LÄN</t>
        </is>
      </c>
      <c r="E2776" t="inlineStr">
        <is>
          <t>BORÅS</t>
        </is>
      </c>
      <c r="F2776" t="inlineStr">
        <is>
          <t>Kommuner</t>
        </is>
      </c>
      <c r="G2776" t="n">
        <v>4.5</v>
      </c>
      <c r="H2776" t="n">
        <v>0</v>
      </c>
      <c r="I2776" t="n">
        <v>0</v>
      </c>
      <c r="J2776" t="n">
        <v>0</v>
      </c>
      <c r="K2776" t="n">
        <v>0</v>
      </c>
      <c r="L2776" t="n">
        <v>0</v>
      </c>
      <c r="M2776" t="n">
        <v>0</v>
      </c>
      <c r="N2776" t="n">
        <v>0</v>
      </c>
      <c r="O2776" t="n">
        <v>0</v>
      </c>
      <c r="P2776" t="n">
        <v>0</v>
      </c>
      <c r="Q2776" t="n">
        <v>0</v>
      </c>
      <c r="R2776" s="2" t="inlineStr"/>
    </row>
    <row r="2777" ht="15" customHeight="1">
      <c r="A2777" t="inlineStr">
        <is>
          <t>A 31920-2019</t>
        </is>
      </c>
      <c r="B2777" s="1" t="n">
        <v>43641</v>
      </c>
      <c r="C2777" s="1" t="n">
        <v>45212</v>
      </c>
      <c r="D2777" t="inlineStr">
        <is>
          <t>VÄSTRA GÖTALANDS LÄN</t>
        </is>
      </c>
      <c r="E2777" t="inlineStr">
        <is>
          <t>MUNKEDAL</t>
        </is>
      </c>
      <c r="F2777" t="inlineStr">
        <is>
          <t>Kyrkan</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31320-2019</t>
        </is>
      </c>
      <c r="B2778" s="1" t="n">
        <v>43641</v>
      </c>
      <c r="C2778" s="1" t="n">
        <v>45212</v>
      </c>
      <c r="D2778" t="inlineStr">
        <is>
          <t>VÄSTRA GÖTALANDS LÄN</t>
        </is>
      </c>
      <c r="E2778" t="inlineStr">
        <is>
          <t>TIDAHOLM</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31361-2019</t>
        </is>
      </c>
      <c r="B2779" s="1" t="n">
        <v>43641</v>
      </c>
      <c r="C2779" s="1" t="n">
        <v>45212</v>
      </c>
      <c r="D2779" t="inlineStr">
        <is>
          <t>VÄSTRA GÖTALANDS LÄN</t>
        </is>
      </c>
      <c r="E2779" t="inlineStr">
        <is>
          <t>ESSUNGA</t>
        </is>
      </c>
      <c r="G2779" t="n">
        <v>4.7</v>
      </c>
      <c r="H2779" t="n">
        <v>0</v>
      </c>
      <c r="I2779" t="n">
        <v>0</v>
      </c>
      <c r="J2779" t="n">
        <v>0</v>
      </c>
      <c r="K2779" t="n">
        <v>0</v>
      </c>
      <c r="L2779" t="n">
        <v>0</v>
      </c>
      <c r="M2779" t="n">
        <v>0</v>
      </c>
      <c r="N2779" t="n">
        <v>0</v>
      </c>
      <c r="O2779" t="n">
        <v>0</v>
      </c>
      <c r="P2779" t="n">
        <v>0</v>
      </c>
      <c r="Q2779" t="n">
        <v>0</v>
      </c>
      <c r="R2779" s="2" t="inlineStr"/>
    </row>
    <row r="2780" ht="15" customHeight="1">
      <c r="A2780" t="inlineStr">
        <is>
          <t>A 31873-2019</t>
        </is>
      </c>
      <c r="B2780" s="1" t="n">
        <v>43641</v>
      </c>
      <c r="C2780" s="1" t="n">
        <v>45212</v>
      </c>
      <c r="D2780" t="inlineStr">
        <is>
          <t>VÄSTRA GÖTALANDS LÄN</t>
        </is>
      </c>
      <c r="E2780" t="inlineStr">
        <is>
          <t>BORÅS</t>
        </is>
      </c>
      <c r="F2780" t="inlineStr">
        <is>
          <t>Kommuner</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31865-2019</t>
        </is>
      </c>
      <c r="B2781" s="1" t="n">
        <v>43641</v>
      </c>
      <c r="C2781" s="1" t="n">
        <v>45212</v>
      </c>
      <c r="D2781" t="inlineStr">
        <is>
          <t>VÄSTRA GÖTALANDS LÄN</t>
        </is>
      </c>
      <c r="E2781" t="inlineStr">
        <is>
          <t>BORÅS</t>
        </is>
      </c>
      <c r="F2781" t="inlineStr">
        <is>
          <t>Kommuner</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31392-2019</t>
        </is>
      </c>
      <c r="B2782" s="1" t="n">
        <v>43641</v>
      </c>
      <c r="C2782" s="1" t="n">
        <v>45212</v>
      </c>
      <c r="D2782" t="inlineStr">
        <is>
          <t>VÄSTRA GÖTALANDS LÄN</t>
        </is>
      </c>
      <c r="E2782" t="inlineStr">
        <is>
          <t>HÄRRYDA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31870-2019</t>
        </is>
      </c>
      <c r="B2783" s="1" t="n">
        <v>43641</v>
      </c>
      <c r="C2783" s="1" t="n">
        <v>45212</v>
      </c>
      <c r="D2783" t="inlineStr">
        <is>
          <t>VÄSTRA GÖTALANDS LÄN</t>
        </is>
      </c>
      <c r="E2783" t="inlineStr">
        <is>
          <t>TRANEMO</t>
        </is>
      </c>
      <c r="F2783" t="inlineStr">
        <is>
          <t>Kommuner</t>
        </is>
      </c>
      <c r="G2783" t="n">
        <v>2.6</v>
      </c>
      <c r="H2783" t="n">
        <v>0</v>
      </c>
      <c r="I2783" t="n">
        <v>0</v>
      </c>
      <c r="J2783" t="n">
        <v>0</v>
      </c>
      <c r="K2783" t="n">
        <v>0</v>
      </c>
      <c r="L2783" t="n">
        <v>0</v>
      </c>
      <c r="M2783" t="n">
        <v>0</v>
      </c>
      <c r="N2783" t="n">
        <v>0</v>
      </c>
      <c r="O2783" t="n">
        <v>0</v>
      </c>
      <c r="P2783" t="n">
        <v>0</v>
      </c>
      <c r="Q2783" t="n">
        <v>0</v>
      </c>
      <c r="R2783" s="2" t="inlineStr"/>
    </row>
    <row r="2784" ht="15" customHeight="1">
      <c r="A2784" t="inlineStr">
        <is>
          <t>A 31682-2019</t>
        </is>
      </c>
      <c r="B2784" s="1" t="n">
        <v>43642</v>
      </c>
      <c r="C2784" s="1" t="n">
        <v>45212</v>
      </c>
      <c r="D2784" t="inlineStr">
        <is>
          <t>VÄSTRA GÖTALANDS LÄN</t>
        </is>
      </c>
      <c r="E2784" t="inlineStr">
        <is>
          <t>MARIESTAD</t>
        </is>
      </c>
      <c r="F2784" t="inlineStr">
        <is>
          <t>Kyrkan</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31801-2019</t>
        </is>
      </c>
      <c r="B2785" s="1" t="n">
        <v>43642</v>
      </c>
      <c r="C2785" s="1" t="n">
        <v>45212</v>
      </c>
      <c r="D2785" t="inlineStr">
        <is>
          <t>VÄSTRA GÖTALANDS LÄN</t>
        </is>
      </c>
      <c r="E2785" t="inlineStr">
        <is>
          <t>TIDAHOLM</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31655-2019</t>
        </is>
      </c>
      <c r="B2786" s="1" t="n">
        <v>43642</v>
      </c>
      <c r="C2786" s="1" t="n">
        <v>45212</v>
      </c>
      <c r="D2786" t="inlineStr">
        <is>
          <t>VÄSTRA GÖTALANDS LÄN</t>
        </is>
      </c>
      <c r="E2786" t="inlineStr">
        <is>
          <t>ORUST</t>
        </is>
      </c>
      <c r="G2786" t="n">
        <v>1.9</v>
      </c>
      <c r="H2786" t="n">
        <v>0</v>
      </c>
      <c r="I2786" t="n">
        <v>0</v>
      </c>
      <c r="J2786" t="n">
        <v>0</v>
      </c>
      <c r="K2786" t="n">
        <v>0</v>
      </c>
      <c r="L2786" t="n">
        <v>0</v>
      </c>
      <c r="M2786" t="n">
        <v>0</v>
      </c>
      <c r="N2786" t="n">
        <v>0</v>
      </c>
      <c r="O2786" t="n">
        <v>0</v>
      </c>
      <c r="P2786" t="n">
        <v>0</v>
      </c>
      <c r="Q2786" t="n">
        <v>0</v>
      </c>
      <c r="R2786" s="2" t="inlineStr"/>
      <c r="U2786">
        <f>HYPERLINK("https://klasma.github.io/Logging_1421/knärot/A 31655-2019 knärot.png", "A 31655-2019")</f>
        <v/>
      </c>
      <c r="V2786">
        <f>HYPERLINK("https://klasma.github.io/Logging_1421/klagomål/A 31655-2019 klagomål.docx", "A 31655-2019")</f>
        <v/>
      </c>
      <c r="W2786">
        <f>HYPERLINK("https://klasma.github.io/Logging_1421/klagomålsmail/A 31655-2019 klagomålsmail.docx", "A 31655-2019")</f>
        <v/>
      </c>
      <c r="X2786">
        <f>HYPERLINK("https://klasma.github.io/Logging_1421/tillsyn/A 31655-2019 tillsyn.docx", "A 31655-2019")</f>
        <v/>
      </c>
      <c r="Y2786">
        <f>HYPERLINK("https://klasma.github.io/Logging_1421/tillsynsmail/A 31655-2019 tillsynsmail.docx", "A 31655-2019")</f>
        <v/>
      </c>
    </row>
    <row r="2787" ht="15" customHeight="1">
      <c r="A2787" t="inlineStr">
        <is>
          <t>A 31753-2019</t>
        </is>
      </c>
      <c r="B2787" s="1" t="n">
        <v>43642</v>
      </c>
      <c r="C2787" s="1" t="n">
        <v>45212</v>
      </c>
      <c r="D2787" t="inlineStr">
        <is>
          <t>VÄSTRA GÖTALANDS LÄN</t>
        </is>
      </c>
      <c r="E2787" t="inlineStr">
        <is>
          <t>BOLLEBYGD</t>
        </is>
      </c>
      <c r="G2787" t="n">
        <v>5.8</v>
      </c>
      <c r="H2787" t="n">
        <v>0</v>
      </c>
      <c r="I2787" t="n">
        <v>0</v>
      </c>
      <c r="J2787" t="n">
        <v>0</v>
      </c>
      <c r="K2787" t="n">
        <v>0</v>
      </c>
      <c r="L2787" t="n">
        <v>0</v>
      </c>
      <c r="M2787" t="n">
        <v>0</v>
      </c>
      <c r="N2787" t="n">
        <v>0</v>
      </c>
      <c r="O2787" t="n">
        <v>0</v>
      </c>
      <c r="P2787" t="n">
        <v>0</v>
      </c>
      <c r="Q2787" t="n">
        <v>0</v>
      </c>
      <c r="R2787" s="2" t="inlineStr"/>
    </row>
    <row r="2788" ht="15" customHeight="1">
      <c r="A2788" t="inlineStr">
        <is>
          <t>A 32025-2019</t>
        </is>
      </c>
      <c r="B2788" s="1" t="n">
        <v>43643</v>
      </c>
      <c r="C2788" s="1" t="n">
        <v>45212</v>
      </c>
      <c r="D2788" t="inlineStr">
        <is>
          <t>VÄSTRA GÖTALANDS LÄN</t>
        </is>
      </c>
      <c r="E2788" t="inlineStr">
        <is>
          <t>BORÅS</t>
        </is>
      </c>
      <c r="G2788" t="n">
        <v>8.300000000000001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32005-2019</t>
        </is>
      </c>
      <c r="B2789" s="1" t="n">
        <v>43643</v>
      </c>
      <c r="C2789" s="1" t="n">
        <v>45212</v>
      </c>
      <c r="D2789" t="inlineStr">
        <is>
          <t>VÄSTRA GÖTALANDS LÄN</t>
        </is>
      </c>
      <c r="E2789" t="inlineStr">
        <is>
          <t>FALKÖPING</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31918-2019</t>
        </is>
      </c>
      <c r="B2790" s="1" t="n">
        <v>43643</v>
      </c>
      <c r="C2790" s="1" t="n">
        <v>45212</v>
      </c>
      <c r="D2790" t="inlineStr">
        <is>
          <t>VÄSTRA GÖTALANDS LÄN</t>
        </is>
      </c>
      <c r="E2790" t="inlineStr">
        <is>
          <t>TANUM</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31950-2019</t>
        </is>
      </c>
      <c r="B2791" s="1" t="n">
        <v>43643</v>
      </c>
      <c r="C2791" s="1" t="n">
        <v>45212</v>
      </c>
      <c r="D2791" t="inlineStr">
        <is>
          <t>VÄSTRA GÖTALANDS LÄN</t>
        </is>
      </c>
      <c r="E2791" t="inlineStr">
        <is>
          <t>DALS-ED</t>
        </is>
      </c>
      <c r="G2791" t="n">
        <v>9.6</v>
      </c>
      <c r="H2791" t="n">
        <v>0</v>
      </c>
      <c r="I2791" t="n">
        <v>0</v>
      </c>
      <c r="J2791" t="n">
        <v>0</v>
      </c>
      <c r="K2791" t="n">
        <v>0</v>
      </c>
      <c r="L2791" t="n">
        <v>0</v>
      </c>
      <c r="M2791" t="n">
        <v>0</v>
      </c>
      <c r="N2791" t="n">
        <v>0</v>
      </c>
      <c r="O2791" t="n">
        <v>0</v>
      </c>
      <c r="P2791" t="n">
        <v>0</v>
      </c>
      <c r="Q2791" t="n">
        <v>0</v>
      </c>
      <c r="R2791" s="2" t="inlineStr"/>
    </row>
    <row r="2792" ht="15" customHeight="1">
      <c r="A2792" t="inlineStr">
        <is>
          <t>A 32022-2019</t>
        </is>
      </c>
      <c r="B2792" s="1" t="n">
        <v>43643</v>
      </c>
      <c r="C2792" s="1" t="n">
        <v>45212</v>
      </c>
      <c r="D2792" t="inlineStr">
        <is>
          <t>VÄSTRA GÖTALANDS LÄN</t>
        </is>
      </c>
      <c r="E2792" t="inlineStr">
        <is>
          <t>SKÖVDE</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32653-2019</t>
        </is>
      </c>
      <c r="B2793" s="1" t="n">
        <v>43643</v>
      </c>
      <c r="C2793" s="1" t="n">
        <v>45212</v>
      </c>
      <c r="D2793" t="inlineStr">
        <is>
          <t>VÄSTRA GÖTALANDS LÄN</t>
        </is>
      </c>
      <c r="E2793" t="inlineStr">
        <is>
          <t>ÅMÅL</t>
        </is>
      </c>
      <c r="G2793" t="n">
        <v>30.2</v>
      </c>
      <c r="H2793" t="n">
        <v>0</v>
      </c>
      <c r="I2793" t="n">
        <v>0</v>
      </c>
      <c r="J2793" t="n">
        <v>0</v>
      </c>
      <c r="K2793" t="n">
        <v>0</v>
      </c>
      <c r="L2793" t="n">
        <v>0</v>
      </c>
      <c r="M2793" t="n">
        <v>0</v>
      </c>
      <c r="N2793" t="n">
        <v>0</v>
      </c>
      <c r="O2793" t="n">
        <v>0</v>
      </c>
      <c r="P2793" t="n">
        <v>0</v>
      </c>
      <c r="Q2793" t="n">
        <v>0</v>
      </c>
      <c r="R2793" s="2" t="inlineStr"/>
    </row>
    <row r="2794" ht="15" customHeight="1">
      <c r="A2794" t="inlineStr">
        <is>
          <t>A 32279-2019</t>
        </is>
      </c>
      <c r="B2794" s="1" t="n">
        <v>43644</v>
      </c>
      <c r="C2794" s="1" t="n">
        <v>45212</v>
      </c>
      <c r="D2794" t="inlineStr">
        <is>
          <t>VÄSTRA GÖTALANDS LÄN</t>
        </is>
      </c>
      <c r="E2794" t="inlineStr">
        <is>
          <t>SVENLJUNGA</t>
        </is>
      </c>
      <c r="G2794" t="n">
        <v>6.5</v>
      </c>
      <c r="H2794" t="n">
        <v>0</v>
      </c>
      <c r="I2794" t="n">
        <v>0</v>
      </c>
      <c r="J2794" t="n">
        <v>0</v>
      </c>
      <c r="K2794" t="n">
        <v>0</v>
      </c>
      <c r="L2794" t="n">
        <v>0</v>
      </c>
      <c r="M2794" t="n">
        <v>0</v>
      </c>
      <c r="N2794" t="n">
        <v>0</v>
      </c>
      <c r="O2794" t="n">
        <v>0</v>
      </c>
      <c r="P2794" t="n">
        <v>0</v>
      </c>
      <c r="Q2794" t="n">
        <v>0</v>
      </c>
      <c r="R2794" s="2" t="inlineStr"/>
    </row>
    <row r="2795" ht="15" customHeight="1">
      <c r="A2795" t="inlineStr">
        <is>
          <t>A 32345-2019</t>
        </is>
      </c>
      <c r="B2795" s="1" t="n">
        <v>43644</v>
      </c>
      <c r="C2795" s="1" t="n">
        <v>45212</v>
      </c>
      <c r="D2795" t="inlineStr">
        <is>
          <t>VÄSTRA GÖTALANDS LÄN</t>
        </is>
      </c>
      <c r="E2795" t="inlineStr">
        <is>
          <t>DALS-ED</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32377-2019</t>
        </is>
      </c>
      <c r="B2796" s="1" t="n">
        <v>43644</v>
      </c>
      <c r="C2796" s="1" t="n">
        <v>45212</v>
      </c>
      <c r="D2796" t="inlineStr">
        <is>
          <t>VÄSTRA GÖTALANDS LÄN</t>
        </is>
      </c>
      <c r="E2796" t="inlineStr">
        <is>
          <t>MARIESTAD</t>
        </is>
      </c>
      <c r="G2796" t="n">
        <v>3.2</v>
      </c>
      <c r="H2796" t="n">
        <v>0</v>
      </c>
      <c r="I2796" t="n">
        <v>0</v>
      </c>
      <c r="J2796" t="n">
        <v>0</v>
      </c>
      <c r="K2796" t="n">
        <v>0</v>
      </c>
      <c r="L2796" t="n">
        <v>0</v>
      </c>
      <c r="M2796" t="n">
        <v>0</v>
      </c>
      <c r="N2796" t="n">
        <v>0</v>
      </c>
      <c r="O2796" t="n">
        <v>0</v>
      </c>
      <c r="P2796" t="n">
        <v>0</v>
      </c>
      <c r="Q2796" t="n">
        <v>0</v>
      </c>
      <c r="R2796" s="2" t="inlineStr"/>
    </row>
    <row r="2797" ht="15" customHeight="1">
      <c r="A2797" t="inlineStr">
        <is>
          <t>A 32290-2019</t>
        </is>
      </c>
      <c r="B2797" s="1" t="n">
        <v>43644</v>
      </c>
      <c r="C2797" s="1" t="n">
        <v>45212</v>
      </c>
      <c r="D2797" t="inlineStr">
        <is>
          <t>VÄSTRA GÖTALANDS LÄN</t>
        </is>
      </c>
      <c r="E2797" t="inlineStr">
        <is>
          <t>SVENLJUNGA</t>
        </is>
      </c>
      <c r="G2797" t="n">
        <v>3.7</v>
      </c>
      <c r="H2797" t="n">
        <v>0</v>
      </c>
      <c r="I2797" t="n">
        <v>0</v>
      </c>
      <c r="J2797" t="n">
        <v>0</v>
      </c>
      <c r="K2797" t="n">
        <v>0</v>
      </c>
      <c r="L2797" t="n">
        <v>0</v>
      </c>
      <c r="M2797" t="n">
        <v>0</v>
      </c>
      <c r="N2797" t="n">
        <v>0</v>
      </c>
      <c r="O2797" t="n">
        <v>0</v>
      </c>
      <c r="P2797" t="n">
        <v>0</v>
      </c>
      <c r="Q2797" t="n">
        <v>0</v>
      </c>
      <c r="R2797" s="2" t="inlineStr"/>
    </row>
    <row r="2798" ht="15" customHeight="1">
      <c r="A2798" t="inlineStr">
        <is>
          <t>A 32302-2019</t>
        </is>
      </c>
      <c r="B2798" s="1" t="n">
        <v>43644</v>
      </c>
      <c r="C2798" s="1" t="n">
        <v>45212</v>
      </c>
      <c r="D2798" t="inlineStr">
        <is>
          <t>VÄSTRA GÖTALANDS LÄN</t>
        </is>
      </c>
      <c r="E2798" t="inlineStr">
        <is>
          <t>SVENLJUNGA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32472-2019</t>
        </is>
      </c>
      <c r="B2799" s="1" t="n">
        <v>43644</v>
      </c>
      <c r="C2799" s="1" t="n">
        <v>45212</v>
      </c>
      <c r="D2799" t="inlineStr">
        <is>
          <t>VÄSTRA GÖTALANDS LÄN</t>
        </is>
      </c>
      <c r="E2799" t="inlineStr">
        <is>
          <t>VARA</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33138-2019</t>
        </is>
      </c>
      <c r="B2800" s="1" t="n">
        <v>43644</v>
      </c>
      <c r="C2800" s="1" t="n">
        <v>45212</v>
      </c>
      <c r="D2800" t="inlineStr">
        <is>
          <t>VÄSTRA GÖTALANDS LÄN</t>
        </is>
      </c>
      <c r="E2800" t="inlineStr">
        <is>
          <t>TÖREBODA</t>
        </is>
      </c>
      <c r="G2800" t="n">
        <v>7.8</v>
      </c>
      <c r="H2800" t="n">
        <v>0</v>
      </c>
      <c r="I2800" t="n">
        <v>0</v>
      </c>
      <c r="J2800" t="n">
        <v>0</v>
      </c>
      <c r="K2800" t="n">
        <v>0</v>
      </c>
      <c r="L2800" t="n">
        <v>0</v>
      </c>
      <c r="M2800" t="n">
        <v>0</v>
      </c>
      <c r="N2800" t="n">
        <v>0</v>
      </c>
      <c r="O2800" t="n">
        <v>0</v>
      </c>
      <c r="P2800" t="n">
        <v>0</v>
      </c>
      <c r="Q2800" t="n">
        <v>0</v>
      </c>
      <c r="R2800" s="2" t="inlineStr"/>
    </row>
    <row r="2801" ht="15" customHeight="1">
      <c r="A2801" t="inlineStr">
        <is>
          <t>A 32333-2019</t>
        </is>
      </c>
      <c r="B2801" s="1" t="n">
        <v>43644</v>
      </c>
      <c r="C2801" s="1" t="n">
        <v>45212</v>
      </c>
      <c r="D2801" t="inlineStr">
        <is>
          <t>VÄSTRA GÖTALANDS LÄN</t>
        </is>
      </c>
      <c r="E2801" t="inlineStr">
        <is>
          <t>MARIESTAD</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32462-2019</t>
        </is>
      </c>
      <c r="B2802" s="1" t="n">
        <v>43644</v>
      </c>
      <c r="C2802" s="1" t="n">
        <v>45212</v>
      </c>
      <c r="D2802" t="inlineStr">
        <is>
          <t>VÄSTRA GÖTALANDS LÄN</t>
        </is>
      </c>
      <c r="E2802" t="inlineStr">
        <is>
          <t>MARIESTAD</t>
        </is>
      </c>
      <c r="G2802" t="n">
        <v>6.3</v>
      </c>
      <c r="H2802" t="n">
        <v>0</v>
      </c>
      <c r="I2802" t="n">
        <v>0</v>
      </c>
      <c r="J2802" t="n">
        <v>0</v>
      </c>
      <c r="K2802" t="n">
        <v>0</v>
      </c>
      <c r="L2802" t="n">
        <v>0</v>
      </c>
      <c r="M2802" t="n">
        <v>0</v>
      </c>
      <c r="N2802" t="n">
        <v>0</v>
      </c>
      <c r="O2802" t="n">
        <v>0</v>
      </c>
      <c r="P2802" t="n">
        <v>0</v>
      </c>
      <c r="Q2802" t="n">
        <v>0</v>
      </c>
      <c r="R2802" s="2" t="inlineStr"/>
    </row>
    <row r="2803" ht="15" customHeight="1">
      <c r="A2803" t="inlineStr">
        <is>
          <t>A 33311-2019</t>
        </is>
      </c>
      <c r="B2803" s="1" t="n">
        <v>43644</v>
      </c>
      <c r="C2803" s="1" t="n">
        <v>45212</v>
      </c>
      <c r="D2803" t="inlineStr">
        <is>
          <t>VÄSTRA GÖTALANDS LÄN</t>
        </is>
      </c>
      <c r="E2803" t="inlineStr">
        <is>
          <t>KUNGÄLV</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32269-2019</t>
        </is>
      </c>
      <c r="B2804" s="1" t="n">
        <v>43644</v>
      </c>
      <c r="C2804" s="1" t="n">
        <v>45212</v>
      </c>
      <c r="D2804" t="inlineStr">
        <is>
          <t>VÄSTRA GÖTALANDS LÄN</t>
        </is>
      </c>
      <c r="E2804" t="inlineStr">
        <is>
          <t>SVENLJUNGA</t>
        </is>
      </c>
      <c r="G2804" t="n">
        <v>3.2</v>
      </c>
      <c r="H2804" t="n">
        <v>0</v>
      </c>
      <c r="I2804" t="n">
        <v>0</v>
      </c>
      <c r="J2804" t="n">
        <v>0</v>
      </c>
      <c r="K2804" t="n">
        <v>0</v>
      </c>
      <c r="L2804" t="n">
        <v>0</v>
      </c>
      <c r="M2804" t="n">
        <v>0</v>
      </c>
      <c r="N2804" t="n">
        <v>0</v>
      </c>
      <c r="O2804" t="n">
        <v>0</v>
      </c>
      <c r="P2804" t="n">
        <v>0</v>
      </c>
      <c r="Q2804" t="n">
        <v>0</v>
      </c>
      <c r="R2804" s="2" t="inlineStr"/>
    </row>
    <row r="2805" ht="15" customHeight="1">
      <c r="A2805" t="inlineStr">
        <is>
          <t>A 32446-2019</t>
        </is>
      </c>
      <c r="B2805" s="1" t="n">
        <v>43644</v>
      </c>
      <c r="C2805" s="1" t="n">
        <v>45212</v>
      </c>
      <c r="D2805" t="inlineStr">
        <is>
          <t>VÄSTRA GÖTALANDS LÄN</t>
        </is>
      </c>
      <c r="E2805" t="inlineStr">
        <is>
          <t>MARK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32464-2019</t>
        </is>
      </c>
      <c r="B2806" s="1" t="n">
        <v>43644</v>
      </c>
      <c r="C2806" s="1" t="n">
        <v>45212</v>
      </c>
      <c r="D2806" t="inlineStr">
        <is>
          <t>VÄSTRA GÖTALANDS LÄN</t>
        </is>
      </c>
      <c r="E2806" t="inlineStr">
        <is>
          <t>MARIESTAD</t>
        </is>
      </c>
      <c r="G2806" t="n">
        <v>9.699999999999999</v>
      </c>
      <c r="H2806" t="n">
        <v>0</v>
      </c>
      <c r="I2806" t="n">
        <v>0</v>
      </c>
      <c r="J2806" t="n">
        <v>0</v>
      </c>
      <c r="K2806" t="n">
        <v>0</v>
      </c>
      <c r="L2806" t="n">
        <v>0</v>
      </c>
      <c r="M2806" t="n">
        <v>0</v>
      </c>
      <c r="N2806" t="n">
        <v>0</v>
      </c>
      <c r="O2806" t="n">
        <v>0</v>
      </c>
      <c r="P2806" t="n">
        <v>0</v>
      </c>
      <c r="Q2806" t="n">
        <v>0</v>
      </c>
      <c r="R2806" s="2" t="inlineStr"/>
    </row>
    <row r="2807" ht="15" customHeight="1">
      <c r="A2807" t="inlineStr">
        <is>
          <t>A 33149-2019</t>
        </is>
      </c>
      <c r="B2807" s="1" t="n">
        <v>43644</v>
      </c>
      <c r="C2807" s="1" t="n">
        <v>45212</v>
      </c>
      <c r="D2807" t="inlineStr">
        <is>
          <t>VÄSTRA GÖTALANDS LÄN</t>
        </is>
      </c>
      <c r="E2807" t="inlineStr">
        <is>
          <t>KARLSBORG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32535-2019</t>
        </is>
      </c>
      <c r="B2808" s="1" t="n">
        <v>43646</v>
      </c>
      <c r="C2808" s="1" t="n">
        <v>45212</v>
      </c>
      <c r="D2808" t="inlineStr">
        <is>
          <t>VÄSTRA GÖTALANDS LÄN</t>
        </is>
      </c>
      <c r="E2808" t="inlineStr">
        <is>
          <t>BORÅS</t>
        </is>
      </c>
      <c r="G2808" t="n">
        <v>4.5</v>
      </c>
      <c r="H2808" t="n">
        <v>0</v>
      </c>
      <c r="I2808" t="n">
        <v>0</v>
      </c>
      <c r="J2808" t="n">
        <v>0</v>
      </c>
      <c r="K2808" t="n">
        <v>0</v>
      </c>
      <c r="L2808" t="n">
        <v>0</v>
      </c>
      <c r="M2808" t="n">
        <v>0</v>
      </c>
      <c r="N2808" t="n">
        <v>0</v>
      </c>
      <c r="O2808" t="n">
        <v>0</v>
      </c>
      <c r="P2808" t="n">
        <v>0</v>
      </c>
      <c r="Q2808" t="n">
        <v>0</v>
      </c>
      <c r="R2808" s="2" t="inlineStr"/>
    </row>
    <row r="2809" ht="15" customHeight="1">
      <c r="A2809" t="inlineStr">
        <is>
          <t>A 32534-2019</t>
        </is>
      </c>
      <c r="B2809" s="1" t="n">
        <v>43646</v>
      </c>
      <c r="C2809" s="1" t="n">
        <v>45212</v>
      </c>
      <c r="D2809" t="inlineStr">
        <is>
          <t>VÄSTRA GÖTALANDS LÄN</t>
        </is>
      </c>
      <c r="E2809" t="inlineStr">
        <is>
          <t>BENGTSFORS</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32545-2019</t>
        </is>
      </c>
      <c r="B2810" s="1" t="n">
        <v>43647</v>
      </c>
      <c r="C2810" s="1" t="n">
        <v>45212</v>
      </c>
      <c r="D2810" t="inlineStr">
        <is>
          <t>VÄSTRA GÖTALANDS LÄN</t>
        </is>
      </c>
      <c r="E2810" t="inlineStr">
        <is>
          <t>BENGTSFORS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32566-2019</t>
        </is>
      </c>
      <c r="B2811" s="1" t="n">
        <v>43647</v>
      </c>
      <c r="C2811" s="1" t="n">
        <v>45212</v>
      </c>
      <c r="D2811" t="inlineStr">
        <is>
          <t>VÄSTRA GÖTALANDS LÄN</t>
        </is>
      </c>
      <c r="E2811" t="inlineStr">
        <is>
          <t>STRÖMSTAD</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32649-2019</t>
        </is>
      </c>
      <c r="B2812" s="1" t="n">
        <v>43647</v>
      </c>
      <c r="C2812" s="1" t="n">
        <v>45212</v>
      </c>
      <c r="D2812" t="inlineStr">
        <is>
          <t>VÄSTRA GÖTALANDS LÄN</t>
        </is>
      </c>
      <c r="E2812" t="inlineStr">
        <is>
          <t>MARIESTAD</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32564-2019</t>
        </is>
      </c>
      <c r="B2813" s="1" t="n">
        <v>43647</v>
      </c>
      <c r="C2813" s="1" t="n">
        <v>45212</v>
      </c>
      <c r="D2813" t="inlineStr">
        <is>
          <t>VÄSTRA GÖTALANDS LÄN</t>
        </is>
      </c>
      <c r="E2813" t="inlineStr">
        <is>
          <t>STRÖMSTAD</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32709-2019</t>
        </is>
      </c>
      <c r="B2814" s="1" t="n">
        <v>43647</v>
      </c>
      <c r="C2814" s="1" t="n">
        <v>45212</v>
      </c>
      <c r="D2814" t="inlineStr">
        <is>
          <t>VÄSTRA GÖTALANDS LÄN</t>
        </is>
      </c>
      <c r="E2814" t="inlineStr">
        <is>
          <t>LERUM</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34414-2019</t>
        </is>
      </c>
      <c r="B2815" s="1" t="n">
        <v>43647</v>
      </c>
      <c r="C2815" s="1" t="n">
        <v>45212</v>
      </c>
      <c r="D2815" t="inlineStr">
        <is>
          <t>VÄSTRA GÖTALANDS LÄN</t>
        </is>
      </c>
      <c r="E2815" t="inlineStr">
        <is>
          <t>SVENLJUNGA</t>
        </is>
      </c>
      <c r="F2815" t="inlineStr">
        <is>
          <t>Kommuner</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32601-2019</t>
        </is>
      </c>
      <c r="B2816" s="1" t="n">
        <v>43647</v>
      </c>
      <c r="C2816" s="1" t="n">
        <v>45212</v>
      </c>
      <c r="D2816" t="inlineStr">
        <is>
          <t>VÄSTRA GÖTALANDS LÄN</t>
        </is>
      </c>
      <c r="E2816" t="inlineStr">
        <is>
          <t>MARIESTAD</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34379-2019</t>
        </is>
      </c>
      <c r="B2817" s="1" t="n">
        <v>43647</v>
      </c>
      <c r="C2817" s="1" t="n">
        <v>45212</v>
      </c>
      <c r="D2817" t="inlineStr">
        <is>
          <t>VÄSTRA GÖTALANDS LÄN</t>
        </is>
      </c>
      <c r="E2817" t="inlineStr">
        <is>
          <t>SVENLJUNGA</t>
        </is>
      </c>
      <c r="F2817" t="inlineStr">
        <is>
          <t>Kommuner</t>
        </is>
      </c>
      <c r="G2817" t="n">
        <v>6.5</v>
      </c>
      <c r="H2817" t="n">
        <v>0</v>
      </c>
      <c r="I2817" t="n">
        <v>0</v>
      </c>
      <c r="J2817" t="n">
        <v>0</v>
      </c>
      <c r="K2817" t="n">
        <v>0</v>
      </c>
      <c r="L2817" t="n">
        <v>0</v>
      </c>
      <c r="M2817" t="n">
        <v>0</v>
      </c>
      <c r="N2817" t="n">
        <v>0</v>
      </c>
      <c r="O2817" t="n">
        <v>0</v>
      </c>
      <c r="P2817" t="n">
        <v>0</v>
      </c>
      <c r="Q2817" t="n">
        <v>0</v>
      </c>
      <c r="R2817" s="2" t="inlineStr"/>
    </row>
    <row r="2818" ht="15" customHeight="1">
      <c r="A2818" t="inlineStr">
        <is>
          <t>A 34599-2019</t>
        </is>
      </c>
      <c r="B2818" s="1" t="n">
        <v>43647</v>
      </c>
      <c r="C2818" s="1" t="n">
        <v>45212</v>
      </c>
      <c r="D2818" t="inlineStr">
        <is>
          <t>VÄSTRA GÖTALANDS LÄN</t>
        </is>
      </c>
      <c r="E2818" t="inlineStr">
        <is>
          <t>VÄNERSBORG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34592-2019</t>
        </is>
      </c>
      <c r="B2819" s="1" t="n">
        <v>43647</v>
      </c>
      <c r="C2819" s="1" t="n">
        <v>45212</v>
      </c>
      <c r="D2819" t="inlineStr">
        <is>
          <t>VÄSTRA GÖTALANDS LÄN</t>
        </is>
      </c>
      <c r="E2819" t="inlineStr">
        <is>
          <t>VÄNERSBORG</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32929-2019</t>
        </is>
      </c>
      <c r="B2820" s="1" t="n">
        <v>43648</v>
      </c>
      <c r="C2820" s="1" t="n">
        <v>45212</v>
      </c>
      <c r="D2820" t="inlineStr">
        <is>
          <t>VÄSTRA GÖTALANDS LÄN</t>
        </is>
      </c>
      <c r="E2820" t="inlineStr">
        <is>
          <t>LILLA EDET</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32947-2019</t>
        </is>
      </c>
      <c r="B2821" s="1" t="n">
        <v>43648</v>
      </c>
      <c r="C2821" s="1" t="n">
        <v>45212</v>
      </c>
      <c r="D2821" t="inlineStr">
        <is>
          <t>VÄSTRA GÖTALANDS LÄN</t>
        </is>
      </c>
      <c r="E2821" t="inlineStr">
        <is>
          <t>ALINGSÅS</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34716-2019</t>
        </is>
      </c>
      <c r="B2822" s="1" t="n">
        <v>43648</v>
      </c>
      <c r="C2822" s="1" t="n">
        <v>45212</v>
      </c>
      <c r="D2822" t="inlineStr">
        <is>
          <t>VÄSTRA GÖTALANDS LÄN</t>
        </is>
      </c>
      <c r="E2822" t="inlineStr">
        <is>
          <t>BENGTSFORS</t>
        </is>
      </c>
      <c r="G2822" t="n">
        <v>3.6</v>
      </c>
      <c r="H2822" t="n">
        <v>0</v>
      </c>
      <c r="I2822" t="n">
        <v>0</v>
      </c>
      <c r="J2822" t="n">
        <v>0</v>
      </c>
      <c r="K2822" t="n">
        <v>0</v>
      </c>
      <c r="L2822" t="n">
        <v>0</v>
      </c>
      <c r="M2822" t="n">
        <v>0</v>
      </c>
      <c r="N2822" t="n">
        <v>0</v>
      </c>
      <c r="O2822" t="n">
        <v>0</v>
      </c>
      <c r="P2822" t="n">
        <v>0</v>
      </c>
      <c r="Q2822" t="n">
        <v>0</v>
      </c>
      <c r="R2822" s="2" t="inlineStr"/>
    </row>
    <row r="2823" ht="15" customHeight="1">
      <c r="A2823" t="inlineStr">
        <is>
          <t>A 32951-2019</t>
        </is>
      </c>
      <c r="B2823" s="1" t="n">
        <v>43648</v>
      </c>
      <c r="C2823" s="1" t="n">
        <v>45212</v>
      </c>
      <c r="D2823" t="inlineStr">
        <is>
          <t>VÄSTRA GÖTALANDS LÄN</t>
        </is>
      </c>
      <c r="E2823" t="inlineStr">
        <is>
          <t>ALINGSÅS</t>
        </is>
      </c>
      <c r="G2823" t="n">
        <v>6.7</v>
      </c>
      <c r="H2823" t="n">
        <v>0</v>
      </c>
      <c r="I2823" t="n">
        <v>0</v>
      </c>
      <c r="J2823" t="n">
        <v>0</v>
      </c>
      <c r="K2823" t="n">
        <v>0</v>
      </c>
      <c r="L2823" t="n">
        <v>0</v>
      </c>
      <c r="M2823" t="n">
        <v>0</v>
      </c>
      <c r="N2823" t="n">
        <v>0</v>
      </c>
      <c r="O2823" t="n">
        <v>0</v>
      </c>
      <c r="P2823" t="n">
        <v>0</v>
      </c>
      <c r="Q2823" t="n">
        <v>0</v>
      </c>
      <c r="R2823" s="2" t="inlineStr"/>
    </row>
    <row r="2824" ht="15" customHeight="1">
      <c r="A2824" t="inlineStr">
        <is>
          <t>A 33027-2019</t>
        </is>
      </c>
      <c r="B2824" s="1" t="n">
        <v>43649</v>
      </c>
      <c r="C2824" s="1" t="n">
        <v>45212</v>
      </c>
      <c r="D2824" t="inlineStr">
        <is>
          <t>VÄSTRA GÖTALANDS LÄN</t>
        </is>
      </c>
      <c r="E2824" t="inlineStr">
        <is>
          <t>MARIESTAD</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33171-2019</t>
        </is>
      </c>
      <c r="B2825" s="1" t="n">
        <v>43649</v>
      </c>
      <c r="C2825" s="1" t="n">
        <v>45212</v>
      </c>
      <c r="D2825" t="inlineStr">
        <is>
          <t>VÄSTRA GÖTALANDS LÄN</t>
        </is>
      </c>
      <c r="E2825" t="inlineStr">
        <is>
          <t>HERRLJUNGA</t>
        </is>
      </c>
      <c r="F2825" t="inlineStr">
        <is>
          <t>Kyrkan</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34820-2019</t>
        </is>
      </c>
      <c r="B2826" s="1" t="n">
        <v>43649</v>
      </c>
      <c r="C2826" s="1" t="n">
        <v>45212</v>
      </c>
      <c r="D2826" t="inlineStr">
        <is>
          <t>VÄSTRA GÖTALANDS LÄN</t>
        </is>
      </c>
      <c r="E2826" t="inlineStr">
        <is>
          <t>FÄRGELANDA</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33030-2019</t>
        </is>
      </c>
      <c r="B2827" s="1" t="n">
        <v>43649</v>
      </c>
      <c r="C2827" s="1" t="n">
        <v>45212</v>
      </c>
      <c r="D2827" t="inlineStr">
        <is>
          <t>VÄSTRA GÖTALANDS LÄN</t>
        </is>
      </c>
      <c r="E2827" t="inlineStr">
        <is>
          <t>MARIESTAD</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33028-2019</t>
        </is>
      </c>
      <c r="B2828" s="1" t="n">
        <v>43649</v>
      </c>
      <c r="C2828" s="1" t="n">
        <v>45212</v>
      </c>
      <c r="D2828" t="inlineStr">
        <is>
          <t>VÄSTRA GÖTALANDS LÄN</t>
        </is>
      </c>
      <c r="E2828" t="inlineStr">
        <is>
          <t>BOLLEBYGD</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33174-2019</t>
        </is>
      </c>
      <c r="B2829" s="1" t="n">
        <v>43649</v>
      </c>
      <c r="C2829" s="1" t="n">
        <v>45212</v>
      </c>
      <c r="D2829" t="inlineStr">
        <is>
          <t>VÄSTRA GÖTALANDS LÄN</t>
        </is>
      </c>
      <c r="E2829" t="inlineStr">
        <is>
          <t>HERRLJUNGA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34828-2019</t>
        </is>
      </c>
      <c r="B2830" s="1" t="n">
        <v>43649</v>
      </c>
      <c r="C2830" s="1" t="n">
        <v>45212</v>
      </c>
      <c r="D2830" t="inlineStr">
        <is>
          <t>VÄSTRA GÖTALANDS LÄN</t>
        </is>
      </c>
      <c r="E2830" t="inlineStr">
        <is>
          <t>ORUST</t>
        </is>
      </c>
      <c r="G2830" t="n">
        <v>10.7</v>
      </c>
      <c r="H2830" t="n">
        <v>0</v>
      </c>
      <c r="I2830" t="n">
        <v>0</v>
      </c>
      <c r="J2830" t="n">
        <v>0</v>
      </c>
      <c r="K2830" t="n">
        <v>0</v>
      </c>
      <c r="L2830" t="n">
        <v>0</v>
      </c>
      <c r="M2830" t="n">
        <v>0</v>
      </c>
      <c r="N2830" t="n">
        <v>0</v>
      </c>
      <c r="O2830" t="n">
        <v>0</v>
      </c>
      <c r="P2830" t="n">
        <v>0</v>
      </c>
      <c r="Q2830" t="n">
        <v>0</v>
      </c>
      <c r="R2830" s="2" t="inlineStr"/>
    </row>
    <row r="2831" ht="15" customHeight="1">
      <c r="A2831" t="inlineStr">
        <is>
          <t>A 33137-2019</t>
        </is>
      </c>
      <c r="B2831" s="1" t="n">
        <v>43649</v>
      </c>
      <c r="C2831" s="1" t="n">
        <v>45212</v>
      </c>
      <c r="D2831" t="inlineStr">
        <is>
          <t>VÄSTRA GÖTALANDS LÄN</t>
        </is>
      </c>
      <c r="E2831" t="inlineStr">
        <is>
          <t>ULRICEHAMN</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33175-2019</t>
        </is>
      </c>
      <c r="B2832" s="1" t="n">
        <v>43649</v>
      </c>
      <c r="C2832" s="1" t="n">
        <v>45212</v>
      </c>
      <c r="D2832" t="inlineStr">
        <is>
          <t>VÄSTRA GÖTALANDS LÄN</t>
        </is>
      </c>
      <c r="E2832" t="inlineStr">
        <is>
          <t>HERRLJUNGA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33326-2019</t>
        </is>
      </c>
      <c r="B2833" s="1" t="n">
        <v>43650</v>
      </c>
      <c r="C2833" s="1" t="n">
        <v>45212</v>
      </c>
      <c r="D2833" t="inlineStr">
        <is>
          <t>VÄSTRA GÖTALANDS LÄN</t>
        </is>
      </c>
      <c r="E2833" t="inlineStr">
        <is>
          <t>TANUM</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33366-2019</t>
        </is>
      </c>
      <c r="B2834" s="1" t="n">
        <v>43650</v>
      </c>
      <c r="C2834" s="1" t="n">
        <v>45212</v>
      </c>
      <c r="D2834" t="inlineStr">
        <is>
          <t>VÄSTRA GÖTALANDS LÄN</t>
        </is>
      </c>
      <c r="E2834" t="inlineStr">
        <is>
          <t>ALINGSÅS</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33376-2019</t>
        </is>
      </c>
      <c r="B2835" s="1" t="n">
        <v>43650</v>
      </c>
      <c r="C2835" s="1" t="n">
        <v>45212</v>
      </c>
      <c r="D2835" t="inlineStr">
        <is>
          <t>VÄSTRA GÖTALANDS LÄN</t>
        </is>
      </c>
      <c r="E2835" t="inlineStr">
        <is>
          <t>ESSUNGA</t>
        </is>
      </c>
      <c r="G2835" t="n">
        <v>5.1</v>
      </c>
      <c r="H2835" t="n">
        <v>0</v>
      </c>
      <c r="I2835" t="n">
        <v>0</v>
      </c>
      <c r="J2835" t="n">
        <v>0</v>
      </c>
      <c r="K2835" t="n">
        <v>0</v>
      </c>
      <c r="L2835" t="n">
        <v>0</v>
      </c>
      <c r="M2835" t="n">
        <v>0</v>
      </c>
      <c r="N2835" t="n">
        <v>0</v>
      </c>
      <c r="O2835" t="n">
        <v>0</v>
      </c>
      <c r="P2835" t="n">
        <v>0</v>
      </c>
      <c r="Q2835" t="n">
        <v>0</v>
      </c>
      <c r="R2835" s="2" t="inlineStr"/>
    </row>
    <row r="2836" ht="15" customHeight="1">
      <c r="A2836" t="inlineStr">
        <is>
          <t>A 33233-2019</t>
        </is>
      </c>
      <c r="B2836" s="1" t="n">
        <v>43650</v>
      </c>
      <c r="C2836" s="1" t="n">
        <v>45212</v>
      </c>
      <c r="D2836" t="inlineStr">
        <is>
          <t>VÄSTRA GÖTALANDS LÄN</t>
        </is>
      </c>
      <c r="E2836" t="inlineStr">
        <is>
          <t>TÖREBODA</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33501-2019</t>
        </is>
      </c>
      <c r="B2837" s="1" t="n">
        <v>43651</v>
      </c>
      <c r="C2837" s="1" t="n">
        <v>45212</v>
      </c>
      <c r="D2837" t="inlineStr">
        <is>
          <t>VÄSTRA GÖTALANDS LÄN</t>
        </is>
      </c>
      <c r="E2837" t="inlineStr">
        <is>
          <t>DALS-ED</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33688-2019</t>
        </is>
      </c>
      <c r="B2838" s="1" t="n">
        <v>43651</v>
      </c>
      <c r="C2838" s="1" t="n">
        <v>45212</v>
      </c>
      <c r="D2838" t="inlineStr">
        <is>
          <t>VÄSTRA GÖTALANDS LÄN</t>
        </is>
      </c>
      <c r="E2838" t="inlineStr">
        <is>
          <t>KUNGÄLV</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33713-2019</t>
        </is>
      </c>
      <c r="B2839" s="1" t="n">
        <v>43651</v>
      </c>
      <c r="C2839" s="1" t="n">
        <v>45212</v>
      </c>
      <c r="D2839" t="inlineStr">
        <is>
          <t>VÄSTRA GÖTALANDS LÄN</t>
        </is>
      </c>
      <c r="E2839" t="inlineStr">
        <is>
          <t>MARIESTAD</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33773-2019</t>
        </is>
      </c>
      <c r="B2840" s="1" t="n">
        <v>43651</v>
      </c>
      <c r="C2840" s="1" t="n">
        <v>45212</v>
      </c>
      <c r="D2840" t="inlineStr">
        <is>
          <t>VÄSTRA GÖTALANDS LÄN</t>
        </is>
      </c>
      <c r="E2840" t="inlineStr">
        <is>
          <t>FALKÖPING</t>
        </is>
      </c>
      <c r="G2840" t="n">
        <v>0.8</v>
      </c>
      <c r="H2840" t="n">
        <v>0</v>
      </c>
      <c r="I2840" t="n">
        <v>0</v>
      </c>
      <c r="J2840" t="n">
        <v>0</v>
      </c>
      <c r="K2840" t="n">
        <v>0</v>
      </c>
      <c r="L2840" t="n">
        <v>0</v>
      </c>
      <c r="M2840" t="n">
        <v>0</v>
      </c>
      <c r="N2840" t="n">
        <v>0</v>
      </c>
      <c r="O2840" t="n">
        <v>0</v>
      </c>
      <c r="P2840" t="n">
        <v>0</v>
      </c>
      <c r="Q2840" t="n">
        <v>0</v>
      </c>
      <c r="R2840" s="2" t="inlineStr"/>
    </row>
    <row r="2841" ht="15" customHeight="1">
      <c r="A2841" t="inlineStr">
        <is>
          <t>A 35304-2019</t>
        </is>
      </c>
      <c r="B2841" s="1" t="n">
        <v>43651</v>
      </c>
      <c r="C2841" s="1" t="n">
        <v>45212</v>
      </c>
      <c r="D2841" t="inlineStr">
        <is>
          <t>VÄSTRA GÖTALANDS LÄN</t>
        </is>
      </c>
      <c r="E2841" t="inlineStr">
        <is>
          <t>MELLERUD</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33677-2019</t>
        </is>
      </c>
      <c r="B2842" s="1" t="n">
        <v>43651</v>
      </c>
      <c r="C2842" s="1" t="n">
        <v>45212</v>
      </c>
      <c r="D2842" t="inlineStr">
        <is>
          <t>VÄSTRA GÖTALANDS LÄN</t>
        </is>
      </c>
      <c r="E2842" t="inlineStr">
        <is>
          <t>TROLLHÄTTAN</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33716-2019</t>
        </is>
      </c>
      <c r="B2843" s="1" t="n">
        <v>43651</v>
      </c>
      <c r="C2843" s="1" t="n">
        <v>45212</v>
      </c>
      <c r="D2843" t="inlineStr">
        <is>
          <t>VÄSTRA GÖTALANDS LÄN</t>
        </is>
      </c>
      <c r="E2843" t="inlineStr">
        <is>
          <t>MARIESTAD</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35306-2019</t>
        </is>
      </c>
      <c r="B2844" s="1" t="n">
        <v>43651</v>
      </c>
      <c r="C2844" s="1" t="n">
        <v>45212</v>
      </c>
      <c r="D2844" t="inlineStr">
        <is>
          <t>VÄSTRA GÖTALANDS LÄN</t>
        </is>
      </c>
      <c r="E2844" t="inlineStr">
        <is>
          <t>MELLERUD</t>
        </is>
      </c>
      <c r="G2844" t="n">
        <v>14.9</v>
      </c>
      <c r="H2844" t="n">
        <v>0</v>
      </c>
      <c r="I2844" t="n">
        <v>0</v>
      </c>
      <c r="J2844" t="n">
        <v>0</v>
      </c>
      <c r="K2844" t="n">
        <v>0</v>
      </c>
      <c r="L2844" t="n">
        <v>0</v>
      </c>
      <c r="M2844" t="n">
        <v>0</v>
      </c>
      <c r="N2844" t="n">
        <v>0</v>
      </c>
      <c r="O2844" t="n">
        <v>0</v>
      </c>
      <c r="P2844" t="n">
        <v>0</v>
      </c>
      <c r="Q2844" t="n">
        <v>0</v>
      </c>
      <c r="R2844" s="2" t="inlineStr"/>
    </row>
    <row r="2845" ht="15" customHeight="1">
      <c r="A2845" t="inlineStr">
        <is>
          <t>A 33684-2019</t>
        </is>
      </c>
      <c r="B2845" s="1" t="n">
        <v>43651</v>
      </c>
      <c r="C2845" s="1" t="n">
        <v>45212</v>
      </c>
      <c r="D2845" t="inlineStr">
        <is>
          <t>VÄSTRA GÖTALANDS LÄN</t>
        </is>
      </c>
      <c r="E2845" t="inlineStr">
        <is>
          <t>KUNGÄLV</t>
        </is>
      </c>
      <c r="G2845" t="n">
        <v>0.5</v>
      </c>
      <c r="H2845" t="n">
        <v>0</v>
      </c>
      <c r="I2845" t="n">
        <v>0</v>
      </c>
      <c r="J2845" t="n">
        <v>0</v>
      </c>
      <c r="K2845" t="n">
        <v>0</v>
      </c>
      <c r="L2845" t="n">
        <v>0</v>
      </c>
      <c r="M2845" t="n">
        <v>0</v>
      </c>
      <c r="N2845" t="n">
        <v>0</v>
      </c>
      <c r="O2845" t="n">
        <v>0</v>
      </c>
      <c r="P2845" t="n">
        <v>0</v>
      </c>
      <c r="Q2845" t="n">
        <v>0</v>
      </c>
      <c r="R2845" s="2" t="inlineStr"/>
    </row>
    <row r="2846" ht="15" customHeight="1">
      <c r="A2846" t="inlineStr">
        <is>
          <t>A 33690-2019</t>
        </is>
      </c>
      <c r="B2846" s="1" t="n">
        <v>43651</v>
      </c>
      <c r="C2846" s="1" t="n">
        <v>45212</v>
      </c>
      <c r="D2846" t="inlineStr">
        <is>
          <t>VÄSTRA GÖTALANDS LÄN</t>
        </is>
      </c>
      <c r="E2846" t="inlineStr">
        <is>
          <t>FÄRGELANDA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33703-2019</t>
        </is>
      </c>
      <c r="B2847" s="1" t="n">
        <v>43651</v>
      </c>
      <c r="C2847" s="1" t="n">
        <v>45212</v>
      </c>
      <c r="D2847" t="inlineStr">
        <is>
          <t>VÄSTRA GÖTALANDS LÄN</t>
        </is>
      </c>
      <c r="E2847" t="inlineStr">
        <is>
          <t>TÖREBODA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35383-2019</t>
        </is>
      </c>
      <c r="B2848" s="1" t="n">
        <v>43651</v>
      </c>
      <c r="C2848" s="1" t="n">
        <v>45212</v>
      </c>
      <c r="D2848" t="inlineStr">
        <is>
          <t>VÄSTRA GÖTALANDS LÄN</t>
        </is>
      </c>
      <c r="E2848" t="inlineStr">
        <is>
          <t>TANUM</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33500-2019</t>
        </is>
      </c>
      <c r="B2849" s="1" t="n">
        <v>43651</v>
      </c>
      <c r="C2849" s="1" t="n">
        <v>45212</v>
      </c>
      <c r="D2849" t="inlineStr">
        <is>
          <t>VÄSTRA GÖTALANDS LÄN</t>
        </is>
      </c>
      <c r="E2849" t="inlineStr">
        <is>
          <t>DALS-ED</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33582-2019</t>
        </is>
      </c>
      <c r="B2850" s="1" t="n">
        <v>43651</v>
      </c>
      <c r="C2850" s="1" t="n">
        <v>45212</v>
      </c>
      <c r="D2850" t="inlineStr">
        <is>
          <t>VÄSTRA GÖTALANDS LÄN</t>
        </is>
      </c>
      <c r="E2850" t="inlineStr">
        <is>
          <t>VARA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33706-2019</t>
        </is>
      </c>
      <c r="B2851" s="1" t="n">
        <v>43651</v>
      </c>
      <c r="C2851" s="1" t="n">
        <v>45212</v>
      </c>
      <c r="D2851" t="inlineStr">
        <is>
          <t>VÄSTRA GÖTALANDS LÄN</t>
        </is>
      </c>
      <c r="E2851" t="inlineStr">
        <is>
          <t>TÖREBODA</t>
        </is>
      </c>
      <c r="G2851" t="n">
        <v>4.1</v>
      </c>
      <c r="H2851" t="n">
        <v>0</v>
      </c>
      <c r="I2851" t="n">
        <v>0</v>
      </c>
      <c r="J2851" t="n">
        <v>0</v>
      </c>
      <c r="K2851" t="n">
        <v>0</v>
      </c>
      <c r="L2851" t="n">
        <v>0</v>
      </c>
      <c r="M2851" t="n">
        <v>0</v>
      </c>
      <c r="N2851" t="n">
        <v>0</v>
      </c>
      <c r="O2851" t="n">
        <v>0</v>
      </c>
      <c r="P2851" t="n">
        <v>0</v>
      </c>
      <c r="Q2851" t="n">
        <v>0</v>
      </c>
      <c r="R2851" s="2" t="inlineStr"/>
    </row>
    <row r="2852" ht="15" customHeight="1">
      <c r="A2852" t="inlineStr">
        <is>
          <t>A 35400-2019</t>
        </is>
      </c>
      <c r="B2852" s="1" t="n">
        <v>43651</v>
      </c>
      <c r="C2852" s="1" t="n">
        <v>45212</v>
      </c>
      <c r="D2852" t="inlineStr">
        <is>
          <t>VÄSTRA GÖTALANDS LÄN</t>
        </is>
      </c>
      <c r="E2852" t="inlineStr">
        <is>
          <t>VARA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33862-2019</t>
        </is>
      </c>
      <c r="B2853" s="1" t="n">
        <v>43652</v>
      </c>
      <c r="C2853" s="1" t="n">
        <v>45212</v>
      </c>
      <c r="D2853" t="inlineStr">
        <is>
          <t>VÄSTRA GÖTALANDS LÄN</t>
        </is>
      </c>
      <c r="E2853" t="inlineStr">
        <is>
          <t>ORUST</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33885-2019</t>
        </is>
      </c>
      <c r="B2854" s="1" t="n">
        <v>43653</v>
      </c>
      <c r="C2854" s="1" t="n">
        <v>45212</v>
      </c>
      <c r="D2854" t="inlineStr">
        <is>
          <t>VÄSTRA GÖTALANDS LÄN</t>
        </is>
      </c>
      <c r="E2854" t="inlineStr">
        <is>
          <t>ALINGSÅS</t>
        </is>
      </c>
      <c r="G2854" t="n">
        <v>2.1</v>
      </c>
      <c r="H2854" t="n">
        <v>0</v>
      </c>
      <c r="I2854" t="n">
        <v>0</v>
      </c>
      <c r="J2854" t="n">
        <v>0</v>
      </c>
      <c r="K2854" t="n">
        <v>0</v>
      </c>
      <c r="L2854" t="n">
        <v>0</v>
      </c>
      <c r="M2854" t="n">
        <v>0</v>
      </c>
      <c r="N2854" t="n">
        <v>0</v>
      </c>
      <c r="O2854" t="n">
        <v>0</v>
      </c>
      <c r="P2854" t="n">
        <v>0</v>
      </c>
      <c r="Q2854" t="n">
        <v>0</v>
      </c>
      <c r="R2854" s="2" t="inlineStr"/>
    </row>
    <row r="2855" ht="15" customHeight="1">
      <c r="A2855" t="inlineStr">
        <is>
          <t>A 33893-2019</t>
        </is>
      </c>
      <c r="B2855" s="1" t="n">
        <v>43653</v>
      </c>
      <c r="C2855" s="1" t="n">
        <v>45212</v>
      </c>
      <c r="D2855" t="inlineStr">
        <is>
          <t>VÄSTRA GÖTALANDS LÄN</t>
        </is>
      </c>
      <c r="E2855" t="inlineStr">
        <is>
          <t>ULRICEHAMN</t>
        </is>
      </c>
      <c r="G2855" t="n">
        <v>0.2</v>
      </c>
      <c r="H2855" t="n">
        <v>0</v>
      </c>
      <c r="I2855" t="n">
        <v>0</v>
      </c>
      <c r="J2855" t="n">
        <v>0</v>
      </c>
      <c r="K2855" t="n">
        <v>0</v>
      </c>
      <c r="L2855" t="n">
        <v>0</v>
      </c>
      <c r="M2855" t="n">
        <v>0</v>
      </c>
      <c r="N2855" t="n">
        <v>0</v>
      </c>
      <c r="O2855" t="n">
        <v>0</v>
      </c>
      <c r="P2855" t="n">
        <v>0</v>
      </c>
      <c r="Q2855" t="n">
        <v>0</v>
      </c>
      <c r="R2855" s="2" t="inlineStr"/>
    </row>
    <row r="2856" ht="15" customHeight="1">
      <c r="A2856" t="inlineStr">
        <is>
          <t>A 33936-2019</t>
        </is>
      </c>
      <c r="B2856" s="1" t="n">
        <v>43654</v>
      </c>
      <c r="C2856" s="1" t="n">
        <v>45212</v>
      </c>
      <c r="D2856" t="inlineStr">
        <is>
          <t>VÄSTRA GÖTALANDS LÄN</t>
        </is>
      </c>
      <c r="E2856" t="inlineStr">
        <is>
          <t>ESSUNGA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33997-2019</t>
        </is>
      </c>
      <c r="B2857" s="1" t="n">
        <v>43654</v>
      </c>
      <c r="C2857" s="1" t="n">
        <v>45212</v>
      </c>
      <c r="D2857" t="inlineStr">
        <is>
          <t>VÄSTRA GÖTALANDS LÄN</t>
        </is>
      </c>
      <c r="E2857" t="inlineStr">
        <is>
          <t>TIDAHOLM</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33991-2019</t>
        </is>
      </c>
      <c r="B2858" s="1" t="n">
        <v>43654</v>
      </c>
      <c r="C2858" s="1" t="n">
        <v>45212</v>
      </c>
      <c r="D2858" t="inlineStr">
        <is>
          <t>VÄSTRA GÖTALANDS LÄN</t>
        </is>
      </c>
      <c r="E2858" t="inlineStr">
        <is>
          <t>UDDEVALLA</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35539-2019</t>
        </is>
      </c>
      <c r="B2859" s="1" t="n">
        <v>43654</v>
      </c>
      <c r="C2859" s="1" t="n">
        <v>45212</v>
      </c>
      <c r="D2859" t="inlineStr">
        <is>
          <t>VÄSTRA GÖTALANDS LÄN</t>
        </is>
      </c>
      <c r="E2859" t="inlineStr">
        <is>
          <t>BORÅS</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34080-2019</t>
        </is>
      </c>
      <c r="B2860" s="1" t="n">
        <v>43654</v>
      </c>
      <c r="C2860" s="1" t="n">
        <v>45212</v>
      </c>
      <c r="D2860" t="inlineStr">
        <is>
          <t>VÄSTRA GÖTALANDS LÄN</t>
        </is>
      </c>
      <c r="E2860" t="inlineStr">
        <is>
          <t>TRANEMO</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34044-2019</t>
        </is>
      </c>
      <c r="B2861" s="1" t="n">
        <v>43654</v>
      </c>
      <c r="C2861" s="1" t="n">
        <v>45212</v>
      </c>
      <c r="D2861" t="inlineStr">
        <is>
          <t>VÄSTRA GÖTALANDS LÄN</t>
        </is>
      </c>
      <c r="E2861" t="inlineStr">
        <is>
          <t>TJÖRN</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34220-2019</t>
        </is>
      </c>
      <c r="B2862" s="1" t="n">
        <v>43655</v>
      </c>
      <c r="C2862" s="1" t="n">
        <v>45212</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34223-2019</t>
        </is>
      </c>
      <c r="B2863" s="1" t="n">
        <v>43655</v>
      </c>
      <c r="C2863" s="1" t="n">
        <v>45212</v>
      </c>
      <c r="D2863" t="inlineStr">
        <is>
          <t>VÄSTRA GÖTALANDS LÄN</t>
        </is>
      </c>
      <c r="E2863" t="inlineStr">
        <is>
          <t>SKÖVDE</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34254-2019</t>
        </is>
      </c>
      <c r="B2864" s="1" t="n">
        <v>43655</v>
      </c>
      <c r="C2864" s="1" t="n">
        <v>45212</v>
      </c>
      <c r="D2864" t="inlineStr">
        <is>
          <t>VÄSTRA GÖTALANDS LÄN</t>
        </is>
      </c>
      <c r="E2864" t="inlineStr">
        <is>
          <t>LILLA EDET</t>
        </is>
      </c>
      <c r="G2864" t="n">
        <v>7.1</v>
      </c>
      <c r="H2864" t="n">
        <v>0</v>
      </c>
      <c r="I2864" t="n">
        <v>0</v>
      </c>
      <c r="J2864" t="n">
        <v>0</v>
      </c>
      <c r="K2864" t="n">
        <v>0</v>
      </c>
      <c r="L2864" t="n">
        <v>0</v>
      </c>
      <c r="M2864" t="n">
        <v>0</v>
      </c>
      <c r="N2864" t="n">
        <v>0</v>
      </c>
      <c r="O2864" t="n">
        <v>0</v>
      </c>
      <c r="P2864" t="n">
        <v>0</v>
      </c>
      <c r="Q2864" t="n">
        <v>0</v>
      </c>
      <c r="R2864" s="2" t="inlineStr"/>
    </row>
    <row r="2865" ht="15" customHeight="1">
      <c r="A2865" t="inlineStr">
        <is>
          <t>A 35676-2019</t>
        </is>
      </c>
      <c r="B2865" s="1" t="n">
        <v>43655</v>
      </c>
      <c r="C2865" s="1" t="n">
        <v>45212</v>
      </c>
      <c r="D2865" t="inlineStr">
        <is>
          <t>VÄSTRA GÖTALANDS LÄN</t>
        </is>
      </c>
      <c r="E2865" t="inlineStr">
        <is>
          <t>BENGTSFORS</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34349-2019</t>
        </is>
      </c>
      <c r="B2866" s="1" t="n">
        <v>43656</v>
      </c>
      <c r="C2866" s="1" t="n">
        <v>45212</v>
      </c>
      <c r="D2866" t="inlineStr">
        <is>
          <t>VÄSTRA GÖTALANDS LÄN</t>
        </is>
      </c>
      <c r="E2866" t="inlineStr">
        <is>
          <t>VÅRGÅRDA</t>
        </is>
      </c>
      <c r="G2866" t="n">
        <v>4.3</v>
      </c>
      <c r="H2866" t="n">
        <v>0</v>
      </c>
      <c r="I2866" t="n">
        <v>0</v>
      </c>
      <c r="J2866" t="n">
        <v>0</v>
      </c>
      <c r="K2866" t="n">
        <v>0</v>
      </c>
      <c r="L2866" t="n">
        <v>0</v>
      </c>
      <c r="M2866" t="n">
        <v>0</v>
      </c>
      <c r="N2866" t="n">
        <v>0</v>
      </c>
      <c r="O2866" t="n">
        <v>0</v>
      </c>
      <c r="P2866" t="n">
        <v>0</v>
      </c>
      <c r="Q2866" t="n">
        <v>0</v>
      </c>
      <c r="R2866" s="2" t="inlineStr"/>
    </row>
    <row r="2867" ht="15" customHeight="1">
      <c r="A2867" t="inlineStr">
        <is>
          <t>A 34342-2019</t>
        </is>
      </c>
      <c r="B2867" s="1" t="n">
        <v>43656</v>
      </c>
      <c r="C2867" s="1" t="n">
        <v>45212</v>
      </c>
      <c r="D2867" t="inlineStr">
        <is>
          <t>VÄSTRA GÖTALANDS LÄN</t>
        </is>
      </c>
      <c r="E2867" t="inlineStr">
        <is>
          <t>MARIESTAD</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34351-2019</t>
        </is>
      </c>
      <c r="B2868" s="1" t="n">
        <v>43656</v>
      </c>
      <c r="C2868" s="1" t="n">
        <v>45212</v>
      </c>
      <c r="D2868" t="inlineStr">
        <is>
          <t>VÄSTRA GÖTALANDS LÄN</t>
        </is>
      </c>
      <c r="E2868" t="inlineStr">
        <is>
          <t>BOLLEBYGD</t>
        </is>
      </c>
      <c r="G2868" t="n">
        <v>7</v>
      </c>
      <c r="H2868" t="n">
        <v>0</v>
      </c>
      <c r="I2868" t="n">
        <v>0</v>
      </c>
      <c r="J2868" t="n">
        <v>0</v>
      </c>
      <c r="K2868" t="n">
        <v>0</v>
      </c>
      <c r="L2868" t="n">
        <v>0</v>
      </c>
      <c r="M2868" t="n">
        <v>0</v>
      </c>
      <c r="N2868" t="n">
        <v>0</v>
      </c>
      <c r="O2868" t="n">
        <v>0</v>
      </c>
      <c r="P2868" t="n">
        <v>0</v>
      </c>
      <c r="Q2868" t="n">
        <v>0</v>
      </c>
      <c r="R2868" s="2" t="inlineStr"/>
    </row>
    <row r="2869" ht="15" customHeight="1">
      <c r="A2869" t="inlineStr">
        <is>
          <t>A 34389-2019</t>
        </is>
      </c>
      <c r="B2869" s="1" t="n">
        <v>43656</v>
      </c>
      <c r="C2869" s="1" t="n">
        <v>45212</v>
      </c>
      <c r="D2869" t="inlineStr">
        <is>
          <t>VÄSTRA GÖTALANDS LÄN</t>
        </is>
      </c>
      <c r="E2869" t="inlineStr">
        <is>
          <t>VÅRGÅRDA</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34662-2019</t>
        </is>
      </c>
      <c r="B2870" s="1" t="n">
        <v>43657</v>
      </c>
      <c r="C2870" s="1" t="n">
        <v>45212</v>
      </c>
      <c r="D2870" t="inlineStr">
        <is>
          <t>VÄSTRA GÖTALANDS LÄN</t>
        </is>
      </c>
      <c r="E2870" t="inlineStr">
        <is>
          <t>ALINGSÅS</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34706-2019</t>
        </is>
      </c>
      <c r="B2871" s="1" t="n">
        <v>43657</v>
      </c>
      <c r="C2871" s="1" t="n">
        <v>45212</v>
      </c>
      <c r="D2871" t="inlineStr">
        <is>
          <t>VÄSTRA GÖTALANDS LÄN</t>
        </is>
      </c>
      <c r="E2871" t="inlineStr">
        <is>
          <t>TJÖRN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34710-2019</t>
        </is>
      </c>
      <c r="B2872" s="1" t="n">
        <v>43657</v>
      </c>
      <c r="C2872" s="1" t="n">
        <v>45212</v>
      </c>
      <c r="D2872" t="inlineStr">
        <is>
          <t>VÄSTRA GÖTALANDS LÄN</t>
        </is>
      </c>
      <c r="E2872" t="inlineStr">
        <is>
          <t>FALKÖPING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34832-2019</t>
        </is>
      </c>
      <c r="B2873" s="1" t="n">
        <v>43658</v>
      </c>
      <c r="C2873" s="1" t="n">
        <v>45212</v>
      </c>
      <c r="D2873" t="inlineStr">
        <is>
          <t>VÄSTRA GÖTALANDS LÄN</t>
        </is>
      </c>
      <c r="E2873" t="inlineStr">
        <is>
          <t>HERRLJUNGA</t>
        </is>
      </c>
      <c r="G2873" t="n">
        <v>3.4</v>
      </c>
      <c r="H2873" t="n">
        <v>0</v>
      </c>
      <c r="I2873" t="n">
        <v>0</v>
      </c>
      <c r="J2873" t="n">
        <v>0</v>
      </c>
      <c r="K2873" t="n">
        <v>0</v>
      </c>
      <c r="L2873" t="n">
        <v>0</v>
      </c>
      <c r="M2873" t="n">
        <v>0</v>
      </c>
      <c r="N2873" t="n">
        <v>0</v>
      </c>
      <c r="O2873" t="n">
        <v>0</v>
      </c>
      <c r="P2873" t="n">
        <v>0</v>
      </c>
      <c r="Q2873" t="n">
        <v>0</v>
      </c>
      <c r="R2873" s="2" t="inlineStr"/>
    </row>
    <row r="2874" ht="15" customHeight="1">
      <c r="A2874" t="inlineStr">
        <is>
          <t>A 34759-2019</t>
        </is>
      </c>
      <c r="B2874" s="1" t="n">
        <v>43658</v>
      </c>
      <c r="C2874" s="1" t="n">
        <v>45212</v>
      </c>
      <c r="D2874" t="inlineStr">
        <is>
          <t>VÄSTRA GÖTALANDS LÄN</t>
        </is>
      </c>
      <c r="E2874" t="inlineStr">
        <is>
          <t>SVENLJUNGA</t>
        </is>
      </c>
      <c r="G2874" t="n">
        <v>5</v>
      </c>
      <c r="H2874" t="n">
        <v>0</v>
      </c>
      <c r="I2874" t="n">
        <v>0</v>
      </c>
      <c r="J2874" t="n">
        <v>0</v>
      </c>
      <c r="K2874" t="n">
        <v>0</v>
      </c>
      <c r="L2874" t="n">
        <v>0</v>
      </c>
      <c r="M2874" t="n">
        <v>0</v>
      </c>
      <c r="N2874" t="n">
        <v>0</v>
      </c>
      <c r="O2874" t="n">
        <v>0</v>
      </c>
      <c r="P2874" t="n">
        <v>0</v>
      </c>
      <c r="Q2874" t="n">
        <v>0</v>
      </c>
      <c r="R2874" s="2" t="inlineStr"/>
    </row>
    <row r="2875" ht="15" customHeight="1">
      <c r="A2875" t="inlineStr">
        <is>
          <t>A 34878-2019</t>
        </is>
      </c>
      <c r="B2875" s="1" t="n">
        <v>43658</v>
      </c>
      <c r="C2875" s="1" t="n">
        <v>45212</v>
      </c>
      <c r="D2875" t="inlineStr">
        <is>
          <t>VÄSTRA GÖTALANDS LÄN</t>
        </is>
      </c>
      <c r="E2875" t="inlineStr">
        <is>
          <t>BENGTSFORS</t>
        </is>
      </c>
      <c r="F2875" t="inlineStr">
        <is>
          <t>Kommuner</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34924-2019</t>
        </is>
      </c>
      <c r="B2876" s="1" t="n">
        <v>43658</v>
      </c>
      <c r="C2876" s="1" t="n">
        <v>45212</v>
      </c>
      <c r="D2876" t="inlineStr">
        <is>
          <t>VÄSTRA GÖTALANDS LÄN</t>
        </is>
      </c>
      <c r="E2876" t="inlineStr">
        <is>
          <t>BOLLEBYGD</t>
        </is>
      </c>
      <c r="F2876" t="inlineStr">
        <is>
          <t>Kommuner</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34941-2019</t>
        </is>
      </c>
      <c r="B2877" s="1" t="n">
        <v>43658</v>
      </c>
      <c r="C2877" s="1" t="n">
        <v>45212</v>
      </c>
      <c r="D2877" t="inlineStr">
        <is>
          <t>VÄSTRA GÖTALANDS LÄN</t>
        </is>
      </c>
      <c r="E2877" t="inlineStr">
        <is>
          <t>ALINGSÅS</t>
        </is>
      </c>
      <c r="F2877" t="inlineStr">
        <is>
          <t>Kyrkan</t>
        </is>
      </c>
      <c r="G2877" t="n">
        <v>2.7</v>
      </c>
      <c r="H2877" t="n">
        <v>0</v>
      </c>
      <c r="I2877" t="n">
        <v>0</v>
      </c>
      <c r="J2877" t="n">
        <v>0</v>
      </c>
      <c r="K2877" t="n">
        <v>0</v>
      </c>
      <c r="L2877" t="n">
        <v>0</v>
      </c>
      <c r="M2877" t="n">
        <v>0</v>
      </c>
      <c r="N2877" t="n">
        <v>0</v>
      </c>
      <c r="O2877" t="n">
        <v>0</v>
      </c>
      <c r="P2877" t="n">
        <v>0</v>
      </c>
      <c r="Q2877" t="n">
        <v>0</v>
      </c>
      <c r="R2877" s="2" t="inlineStr"/>
    </row>
    <row r="2878" ht="15" customHeight="1">
      <c r="A2878" t="inlineStr">
        <is>
          <t>A 34899-2019</t>
        </is>
      </c>
      <c r="B2878" s="1" t="n">
        <v>43658</v>
      </c>
      <c r="C2878" s="1" t="n">
        <v>45212</v>
      </c>
      <c r="D2878" t="inlineStr">
        <is>
          <t>VÄSTRA GÖTALANDS LÄN</t>
        </is>
      </c>
      <c r="E2878" t="inlineStr">
        <is>
          <t>TIDAHOLM</t>
        </is>
      </c>
      <c r="G2878" t="n">
        <v>7.2</v>
      </c>
      <c r="H2878" t="n">
        <v>0</v>
      </c>
      <c r="I2878" t="n">
        <v>0</v>
      </c>
      <c r="J2878" t="n">
        <v>0</v>
      </c>
      <c r="K2878" t="n">
        <v>0</v>
      </c>
      <c r="L2878" t="n">
        <v>0</v>
      </c>
      <c r="M2878" t="n">
        <v>0</v>
      </c>
      <c r="N2878" t="n">
        <v>0</v>
      </c>
      <c r="O2878" t="n">
        <v>0</v>
      </c>
      <c r="P2878" t="n">
        <v>0</v>
      </c>
      <c r="Q2878" t="n">
        <v>0</v>
      </c>
      <c r="R2878" s="2" t="inlineStr"/>
    </row>
    <row r="2879" ht="15" customHeight="1">
      <c r="A2879" t="inlineStr">
        <is>
          <t>A 34940-2019</t>
        </is>
      </c>
      <c r="B2879" s="1" t="n">
        <v>43658</v>
      </c>
      <c r="C2879" s="1" t="n">
        <v>45212</v>
      </c>
      <c r="D2879" t="inlineStr">
        <is>
          <t>VÄSTRA GÖTALANDS LÄN</t>
        </is>
      </c>
      <c r="E2879" t="inlineStr">
        <is>
          <t>TANUM</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34867-2019</t>
        </is>
      </c>
      <c r="B2880" s="1" t="n">
        <v>43658</v>
      </c>
      <c r="C2880" s="1" t="n">
        <v>45212</v>
      </c>
      <c r="D2880" t="inlineStr">
        <is>
          <t>VÄSTRA GÖTALANDS LÄN</t>
        </is>
      </c>
      <c r="E2880" t="inlineStr">
        <is>
          <t>STRÖMSTAD</t>
        </is>
      </c>
      <c r="G2880" t="n">
        <v>8</v>
      </c>
      <c r="H2880" t="n">
        <v>0</v>
      </c>
      <c r="I2880" t="n">
        <v>0</v>
      </c>
      <c r="J2880" t="n">
        <v>0</v>
      </c>
      <c r="K2880" t="n">
        <v>0</v>
      </c>
      <c r="L2880" t="n">
        <v>0</v>
      </c>
      <c r="M2880" t="n">
        <v>0</v>
      </c>
      <c r="N2880" t="n">
        <v>0</v>
      </c>
      <c r="O2880" t="n">
        <v>0</v>
      </c>
      <c r="P2880" t="n">
        <v>0</v>
      </c>
      <c r="Q2880" t="n">
        <v>0</v>
      </c>
      <c r="R2880" s="2" t="inlineStr"/>
    </row>
    <row r="2881" ht="15" customHeight="1">
      <c r="A2881" t="inlineStr">
        <is>
          <t>A 34947-2019</t>
        </is>
      </c>
      <c r="B2881" s="1" t="n">
        <v>43658</v>
      </c>
      <c r="C2881" s="1" t="n">
        <v>45212</v>
      </c>
      <c r="D2881" t="inlineStr">
        <is>
          <t>VÄSTRA GÖTALANDS LÄN</t>
        </is>
      </c>
      <c r="E2881" t="inlineStr">
        <is>
          <t>HÄRRYDA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34993-2019</t>
        </is>
      </c>
      <c r="B2882" s="1" t="n">
        <v>43660</v>
      </c>
      <c r="C2882" s="1" t="n">
        <v>45212</v>
      </c>
      <c r="D2882" t="inlineStr">
        <is>
          <t>VÄSTRA GÖTALANDS LÄN</t>
        </is>
      </c>
      <c r="E2882" t="inlineStr">
        <is>
          <t>HÄRRYDA</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35241-2019</t>
        </is>
      </c>
      <c r="B2883" s="1" t="n">
        <v>43662</v>
      </c>
      <c r="C2883" s="1" t="n">
        <v>45212</v>
      </c>
      <c r="D2883" t="inlineStr">
        <is>
          <t>VÄSTRA GÖTALANDS LÄN</t>
        </is>
      </c>
      <c r="E2883" t="inlineStr">
        <is>
          <t>VÄNERSBORG</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35204-2019</t>
        </is>
      </c>
      <c r="B2884" s="1" t="n">
        <v>43662</v>
      </c>
      <c r="C2884" s="1" t="n">
        <v>45212</v>
      </c>
      <c r="D2884" t="inlineStr">
        <is>
          <t>VÄSTRA GÖTALANDS LÄN</t>
        </is>
      </c>
      <c r="E2884" t="inlineStr">
        <is>
          <t>FÄRGELANDA</t>
        </is>
      </c>
      <c r="G2884" t="n">
        <v>8.199999999999999</v>
      </c>
      <c r="H2884" t="n">
        <v>0</v>
      </c>
      <c r="I2884" t="n">
        <v>0</v>
      </c>
      <c r="J2884" t="n">
        <v>0</v>
      </c>
      <c r="K2884" t="n">
        <v>0</v>
      </c>
      <c r="L2884" t="n">
        <v>0</v>
      </c>
      <c r="M2884" t="n">
        <v>0</v>
      </c>
      <c r="N2884" t="n">
        <v>0</v>
      </c>
      <c r="O2884" t="n">
        <v>0</v>
      </c>
      <c r="P2884" t="n">
        <v>0</v>
      </c>
      <c r="Q2884" t="n">
        <v>0</v>
      </c>
      <c r="R2884" s="2" t="inlineStr"/>
    </row>
    <row r="2885" ht="15" customHeight="1">
      <c r="A2885" t="inlineStr">
        <is>
          <t>A 35239-2019</t>
        </is>
      </c>
      <c r="B2885" s="1" t="n">
        <v>43662</v>
      </c>
      <c r="C2885" s="1" t="n">
        <v>45212</v>
      </c>
      <c r="D2885" t="inlineStr">
        <is>
          <t>VÄSTRA GÖTALANDS LÄN</t>
        </is>
      </c>
      <c r="E2885" t="inlineStr">
        <is>
          <t>VÄNERSBORG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37613-2019</t>
        </is>
      </c>
      <c r="B2886" s="1" t="n">
        <v>43662</v>
      </c>
      <c r="C2886" s="1" t="n">
        <v>45212</v>
      </c>
      <c r="D2886" t="inlineStr">
        <is>
          <t>VÄSTRA GÖTALANDS LÄN</t>
        </is>
      </c>
      <c r="E2886" t="inlineStr">
        <is>
          <t>BORÅS</t>
        </is>
      </c>
      <c r="G2886" t="n">
        <v>6.3</v>
      </c>
      <c r="H2886" t="n">
        <v>0</v>
      </c>
      <c r="I2886" t="n">
        <v>0</v>
      </c>
      <c r="J2886" t="n">
        <v>0</v>
      </c>
      <c r="K2886" t="n">
        <v>0</v>
      </c>
      <c r="L2886" t="n">
        <v>0</v>
      </c>
      <c r="M2886" t="n">
        <v>0</v>
      </c>
      <c r="N2886" t="n">
        <v>0</v>
      </c>
      <c r="O2886" t="n">
        <v>0</v>
      </c>
      <c r="P2886" t="n">
        <v>0</v>
      </c>
      <c r="Q2886" t="n">
        <v>0</v>
      </c>
      <c r="R2886" s="2" t="inlineStr"/>
    </row>
    <row r="2887" ht="15" customHeight="1">
      <c r="A2887" t="inlineStr">
        <is>
          <t>A 35232-2019</t>
        </is>
      </c>
      <c r="B2887" s="1" t="n">
        <v>43662</v>
      </c>
      <c r="C2887" s="1" t="n">
        <v>45212</v>
      </c>
      <c r="D2887" t="inlineStr">
        <is>
          <t>VÄSTRA GÖTALANDS LÄN</t>
        </is>
      </c>
      <c r="E2887" t="inlineStr">
        <is>
          <t>ULRICEHAMN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35240-2019</t>
        </is>
      </c>
      <c r="B2888" s="1" t="n">
        <v>43662</v>
      </c>
      <c r="C2888" s="1" t="n">
        <v>45212</v>
      </c>
      <c r="D2888" t="inlineStr">
        <is>
          <t>VÄSTRA GÖTALANDS LÄN</t>
        </is>
      </c>
      <c r="E2888" t="inlineStr">
        <is>
          <t>VÄNERSBORG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36413-2019</t>
        </is>
      </c>
      <c r="B2889" s="1" t="n">
        <v>43663</v>
      </c>
      <c r="C2889" s="1" t="n">
        <v>45212</v>
      </c>
      <c r="D2889" t="inlineStr">
        <is>
          <t>VÄSTRA GÖTALANDS LÄN</t>
        </is>
      </c>
      <c r="E2889" t="inlineStr">
        <is>
          <t>FALKÖPING</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35549-2019</t>
        </is>
      </c>
      <c r="B2890" s="1" t="n">
        <v>43664</v>
      </c>
      <c r="C2890" s="1" t="n">
        <v>45212</v>
      </c>
      <c r="D2890" t="inlineStr">
        <is>
          <t>VÄSTRA GÖTALANDS LÄN</t>
        </is>
      </c>
      <c r="E2890" t="inlineStr">
        <is>
          <t>ULRICEHAMN</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36458-2019</t>
        </is>
      </c>
      <c r="B2891" s="1" t="n">
        <v>43664</v>
      </c>
      <c r="C2891" s="1" t="n">
        <v>45212</v>
      </c>
      <c r="D2891" t="inlineStr">
        <is>
          <t>VÄSTRA GÖTALANDS LÄN</t>
        </is>
      </c>
      <c r="E2891" t="inlineStr">
        <is>
          <t>GULLSPÅNG</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35538-2019</t>
        </is>
      </c>
      <c r="B2892" s="1" t="n">
        <v>43664</v>
      </c>
      <c r="C2892" s="1" t="n">
        <v>45212</v>
      </c>
      <c r="D2892" t="inlineStr">
        <is>
          <t>VÄSTRA GÖTALANDS LÄN</t>
        </is>
      </c>
      <c r="E2892" t="inlineStr">
        <is>
          <t>KUNGÄLV</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35619-2019</t>
        </is>
      </c>
      <c r="B2893" s="1" t="n">
        <v>43664</v>
      </c>
      <c r="C2893" s="1" t="n">
        <v>45212</v>
      </c>
      <c r="D2893" t="inlineStr">
        <is>
          <t>VÄSTRA GÖTALANDS LÄN</t>
        </is>
      </c>
      <c r="E2893" t="inlineStr">
        <is>
          <t>TRANEMO</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36460-2019</t>
        </is>
      </c>
      <c r="B2894" s="1" t="n">
        <v>43664</v>
      </c>
      <c r="C2894" s="1" t="n">
        <v>45212</v>
      </c>
      <c r="D2894" t="inlineStr">
        <is>
          <t>VÄSTRA GÖTALANDS LÄN</t>
        </is>
      </c>
      <c r="E2894" t="inlineStr">
        <is>
          <t>GULLSPÅNG</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35947-2019</t>
        </is>
      </c>
      <c r="B2895" s="1" t="n">
        <v>43665</v>
      </c>
      <c r="C2895" s="1" t="n">
        <v>45212</v>
      </c>
      <c r="D2895" t="inlineStr">
        <is>
          <t>VÄSTRA GÖTALANDS LÄN</t>
        </is>
      </c>
      <c r="E2895" t="inlineStr">
        <is>
          <t>UDDEVALLA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35951-2019</t>
        </is>
      </c>
      <c r="B2896" s="1" t="n">
        <v>43665</v>
      </c>
      <c r="C2896" s="1" t="n">
        <v>45212</v>
      </c>
      <c r="D2896" t="inlineStr">
        <is>
          <t>VÄSTRA GÖTALANDS LÄN</t>
        </is>
      </c>
      <c r="E2896" t="inlineStr">
        <is>
          <t>ALINGSÅS</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35809-2019</t>
        </is>
      </c>
      <c r="B2897" s="1" t="n">
        <v>43665</v>
      </c>
      <c r="C2897" s="1" t="n">
        <v>45212</v>
      </c>
      <c r="D2897" t="inlineStr">
        <is>
          <t>VÄSTRA GÖTALANDS LÄN</t>
        </is>
      </c>
      <c r="E2897" t="inlineStr">
        <is>
          <t>UDDEVALLA</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36524-2019</t>
        </is>
      </c>
      <c r="B2898" s="1" t="n">
        <v>43668</v>
      </c>
      <c r="C2898" s="1" t="n">
        <v>45212</v>
      </c>
      <c r="D2898" t="inlineStr">
        <is>
          <t>VÄSTRA GÖTALANDS LÄN</t>
        </is>
      </c>
      <c r="E2898" t="inlineStr">
        <is>
          <t>LYSEKIL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36203-2019</t>
        </is>
      </c>
      <c r="B2899" s="1" t="n">
        <v>43669</v>
      </c>
      <c r="C2899" s="1" t="n">
        <v>45212</v>
      </c>
      <c r="D2899" t="inlineStr">
        <is>
          <t>VÄSTRA GÖTALANDS LÄN</t>
        </is>
      </c>
      <c r="E2899" t="inlineStr">
        <is>
          <t>GÖTENE</t>
        </is>
      </c>
      <c r="G2899" t="n">
        <v>6.4</v>
      </c>
      <c r="H2899" t="n">
        <v>0</v>
      </c>
      <c r="I2899" t="n">
        <v>0</v>
      </c>
      <c r="J2899" t="n">
        <v>0</v>
      </c>
      <c r="K2899" t="n">
        <v>0</v>
      </c>
      <c r="L2899" t="n">
        <v>0</v>
      </c>
      <c r="M2899" t="n">
        <v>0</v>
      </c>
      <c r="N2899" t="n">
        <v>0</v>
      </c>
      <c r="O2899" t="n">
        <v>0</v>
      </c>
      <c r="P2899" t="n">
        <v>0</v>
      </c>
      <c r="Q2899" t="n">
        <v>0</v>
      </c>
      <c r="R2899" s="2" t="inlineStr"/>
    </row>
    <row r="2900" ht="15" customHeight="1">
      <c r="A2900" t="inlineStr">
        <is>
          <t>A 36191-2019</t>
        </is>
      </c>
      <c r="B2900" s="1" t="n">
        <v>43669</v>
      </c>
      <c r="C2900" s="1" t="n">
        <v>45212</v>
      </c>
      <c r="D2900" t="inlineStr">
        <is>
          <t>VÄSTRA GÖTALANDS LÄN</t>
        </is>
      </c>
      <c r="E2900" t="inlineStr">
        <is>
          <t>HERRLJUNGA</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36338-2019</t>
        </is>
      </c>
      <c r="B2901" s="1" t="n">
        <v>43669</v>
      </c>
      <c r="C2901" s="1" t="n">
        <v>45212</v>
      </c>
      <c r="D2901" t="inlineStr">
        <is>
          <t>VÄSTRA GÖTALANDS LÄN</t>
        </is>
      </c>
      <c r="E2901" t="inlineStr">
        <is>
          <t>MELLERUD</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36634-2019</t>
        </is>
      </c>
      <c r="B2902" s="1" t="n">
        <v>43669</v>
      </c>
      <c r="C2902" s="1" t="n">
        <v>45212</v>
      </c>
      <c r="D2902" t="inlineStr">
        <is>
          <t>VÄSTRA GÖTALANDS LÄN</t>
        </is>
      </c>
      <c r="E2902" t="inlineStr">
        <is>
          <t>STENUNGSUND</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36401-2019</t>
        </is>
      </c>
      <c r="B2903" s="1" t="n">
        <v>43670</v>
      </c>
      <c r="C2903" s="1" t="n">
        <v>45212</v>
      </c>
      <c r="D2903" t="inlineStr">
        <is>
          <t>VÄSTRA GÖTALANDS LÄN</t>
        </is>
      </c>
      <c r="E2903" t="inlineStr">
        <is>
          <t>BENGTSFORS</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36339-2019</t>
        </is>
      </c>
      <c r="B2904" s="1" t="n">
        <v>43670</v>
      </c>
      <c r="C2904" s="1" t="n">
        <v>45212</v>
      </c>
      <c r="D2904" t="inlineStr">
        <is>
          <t>VÄSTRA GÖTALANDS LÄN</t>
        </is>
      </c>
      <c r="E2904" t="inlineStr">
        <is>
          <t>ULRICEHAMN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36567-2019</t>
        </is>
      </c>
      <c r="B2905" s="1" t="n">
        <v>43671</v>
      </c>
      <c r="C2905" s="1" t="n">
        <v>45212</v>
      </c>
      <c r="D2905" t="inlineStr">
        <is>
          <t>VÄSTRA GÖTALANDS LÄN</t>
        </is>
      </c>
      <c r="E2905" t="inlineStr">
        <is>
          <t>MARK</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36576-2019</t>
        </is>
      </c>
      <c r="B2906" s="1" t="n">
        <v>43671</v>
      </c>
      <c r="C2906" s="1" t="n">
        <v>45212</v>
      </c>
      <c r="D2906" t="inlineStr">
        <is>
          <t>VÄSTRA GÖTALANDS LÄN</t>
        </is>
      </c>
      <c r="E2906" t="inlineStr">
        <is>
          <t>SKARA</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36662-2019</t>
        </is>
      </c>
      <c r="B2907" s="1" t="n">
        <v>43671</v>
      </c>
      <c r="C2907" s="1" t="n">
        <v>45212</v>
      </c>
      <c r="D2907" t="inlineStr">
        <is>
          <t>VÄSTRA GÖTALANDS LÄN</t>
        </is>
      </c>
      <c r="E2907" t="inlineStr">
        <is>
          <t>FALKÖPING</t>
        </is>
      </c>
      <c r="G2907" t="n">
        <v>5.3</v>
      </c>
      <c r="H2907" t="n">
        <v>0</v>
      </c>
      <c r="I2907" t="n">
        <v>0</v>
      </c>
      <c r="J2907" t="n">
        <v>0</v>
      </c>
      <c r="K2907" t="n">
        <v>0</v>
      </c>
      <c r="L2907" t="n">
        <v>0</v>
      </c>
      <c r="M2907" t="n">
        <v>0</v>
      </c>
      <c r="N2907" t="n">
        <v>0</v>
      </c>
      <c r="O2907" t="n">
        <v>0</v>
      </c>
      <c r="P2907" t="n">
        <v>0</v>
      </c>
      <c r="Q2907" t="n">
        <v>0</v>
      </c>
      <c r="R2907" s="2" t="inlineStr"/>
    </row>
    <row r="2908" ht="15" customHeight="1">
      <c r="A2908" t="inlineStr">
        <is>
          <t>A 36507-2019</t>
        </is>
      </c>
      <c r="B2908" s="1" t="n">
        <v>43671</v>
      </c>
      <c r="C2908" s="1" t="n">
        <v>45212</v>
      </c>
      <c r="D2908" t="inlineStr">
        <is>
          <t>VÄSTRA GÖTALANDS LÄN</t>
        </is>
      </c>
      <c r="E2908" t="inlineStr">
        <is>
          <t>TIDAHOLM</t>
        </is>
      </c>
      <c r="F2908" t="inlineStr">
        <is>
          <t>Sveaskog</t>
        </is>
      </c>
      <c r="G2908" t="n">
        <v>9.5</v>
      </c>
      <c r="H2908" t="n">
        <v>0</v>
      </c>
      <c r="I2908" t="n">
        <v>0</v>
      </c>
      <c r="J2908" t="n">
        <v>0</v>
      </c>
      <c r="K2908" t="n">
        <v>0</v>
      </c>
      <c r="L2908" t="n">
        <v>0</v>
      </c>
      <c r="M2908" t="n">
        <v>0</v>
      </c>
      <c r="N2908" t="n">
        <v>0</v>
      </c>
      <c r="O2908" t="n">
        <v>0</v>
      </c>
      <c r="P2908" t="n">
        <v>0</v>
      </c>
      <c r="Q2908" t="n">
        <v>0</v>
      </c>
      <c r="R2908" s="2" t="inlineStr"/>
    </row>
    <row r="2909" ht="15" customHeight="1">
      <c r="A2909" t="inlineStr">
        <is>
          <t>A 36768-2019</t>
        </is>
      </c>
      <c r="B2909" s="1" t="n">
        <v>43672</v>
      </c>
      <c r="C2909" s="1" t="n">
        <v>45212</v>
      </c>
      <c r="D2909" t="inlineStr">
        <is>
          <t>VÄSTRA GÖTALANDS LÄN</t>
        </is>
      </c>
      <c r="E2909" t="inlineStr">
        <is>
          <t>MARIESTAD</t>
        </is>
      </c>
      <c r="F2909" t="inlineStr">
        <is>
          <t>Kommuner</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36762-2019</t>
        </is>
      </c>
      <c r="B2910" s="1" t="n">
        <v>43672</v>
      </c>
      <c r="C2910" s="1" t="n">
        <v>45212</v>
      </c>
      <c r="D2910" t="inlineStr">
        <is>
          <t>VÄSTRA GÖTALANDS LÄN</t>
        </is>
      </c>
      <c r="E2910" t="inlineStr">
        <is>
          <t>MARIESTAD</t>
        </is>
      </c>
      <c r="F2910" t="inlineStr">
        <is>
          <t>Kommuner</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36769-2019</t>
        </is>
      </c>
      <c r="B2911" s="1" t="n">
        <v>43672</v>
      </c>
      <c r="C2911" s="1" t="n">
        <v>45212</v>
      </c>
      <c r="D2911" t="inlineStr">
        <is>
          <t>VÄSTRA GÖTALANDS LÄN</t>
        </is>
      </c>
      <c r="E2911" t="inlineStr">
        <is>
          <t>MARIESTAD</t>
        </is>
      </c>
      <c r="F2911" t="inlineStr">
        <is>
          <t>Kommuner</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36790-2019</t>
        </is>
      </c>
      <c r="B2912" s="1" t="n">
        <v>43672</v>
      </c>
      <c r="C2912" s="1" t="n">
        <v>45212</v>
      </c>
      <c r="D2912" t="inlineStr">
        <is>
          <t>VÄSTRA GÖTALANDS LÄN</t>
        </is>
      </c>
      <c r="E2912" t="inlineStr">
        <is>
          <t>HERRLJUNGA</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36764-2019</t>
        </is>
      </c>
      <c r="B2913" s="1" t="n">
        <v>43672</v>
      </c>
      <c r="C2913" s="1" t="n">
        <v>45212</v>
      </c>
      <c r="D2913" t="inlineStr">
        <is>
          <t>VÄSTRA GÖTALANDS LÄN</t>
        </is>
      </c>
      <c r="E2913" t="inlineStr">
        <is>
          <t>MARIESTAD</t>
        </is>
      </c>
      <c r="F2913" t="inlineStr">
        <is>
          <t>Kommuner</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37061-2019</t>
        </is>
      </c>
      <c r="B2914" s="1" t="n">
        <v>43676</v>
      </c>
      <c r="C2914" s="1" t="n">
        <v>45212</v>
      </c>
      <c r="D2914" t="inlineStr">
        <is>
          <t>VÄSTRA GÖTALANDS LÄN</t>
        </is>
      </c>
      <c r="E2914" t="inlineStr">
        <is>
          <t>SVENLJUNGA</t>
        </is>
      </c>
      <c r="F2914" t="inlineStr">
        <is>
          <t>Sveaskog</t>
        </is>
      </c>
      <c r="G2914" t="n">
        <v>7.4</v>
      </c>
      <c r="H2914" t="n">
        <v>0</v>
      </c>
      <c r="I2914" t="n">
        <v>0</v>
      </c>
      <c r="J2914" t="n">
        <v>0</v>
      </c>
      <c r="K2914" t="n">
        <v>0</v>
      </c>
      <c r="L2914" t="n">
        <v>0</v>
      </c>
      <c r="M2914" t="n">
        <v>0</v>
      </c>
      <c r="N2914" t="n">
        <v>0</v>
      </c>
      <c r="O2914" t="n">
        <v>0</v>
      </c>
      <c r="P2914" t="n">
        <v>0</v>
      </c>
      <c r="Q2914" t="n">
        <v>0</v>
      </c>
      <c r="R2914" s="2" t="inlineStr"/>
    </row>
    <row r="2915" ht="15" customHeight="1">
      <c r="A2915" t="inlineStr">
        <is>
          <t>A 37067-2019</t>
        </is>
      </c>
      <c r="B2915" s="1" t="n">
        <v>43676</v>
      </c>
      <c r="C2915" s="1" t="n">
        <v>45212</v>
      </c>
      <c r="D2915" t="inlineStr">
        <is>
          <t>VÄSTRA GÖTALANDS LÄN</t>
        </is>
      </c>
      <c r="E2915" t="inlineStr">
        <is>
          <t>SVENLJUNGA</t>
        </is>
      </c>
      <c r="F2915" t="inlineStr">
        <is>
          <t>Sveaskog</t>
        </is>
      </c>
      <c r="G2915" t="n">
        <v>10.4</v>
      </c>
      <c r="H2915" t="n">
        <v>0</v>
      </c>
      <c r="I2915" t="n">
        <v>0</v>
      </c>
      <c r="J2915" t="n">
        <v>0</v>
      </c>
      <c r="K2915" t="n">
        <v>0</v>
      </c>
      <c r="L2915" t="n">
        <v>0</v>
      </c>
      <c r="M2915" t="n">
        <v>0</v>
      </c>
      <c r="N2915" t="n">
        <v>0</v>
      </c>
      <c r="O2915" t="n">
        <v>0</v>
      </c>
      <c r="P2915" t="n">
        <v>0</v>
      </c>
      <c r="Q2915" t="n">
        <v>0</v>
      </c>
      <c r="R2915" s="2" t="inlineStr"/>
    </row>
    <row r="2916" ht="15" customHeight="1">
      <c r="A2916" t="inlineStr">
        <is>
          <t>A 37059-2019</t>
        </is>
      </c>
      <c r="B2916" s="1" t="n">
        <v>43676</v>
      </c>
      <c r="C2916" s="1" t="n">
        <v>45212</v>
      </c>
      <c r="D2916" t="inlineStr">
        <is>
          <t>VÄSTRA GÖTALANDS LÄN</t>
        </is>
      </c>
      <c r="E2916" t="inlineStr">
        <is>
          <t>SVENLJUNGA</t>
        </is>
      </c>
      <c r="F2916" t="inlineStr">
        <is>
          <t>Sveaskog</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37080-2019</t>
        </is>
      </c>
      <c r="B2917" s="1" t="n">
        <v>43676</v>
      </c>
      <c r="C2917" s="1" t="n">
        <v>45212</v>
      </c>
      <c r="D2917" t="inlineStr">
        <is>
          <t>VÄSTRA GÖTALANDS LÄN</t>
        </is>
      </c>
      <c r="E2917" t="inlineStr">
        <is>
          <t>MELLERUD</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37068-2019</t>
        </is>
      </c>
      <c r="B2918" s="1" t="n">
        <v>43676</v>
      </c>
      <c r="C2918" s="1" t="n">
        <v>45212</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37029-2019</t>
        </is>
      </c>
      <c r="B2919" s="1" t="n">
        <v>43676</v>
      </c>
      <c r="C2919" s="1" t="n">
        <v>45212</v>
      </c>
      <c r="D2919" t="inlineStr">
        <is>
          <t>VÄSTRA GÖTALANDS LÄN</t>
        </is>
      </c>
      <c r="E2919" t="inlineStr">
        <is>
          <t>ESSUNGA</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37057-2019</t>
        </is>
      </c>
      <c r="B2920" s="1" t="n">
        <v>43676</v>
      </c>
      <c r="C2920" s="1" t="n">
        <v>45212</v>
      </c>
      <c r="D2920" t="inlineStr">
        <is>
          <t>VÄSTRA GÖTALANDS LÄN</t>
        </is>
      </c>
      <c r="E2920" t="inlineStr">
        <is>
          <t>BORÅS</t>
        </is>
      </c>
      <c r="G2920" t="n">
        <v>1</v>
      </c>
      <c r="H2920" t="n">
        <v>0</v>
      </c>
      <c r="I2920" t="n">
        <v>0</v>
      </c>
      <c r="J2920" t="n">
        <v>0</v>
      </c>
      <c r="K2920" t="n">
        <v>0</v>
      </c>
      <c r="L2920" t="n">
        <v>0</v>
      </c>
      <c r="M2920" t="n">
        <v>0</v>
      </c>
      <c r="N2920" t="n">
        <v>0</v>
      </c>
      <c r="O2920" t="n">
        <v>0</v>
      </c>
      <c r="P2920" t="n">
        <v>0</v>
      </c>
      <c r="Q2920" t="n">
        <v>0</v>
      </c>
      <c r="R2920" s="2" t="inlineStr"/>
    </row>
    <row r="2921" ht="15" customHeight="1">
      <c r="A2921" t="inlineStr">
        <is>
          <t>A 37150-2019</t>
        </is>
      </c>
      <c r="B2921" s="1" t="n">
        <v>43677</v>
      </c>
      <c r="C2921" s="1" t="n">
        <v>45212</v>
      </c>
      <c r="D2921" t="inlineStr">
        <is>
          <t>VÄSTRA GÖTALANDS LÄN</t>
        </is>
      </c>
      <c r="E2921" t="inlineStr">
        <is>
          <t>SVENLJUNGA</t>
        </is>
      </c>
      <c r="F2921" t="inlineStr">
        <is>
          <t>Sveaskog</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37217-2019</t>
        </is>
      </c>
      <c r="B2922" s="1" t="n">
        <v>43677</v>
      </c>
      <c r="C2922" s="1" t="n">
        <v>45212</v>
      </c>
      <c r="D2922" t="inlineStr">
        <is>
          <t>VÄSTRA GÖTALANDS LÄN</t>
        </is>
      </c>
      <c r="E2922" t="inlineStr">
        <is>
          <t>MARIESTAD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37242-2019</t>
        </is>
      </c>
      <c r="B2923" s="1" t="n">
        <v>43677</v>
      </c>
      <c r="C2923" s="1" t="n">
        <v>45212</v>
      </c>
      <c r="D2923" t="inlineStr">
        <is>
          <t>VÄSTRA GÖTALANDS LÄN</t>
        </is>
      </c>
      <c r="E2923" t="inlineStr">
        <is>
          <t>MARIESTAD</t>
        </is>
      </c>
      <c r="F2923" t="inlineStr">
        <is>
          <t>Sveaskog</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37275-2019</t>
        </is>
      </c>
      <c r="B2924" s="1" t="n">
        <v>43677</v>
      </c>
      <c r="C2924" s="1" t="n">
        <v>45212</v>
      </c>
      <c r="D2924" t="inlineStr">
        <is>
          <t>VÄSTRA GÖTALANDS LÄN</t>
        </is>
      </c>
      <c r="E2924" t="inlineStr">
        <is>
          <t>TIBRO</t>
        </is>
      </c>
      <c r="G2924" t="n">
        <v>2.6</v>
      </c>
      <c r="H2924" t="n">
        <v>0</v>
      </c>
      <c r="I2924" t="n">
        <v>0</v>
      </c>
      <c r="J2924" t="n">
        <v>0</v>
      </c>
      <c r="K2924" t="n">
        <v>0</v>
      </c>
      <c r="L2924" t="n">
        <v>0</v>
      </c>
      <c r="M2924" t="n">
        <v>0</v>
      </c>
      <c r="N2924" t="n">
        <v>0</v>
      </c>
      <c r="O2924" t="n">
        <v>0</v>
      </c>
      <c r="P2924" t="n">
        <v>0</v>
      </c>
      <c r="Q2924" t="n">
        <v>0</v>
      </c>
      <c r="R2924" s="2" t="inlineStr"/>
    </row>
    <row r="2925" ht="15" customHeight="1">
      <c r="A2925" t="inlineStr">
        <is>
          <t>A 37238-2019</t>
        </is>
      </c>
      <c r="B2925" s="1" t="n">
        <v>43677</v>
      </c>
      <c r="C2925" s="1" t="n">
        <v>45212</v>
      </c>
      <c r="D2925" t="inlineStr">
        <is>
          <t>VÄSTRA GÖTALANDS LÄN</t>
        </is>
      </c>
      <c r="E2925" t="inlineStr">
        <is>
          <t>MARIESTAD</t>
        </is>
      </c>
      <c r="F2925" t="inlineStr">
        <is>
          <t>Sveaskog</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37552-2019</t>
        </is>
      </c>
      <c r="B2926" s="1" t="n">
        <v>43678</v>
      </c>
      <c r="C2926" s="1" t="n">
        <v>45212</v>
      </c>
      <c r="D2926" t="inlineStr">
        <is>
          <t>VÄSTRA GÖTALANDS LÄN</t>
        </is>
      </c>
      <c r="E2926" t="inlineStr">
        <is>
          <t>BORÅS</t>
        </is>
      </c>
      <c r="F2926" t="inlineStr">
        <is>
          <t>Kommuner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37336-2019</t>
        </is>
      </c>
      <c r="B2927" s="1" t="n">
        <v>43678</v>
      </c>
      <c r="C2927" s="1" t="n">
        <v>45212</v>
      </c>
      <c r="D2927" t="inlineStr">
        <is>
          <t>VÄSTRA GÖTALANDS LÄN</t>
        </is>
      </c>
      <c r="E2927" t="inlineStr">
        <is>
          <t>MARIESTAD</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37361-2019</t>
        </is>
      </c>
      <c r="B2928" s="1" t="n">
        <v>43678</v>
      </c>
      <c r="C2928" s="1" t="n">
        <v>45212</v>
      </c>
      <c r="D2928" t="inlineStr">
        <is>
          <t>VÄSTRA GÖTALANDS LÄN</t>
        </is>
      </c>
      <c r="E2928" t="inlineStr">
        <is>
          <t>ALINGSÅS</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37614-2019</t>
        </is>
      </c>
      <c r="B2929" s="1" t="n">
        <v>43678</v>
      </c>
      <c r="C2929" s="1" t="n">
        <v>45212</v>
      </c>
      <c r="D2929" t="inlineStr">
        <is>
          <t>VÄSTRA GÖTALANDS LÄN</t>
        </is>
      </c>
      <c r="E2929" t="inlineStr">
        <is>
          <t>MARK</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37550-2019</t>
        </is>
      </c>
      <c r="B2930" s="1" t="n">
        <v>43679</v>
      </c>
      <c r="C2930" s="1" t="n">
        <v>45212</v>
      </c>
      <c r="D2930" t="inlineStr">
        <is>
          <t>VÄSTRA GÖTALANDS LÄN</t>
        </is>
      </c>
      <c r="E2930" t="inlineStr">
        <is>
          <t>MARK</t>
        </is>
      </c>
      <c r="F2930" t="inlineStr">
        <is>
          <t>Kyrkan</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37502-2019</t>
        </is>
      </c>
      <c r="B2931" s="1" t="n">
        <v>43679</v>
      </c>
      <c r="C2931" s="1" t="n">
        <v>45212</v>
      </c>
      <c r="D2931" t="inlineStr">
        <is>
          <t>VÄSTRA GÖTALANDS LÄN</t>
        </is>
      </c>
      <c r="E2931" t="inlineStr">
        <is>
          <t>FÄRGELANDA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37611-2019</t>
        </is>
      </c>
      <c r="B2932" s="1" t="n">
        <v>43681</v>
      </c>
      <c r="C2932" s="1" t="n">
        <v>45212</v>
      </c>
      <c r="D2932" t="inlineStr">
        <is>
          <t>VÄSTRA GÖTALANDS LÄN</t>
        </is>
      </c>
      <c r="E2932" t="inlineStr">
        <is>
          <t>VÅRGÅRDA</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37858-2019</t>
        </is>
      </c>
      <c r="B2933" s="1" t="n">
        <v>43682</v>
      </c>
      <c r="C2933" s="1" t="n">
        <v>45212</v>
      </c>
      <c r="D2933" t="inlineStr">
        <is>
          <t>VÄSTRA GÖTALANDS LÄN</t>
        </is>
      </c>
      <c r="E2933" t="inlineStr">
        <is>
          <t>MARK</t>
        </is>
      </c>
      <c r="F2933" t="inlineStr">
        <is>
          <t>Kyrkan</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37861-2019</t>
        </is>
      </c>
      <c r="B2934" s="1" t="n">
        <v>43682</v>
      </c>
      <c r="C2934" s="1" t="n">
        <v>45212</v>
      </c>
      <c r="D2934" t="inlineStr">
        <is>
          <t>VÄSTRA GÖTALANDS LÄN</t>
        </is>
      </c>
      <c r="E2934" t="inlineStr">
        <is>
          <t>TIDAHOLM</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38090-2019</t>
        </is>
      </c>
      <c r="B2935" s="1" t="n">
        <v>43682</v>
      </c>
      <c r="C2935" s="1" t="n">
        <v>45212</v>
      </c>
      <c r="D2935" t="inlineStr">
        <is>
          <t>VÄSTRA GÖTALANDS LÄN</t>
        </is>
      </c>
      <c r="E2935" t="inlineStr">
        <is>
          <t>BORÅS</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37864-2019</t>
        </is>
      </c>
      <c r="B2936" s="1" t="n">
        <v>43682</v>
      </c>
      <c r="C2936" s="1" t="n">
        <v>45212</v>
      </c>
      <c r="D2936" t="inlineStr">
        <is>
          <t>VÄSTRA GÖTALANDS LÄN</t>
        </is>
      </c>
      <c r="E2936" t="inlineStr">
        <is>
          <t>TROLLHÄTTAN</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37674-2019</t>
        </is>
      </c>
      <c r="B2937" s="1" t="n">
        <v>43682</v>
      </c>
      <c r="C2937" s="1" t="n">
        <v>45212</v>
      </c>
      <c r="D2937" t="inlineStr">
        <is>
          <t>VÄSTRA GÖTALANDS LÄN</t>
        </is>
      </c>
      <c r="E2937" t="inlineStr">
        <is>
          <t>LIDKÖPING</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37941-2019</t>
        </is>
      </c>
      <c r="B2938" s="1" t="n">
        <v>43683</v>
      </c>
      <c r="C2938" s="1" t="n">
        <v>45212</v>
      </c>
      <c r="D2938" t="inlineStr">
        <is>
          <t>VÄSTRA GÖTALANDS LÄN</t>
        </is>
      </c>
      <c r="E2938" t="inlineStr">
        <is>
          <t>KARLSBORG</t>
        </is>
      </c>
      <c r="F2938" t="inlineStr">
        <is>
          <t>Sveaskog</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38408-2019</t>
        </is>
      </c>
      <c r="B2939" s="1" t="n">
        <v>43683</v>
      </c>
      <c r="C2939" s="1" t="n">
        <v>45212</v>
      </c>
      <c r="D2939" t="inlineStr">
        <is>
          <t>VÄSTRA GÖTALANDS LÄN</t>
        </is>
      </c>
      <c r="E2939" t="inlineStr">
        <is>
          <t>VARA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37917-2019</t>
        </is>
      </c>
      <c r="B2940" s="1" t="n">
        <v>43683</v>
      </c>
      <c r="C2940" s="1" t="n">
        <v>45212</v>
      </c>
      <c r="D2940" t="inlineStr">
        <is>
          <t>VÄSTRA GÖTALANDS LÄN</t>
        </is>
      </c>
      <c r="E2940" t="inlineStr">
        <is>
          <t>GÖTENE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38444-2019</t>
        </is>
      </c>
      <c r="B2941" s="1" t="n">
        <v>43683</v>
      </c>
      <c r="C2941" s="1" t="n">
        <v>45212</v>
      </c>
      <c r="D2941" t="inlineStr">
        <is>
          <t>VÄSTRA GÖTALANDS LÄN</t>
        </is>
      </c>
      <c r="E2941" t="inlineStr">
        <is>
          <t>LIDKÖPING</t>
        </is>
      </c>
      <c r="G2941" t="n">
        <v>6.8</v>
      </c>
      <c r="H2941" t="n">
        <v>0</v>
      </c>
      <c r="I2941" t="n">
        <v>0</v>
      </c>
      <c r="J2941" t="n">
        <v>0</v>
      </c>
      <c r="K2941" t="n">
        <v>0</v>
      </c>
      <c r="L2941" t="n">
        <v>0</v>
      </c>
      <c r="M2941" t="n">
        <v>0</v>
      </c>
      <c r="N2941" t="n">
        <v>0</v>
      </c>
      <c r="O2941" t="n">
        <v>0</v>
      </c>
      <c r="P2941" t="n">
        <v>0</v>
      </c>
      <c r="Q2941" t="n">
        <v>0</v>
      </c>
      <c r="R2941" s="2" t="inlineStr"/>
    </row>
    <row r="2942" ht="15" customHeight="1">
      <c r="A2942" t="inlineStr">
        <is>
          <t>A 37949-2019</t>
        </is>
      </c>
      <c r="B2942" s="1" t="n">
        <v>43683</v>
      </c>
      <c r="C2942" s="1" t="n">
        <v>45212</v>
      </c>
      <c r="D2942" t="inlineStr">
        <is>
          <t>VÄSTRA GÖTALANDS LÄN</t>
        </is>
      </c>
      <c r="E2942" t="inlineStr">
        <is>
          <t>KARLSBORG</t>
        </is>
      </c>
      <c r="F2942" t="inlineStr">
        <is>
          <t>Sveaskog</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37957-2019</t>
        </is>
      </c>
      <c r="B2943" s="1" t="n">
        <v>43683</v>
      </c>
      <c r="C2943" s="1" t="n">
        <v>45212</v>
      </c>
      <c r="D2943" t="inlineStr">
        <is>
          <t>VÄSTRA GÖTALANDS LÄN</t>
        </is>
      </c>
      <c r="E2943" t="inlineStr">
        <is>
          <t>BENGTSFORS</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37938-2019</t>
        </is>
      </c>
      <c r="B2944" s="1" t="n">
        <v>43683</v>
      </c>
      <c r="C2944" s="1" t="n">
        <v>45212</v>
      </c>
      <c r="D2944" t="inlineStr">
        <is>
          <t>VÄSTRA GÖTALANDS LÄN</t>
        </is>
      </c>
      <c r="E2944" t="inlineStr">
        <is>
          <t>HJO</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37964-2019</t>
        </is>
      </c>
      <c r="B2945" s="1" t="n">
        <v>43683</v>
      </c>
      <c r="C2945" s="1" t="n">
        <v>45212</v>
      </c>
      <c r="D2945" t="inlineStr">
        <is>
          <t>VÄSTRA GÖTALANDS LÄN</t>
        </is>
      </c>
      <c r="E2945" t="inlineStr">
        <is>
          <t>ÅMÅL</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38029-2019</t>
        </is>
      </c>
      <c r="B2946" s="1" t="n">
        <v>43683</v>
      </c>
      <c r="C2946" s="1" t="n">
        <v>45212</v>
      </c>
      <c r="D2946" t="inlineStr">
        <is>
          <t>VÄSTRA GÖTALANDS LÄN</t>
        </is>
      </c>
      <c r="E2946" t="inlineStr">
        <is>
          <t>VÅRGÅRDA</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38043-2019</t>
        </is>
      </c>
      <c r="B2947" s="1" t="n">
        <v>43683</v>
      </c>
      <c r="C2947" s="1" t="n">
        <v>45212</v>
      </c>
      <c r="D2947" t="inlineStr">
        <is>
          <t>VÄSTRA GÖTALANDS LÄN</t>
        </is>
      </c>
      <c r="E2947" t="inlineStr">
        <is>
          <t>VÅRGÅRDA</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38192-2019</t>
        </is>
      </c>
      <c r="B2948" s="1" t="n">
        <v>43684</v>
      </c>
      <c r="C2948" s="1" t="n">
        <v>45212</v>
      </c>
      <c r="D2948" t="inlineStr">
        <is>
          <t>VÄSTRA GÖTALANDS LÄN</t>
        </is>
      </c>
      <c r="E2948" t="inlineStr">
        <is>
          <t>ALINGSÅS</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38302-2019</t>
        </is>
      </c>
      <c r="B2949" s="1" t="n">
        <v>43684</v>
      </c>
      <c r="C2949" s="1" t="n">
        <v>45212</v>
      </c>
      <c r="D2949" t="inlineStr">
        <is>
          <t>VÄSTRA GÖTALANDS LÄN</t>
        </is>
      </c>
      <c r="E2949" t="inlineStr">
        <is>
          <t>FÄRGELANDA</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38195-2019</t>
        </is>
      </c>
      <c r="B2950" s="1" t="n">
        <v>43684</v>
      </c>
      <c r="C2950" s="1" t="n">
        <v>45212</v>
      </c>
      <c r="D2950" t="inlineStr">
        <is>
          <t>VÄSTRA GÖTALANDS LÄN</t>
        </is>
      </c>
      <c r="E2950" t="inlineStr">
        <is>
          <t>ALINGSÅS</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38292-2019</t>
        </is>
      </c>
      <c r="B2951" s="1" t="n">
        <v>43684</v>
      </c>
      <c r="C2951" s="1" t="n">
        <v>45212</v>
      </c>
      <c r="D2951" t="inlineStr">
        <is>
          <t>VÄSTRA GÖTALANDS LÄN</t>
        </is>
      </c>
      <c r="E2951" t="inlineStr">
        <is>
          <t>ULRICEHAMN</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38496-2019</t>
        </is>
      </c>
      <c r="B2952" s="1" t="n">
        <v>43685</v>
      </c>
      <c r="C2952" s="1" t="n">
        <v>45212</v>
      </c>
      <c r="D2952" t="inlineStr">
        <is>
          <t>VÄSTRA GÖTALANDS LÄN</t>
        </is>
      </c>
      <c r="E2952" t="inlineStr">
        <is>
          <t>KARLSBORG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38553-2019</t>
        </is>
      </c>
      <c r="B2953" s="1" t="n">
        <v>43685</v>
      </c>
      <c r="C2953" s="1" t="n">
        <v>45212</v>
      </c>
      <c r="D2953" t="inlineStr">
        <is>
          <t>VÄSTRA GÖTALANDS LÄN</t>
        </is>
      </c>
      <c r="E2953" t="inlineStr">
        <is>
          <t>FALKÖPING</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38502-2019</t>
        </is>
      </c>
      <c r="B2954" s="1" t="n">
        <v>43685</v>
      </c>
      <c r="C2954" s="1" t="n">
        <v>45212</v>
      </c>
      <c r="D2954" t="inlineStr">
        <is>
          <t>VÄSTRA GÖTALANDS LÄN</t>
        </is>
      </c>
      <c r="E2954" t="inlineStr">
        <is>
          <t>DALS-ED</t>
        </is>
      </c>
      <c r="G2954" t="n">
        <v>15.9</v>
      </c>
      <c r="H2954" t="n">
        <v>0</v>
      </c>
      <c r="I2954" t="n">
        <v>0</v>
      </c>
      <c r="J2954" t="n">
        <v>0</v>
      </c>
      <c r="K2954" t="n">
        <v>0</v>
      </c>
      <c r="L2954" t="n">
        <v>0</v>
      </c>
      <c r="M2954" t="n">
        <v>0</v>
      </c>
      <c r="N2954" t="n">
        <v>0</v>
      </c>
      <c r="O2954" t="n">
        <v>0</v>
      </c>
      <c r="P2954" t="n">
        <v>0</v>
      </c>
      <c r="Q2954" t="n">
        <v>0</v>
      </c>
      <c r="R2954" s="2" t="inlineStr"/>
    </row>
    <row r="2955" ht="15" customHeight="1">
      <c r="A2955" t="inlineStr">
        <is>
          <t>A 38501-2019</t>
        </is>
      </c>
      <c r="B2955" s="1" t="n">
        <v>43685</v>
      </c>
      <c r="C2955" s="1" t="n">
        <v>45212</v>
      </c>
      <c r="D2955" t="inlineStr">
        <is>
          <t>VÄSTRA GÖTALANDS LÄN</t>
        </is>
      </c>
      <c r="E2955" t="inlineStr">
        <is>
          <t>KARLSBORG</t>
        </is>
      </c>
      <c r="G2955" t="n">
        <v>7</v>
      </c>
      <c r="H2955" t="n">
        <v>0</v>
      </c>
      <c r="I2955" t="n">
        <v>0</v>
      </c>
      <c r="J2955" t="n">
        <v>0</v>
      </c>
      <c r="K2955" t="n">
        <v>0</v>
      </c>
      <c r="L2955" t="n">
        <v>0</v>
      </c>
      <c r="M2955" t="n">
        <v>0</v>
      </c>
      <c r="N2955" t="n">
        <v>0</v>
      </c>
      <c r="O2955" t="n">
        <v>0</v>
      </c>
      <c r="P2955" t="n">
        <v>0</v>
      </c>
      <c r="Q2955" t="n">
        <v>0</v>
      </c>
      <c r="R2955" s="2" t="inlineStr"/>
    </row>
    <row r="2956" ht="15" customHeight="1">
      <c r="A2956" t="inlineStr">
        <is>
          <t>A 38512-2019</t>
        </is>
      </c>
      <c r="B2956" s="1" t="n">
        <v>43685</v>
      </c>
      <c r="C2956" s="1" t="n">
        <v>45212</v>
      </c>
      <c r="D2956" t="inlineStr">
        <is>
          <t>VÄSTRA GÖTALANDS LÄN</t>
        </is>
      </c>
      <c r="E2956" t="inlineStr">
        <is>
          <t>DALS-ED</t>
        </is>
      </c>
      <c r="G2956" t="n">
        <v>24.8</v>
      </c>
      <c r="H2956" t="n">
        <v>0</v>
      </c>
      <c r="I2956" t="n">
        <v>0</v>
      </c>
      <c r="J2956" t="n">
        <v>0</v>
      </c>
      <c r="K2956" t="n">
        <v>0</v>
      </c>
      <c r="L2956" t="n">
        <v>0</v>
      </c>
      <c r="M2956" t="n">
        <v>0</v>
      </c>
      <c r="N2956" t="n">
        <v>0</v>
      </c>
      <c r="O2956" t="n">
        <v>0</v>
      </c>
      <c r="P2956" t="n">
        <v>0</v>
      </c>
      <c r="Q2956" t="n">
        <v>0</v>
      </c>
      <c r="R2956" s="2" t="inlineStr"/>
    </row>
    <row r="2957" ht="15" customHeight="1">
      <c r="A2957" t="inlineStr">
        <is>
          <t>A 39195-2019</t>
        </is>
      </c>
      <c r="B2957" s="1" t="n">
        <v>43685</v>
      </c>
      <c r="C2957" s="1" t="n">
        <v>45212</v>
      </c>
      <c r="D2957" t="inlineStr">
        <is>
          <t>VÄSTRA GÖTALANDS LÄN</t>
        </is>
      </c>
      <c r="E2957" t="inlineStr">
        <is>
          <t>LIDKÖPING</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38503-2019</t>
        </is>
      </c>
      <c r="B2958" s="1" t="n">
        <v>43685</v>
      </c>
      <c r="C2958" s="1" t="n">
        <v>45212</v>
      </c>
      <c r="D2958" t="inlineStr">
        <is>
          <t>VÄSTRA GÖTALANDS LÄN</t>
        </is>
      </c>
      <c r="E2958" t="inlineStr">
        <is>
          <t>KARLSBORG</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38517-2019</t>
        </is>
      </c>
      <c r="B2959" s="1" t="n">
        <v>43685</v>
      </c>
      <c r="C2959" s="1" t="n">
        <v>45212</v>
      </c>
      <c r="D2959" t="inlineStr">
        <is>
          <t>VÄSTRA GÖTALANDS LÄN</t>
        </is>
      </c>
      <c r="E2959" t="inlineStr">
        <is>
          <t>SKARA</t>
        </is>
      </c>
      <c r="G2959" t="n">
        <v>8.699999999999999</v>
      </c>
      <c r="H2959" t="n">
        <v>0</v>
      </c>
      <c r="I2959" t="n">
        <v>0</v>
      </c>
      <c r="J2959" t="n">
        <v>0</v>
      </c>
      <c r="K2959" t="n">
        <v>0</v>
      </c>
      <c r="L2959" t="n">
        <v>0</v>
      </c>
      <c r="M2959" t="n">
        <v>0</v>
      </c>
      <c r="N2959" t="n">
        <v>0</v>
      </c>
      <c r="O2959" t="n">
        <v>0</v>
      </c>
      <c r="P2959" t="n">
        <v>0</v>
      </c>
      <c r="Q2959" t="n">
        <v>0</v>
      </c>
      <c r="R2959" s="2" t="inlineStr"/>
    </row>
    <row r="2960" ht="15" customHeight="1">
      <c r="A2960" t="inlineStr">
        <is>
          <t>A 38536-2019</t>
        </is>
      </c>
      <c r="B2960" s="1" t="n">
        <v>43685</v>
      </c>
      <c r="C2960" s="1" t="n">
        <v>45212</v>
      </c>
      <c r="D2960" t="inlineStr">
        <is>
          <t>VÄSTRA GÖTALANDS LÄN</t>
        </is>
      </c>
      <c r="E2960" t="inlineStr">
        <is>
          <t>KARLSBORG</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38552-2019</t>
        </is>
      </c>
      <c r="B2961" s="1" t="n">
        <v>43685</v>
      </c>
      <c r="C2961" s="1" t="n">
        <v>45212</v>
      </c>
      <c r="D2961" t="inlineStr">
        <is>
          <t>VÄSTRA GÖTALANDS LÄN</t>
        </is>
      </c>
      <c r="E2961" t="inlineStr">
        <is>
          <t>FALKÖPING</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38754-2019</t>
        </is>
      </c>
      <c r="B2962" s="1" t="n">
        <v>43686</v>
      </c>
      <c r="C2962" s="1" t="n">
        <v>45212</v>
      </c>
      <c r="D2962" t="inlineStr">
        <is>
          <t>VÄSTRA GÖTALANDS LÄN</t>
        </is>
      </c>
      <c r="E2962" t="inlineStr">
        <is>
          <t>FÄRGELANDA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38705-2019</t>
        </is>
      </c>
      <c r="B2963" s="1" t="n">
        <v>43686</v>
      </c>
      <c r="C2963" s="1" t="n">
        <v>45212</v>
      </c>
      <c r="D2963" t="inlineStr">
        <is>
          <t>VÄSTRA GÖTALANDS LÄN</t>
        </is>
      </c>
      <c r="E2963" t="inlineStr">
        <is>
          <t>SKÖVDE</t>
        </is>
      </c>
      <c r="F2963" t="inlineStr">
        <is>
          <t>Kommuner</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39623-2019</t>
        </is>
      </c>
      <c r="B2964" s="1" t="n">
        <v>43686</v>
      </c>
      <c r="C2964" s="1" t="n">
        <v>45212</v>
      </c>
      <c r="D2964" t="inlineStr">
        <is>
          <t>VÄSTRA GÖTALANDS LÄN</t>
        </is>
      </c>
      <c r="E2964" t="inlineStr">
        <is>
          <t>TIBRO</t>
        </is>
      </c>
      <c r="G2964" t="n">
        <v>4.1</v>
      </c>
      <c r="H2964" t="n">
        <v>0</v>
      </c>
      <c r="I2964" t="n">
        <v>0</v>
      </c>
      <c r="J2964" t="n">
        <v>0</v>
      </c>
      <c r="K2964" t="n">
        <v>0</v>
      </c>
      <c r="L2964" t="n">
        <v>0</v>
      </c>
      <c r="M2964" t="n">
        <v>0</v>
      </c>
      <c r="N2964" t="n">
        <v>0</v>
      </c>
      <c r="O2964" t="n">
        <v>0</v>
      </c>
      <c r="P2964" t="n">
        <v>0</v>
      </c>
      <c r="Q2964" t="n">
        <v>0</v>
      </c>
      <c r="R2964" s="2" t="inlineStr"/>
    </row>
    <row r="2965" ht="15" customHeight="1">
      <c r="A2965" t="inlineStr">
        <is>
          <t>A 38730-2019</t>
        </is>
      </c>
      <c r="B2965" s="1" t="n">
        <v>43686</v>
      </c>
      <c r="C2965" s="1" t="n">
        <v>45212</v>
      </c>
      <c r="D2965" t="inlineStr">
        <is>
          <t>VÄSTRA GÖTALANDS LÄN</t>
        </is>
      </c>
      <c r="E2965" t="inlineStr">
        <is>
          <t>ALINGSÅS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39660-2019</t>
        </is>
      </c>
      <c r="B2966" s="1" t="n">
        <v>43686</v>
      </c>
      <c r="C2966" s="1" t="n">
        <v>45212</v>
      </c>
      <c r="D2966" t="inlineStr">
        <is>
          <t>VÄSTRA GÖTALANDS LÄN</t>
        </is>
      </c>
      <c r="E2966" t="inlineStr">
        <is>
          <t>VARA</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38947-2019</t>
        </is>
      </c>
      <c r="B2967" s="1" t="n">
        <v>43689</v>
      </c>
      <c r="C2967" s="1" t="n">
        <v>45212</v>
      </c>
      <c r="D2967" t="inlineStr">
        <is>
          <t>VÄSTRA GÖTALANDS LÄN</t>
        </is>
      </c>
      <c r="E2967" t="inlineStr">
        <is>
          <t>VÄNERSBORG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38965-2019</t>
        </is>
      </c>
      <c r="B2968" s="1" t="n">
        <v>43689</v>
      </c>
      <c r="C2968" s="1" t="n">
        <v>45212</v>
      </c>
      <c r="D2968" t="inlineStr">
        <is>
          <t>VÄSTRA GÖTALANDS LÄN</t>
        </is>
      </c>
      <c r="E2968" t="inlineStr">
        <is>
          <t>SKÖVDE</t>
        </is>
      </c>
      <c r="F2968" t="inlineStr">
        <is>
          <t>Kommuner</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38999-2019</t>
        </is>
      </c>
      <c r="B2969" s="1" t="n">
        <v>43689</v>
      </c>
      <c r="C2969" s="1" t="n">
        <v>45212</v>
      </c>
      <c r="D2969" t="inlineStr">
        <is>
          <t>VÄSTRA GÖTALANDS LÄN</t>
        </is>
      </c>
      <c r="E2969" t="inlineStr">
        <is>
          <t>GÖTENE</t>
        </is>
      </c>
      <c r="F2969" t="inlineStr">
        <is>
          <t>Övriga Aktiebolag</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39688-2019</t>
        </is>
      </c>
      <c r="B2970" s="1" t="n">
        <v>43689</v>
      </c>
      <c r="C2970" s="1" t="n">
        <v>45212</v>
      </c>
      <c r="D2970" t="inlineStr">
        <is>
          <t>VÄSTRA GÖTALANDS LÄN</t>
        </is>
      </c>
      <c r="E2970" t="inlineStr">
        <is>
          <t>ULRICEHAMN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39041-2019</t>
        </is>
      </c>
      <c r="B2971" s="1" t="n">
        <v>43689</v>
      </c>
      <c r="C2971" s="1" t="n">
        <v>45212</v>
      </c>
      <c r="D2971" t="inlineStr">
        <is>
          <t>VÄSTRA GÖTALANDS LÄN</t>
        </is>
      </c>
      <c r="E2971" t="inlineStr">
        <is>
          <t>MARIESTAD</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39695-2019</t>
        </is>
      </c>
      <c r="B2972" s="1" t="n">
        <v>43689</v>
      </c>
      <c r="C2972" s="1" t="n">
        <v>45212</v>
      </c>
      <c r="D2972" t="inlineStr">
        <is>
          <t>VÄSTRA GÖTALANDS LÄN</t>
        </is>
      </c>
      <c r="E2972" t="inlineStr">
        <is>
          <t>ULRICEHAMN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39062-2019</t>
        </is>
      </c>
      <c r="B2973" s="1" t="n">
        <v>43689</v>
      </c>
      <c r="C2973" s="1" t="n">
        <v>45212</v>
      </c>
      <c r="D2973" t="inlineStr">
        <is>
          <t>VÄSTRA GÖTALANDS LÄN</t>
        </is>
      </c>
      <c r="E2973" t="inlineStr">
        <is>
          <t>DALS-ED</t>
        </is>
      </c>
      <c r="F2973" t="inlineStr">
        <is>
          <t>Övriga Aktiebolag</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39197-2019</t>
        </is>
      </c>
      <c r="B2974" s="1" t="n">
        <v>43690</v>
      </c>
      <c r="C2974" s="1" t="n">
        <v>45212</v>
      </c>
      <c r="D2974" t="inlineStr">
        <is>
          <t>VÄSTRA GÖTALANDS LÄN</t>
        </is>
      </c>
      <c r="E2974" t="inlineStr">
        <is>
          <t>ÅMÅL</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39240-2019</t>
        </is>
      </c>
      <c r="B2975" s="1" t="n">
        <v>43690</v>
      </c>
      <c r="C2975" s="1" t="n">
        <v>45212</v>
      </c>
      <c r="D2975" t="inlineStr">
        <is>
          <t>VÄSTRA GÖTALANDS LÄN</t>
        </is>
      </c>
      <c r="E2975" t="inlineStr">
        <is>
          <t>ÅMÅL</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39250-2019</t>
        </is>
      </c>
      <c r="B2976" s="1" t="n">
        <v>43690</v>
      </c>
      <c r="C2976" s="1" t="n">
        <v>45212</v>
      </c>
      <c r="D2976" t="inlineStr">
        <is>
          <t>VÄSTRA GÖTALANDS LÄN</t>
        </is>
      </c>
      <c r="E2976" t="inlineStr">
        <is>
          <t>LYSEKIL</t>
        </is>
      </c>
      <c r="G2976" t="n">
        <v>9.199999999999999</v>
      </c>
      <c r="H2976" t="n">
        <v>0</v>
      </c>
      <c r="I2976" t="n">
        <v>0</v>
      </c>
      <c r="J2976" t="n">
        <v>0</v>
      </c>
      <c r="K2976" t="n">
        <v>0</v>
      </c>
      <c r="L2976" t="n">
        <v>0</v>
      </c>
      <c r="M2976" t="n">
        <v>0</v>
      </c>
      <c r="N2976" t="n">
        <v>0</v>
      </c>
      <c r="O2976" t="n">
        <v>0</v>
      </c>
      <c r="P2976" t="n">
        <v>0</v>
      </c>
      <c r="Q2976" t="n">
        <v>0</v>
      </c>
      <c r="R2976" s="2" t="inlineStr"/>
    </row>
    <row r="2977" ht="15" customHeight="1">
      <c r="A2977" t="inlineStr">
        <is>
          <t>A 39289-2019</t>
        </is>
      </c>
      <c r="B2977" s="1" t="n">
        <v>43690</v>
      </c>
      <c r="C2977" s="1" t="n">
        <v>45212</v>
      </c>
      <c r="D2977" t="inlineStr">
        <is>
          <t>VÄSTRA GÖTALANDS LÄN</t>
        </is>
      </c>
      <c r="E2977" t="inlineStr">
        <is>
          <t>BENGTSFORS</t>
        </is>
      </c>
      <c r="G2977" t="n">
        <v>8.9</v>
      </c>
      <c r="H2977" t="n">
        <v>0</v>
      </c>
      <c r="I2977" t="n">
        <v>0</v>
      </c>
      <c r="J2977" t="n">
        <v>0</v>
      </c>
      <c r="K2977" t="n">
        <v>0</v>
      </c>
      <c r="L2977" t="n">
        <v>0</v>
      </c>
      <c r="M2977" t="n">
        <v>0</v>
      </c>
      <c r="N2977" t="n">
        <v>0</v>
      </c>
      <c r="O2977" t="n">
        <v>0</v>
      </c>
      <c r="P2977" t="n">
        <v>0</v>
      </c>
      <c r="Q2977" t="n">
        <v>0</v>
      </c>
      <c r="R2977" s="2" t="inlineStr"/>
    </row>
    <row r="2978" ht="15" customHeight="1">
      <c r="A2978" t="inlineStr">
        <is>
          <t>A 39385-2019</t>
        </is>
      </c>
      <c r="B2978" s="1" t="n">
        <v>43690</v>
      </c>
      <c r="C2978" s="1" t="n">
        <v>45212</v>
      </c>
      <c r="D2978" t="inlineStr">
        <is>
          <t>VÄSTRA GÖTALANDS LÄN</t>
        </is>
      </c>
      <c r="E2978" t="inlineStr">
        <is>
          <t>ULRICEHAMN</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39252-2019</t>
        </is>
      </c>
      <c r="B2979" s="1" t="n">
        <v>43690</v>
      </c>
      <c r="C2979" s="1" t="n">
        <v>45212</v>
      </c>
      <c r="D2979" t="inlineStr">
        <is>
          <t>VÄSTRA GÖTALANDS LÄN</t>
        </is>
      </c>
      <c r="E2979" t="inlineStr">
        <is>
          <t>SKÖVDE</t>
        </is>
      </c>
      <c r="G2979" t="n">
        <v>2.8</v>
      </c>
      <c r="H2979" t="n">
        <v>0</v>
      </c>
      <c r="I2979" t="n">
        <v>0</v>
      </c>
      <c r="J2979" t="n">
        <v>0</v>
      </c>
      <c r="K2979" t="n">
        <v>0</v>
      </c>
      <c r="L2979" t="n">
        <v>0</v>
      </c>
      <c r="M2979" t="n">
        <v>0</v>
      </c>
      <c r="N2979" t="n">
        <v>0</v>
      </c>
      <c r="O2979" t="n">
        <v>0</v>
      </c>
      <c r="P2979" t="n">
        <v>0</v>
      </c>
      <c r="Q2979" t="n">
        <v>0</v>
      </c>
      <c r="R2979" s="2" t="inlineStr"/>
    </row>
    <row r="2980" ht="15" customHeight="1">
      <c r="A2980" t="inlineStr">
        <is>
          <t>A 39338-2019</t>
        </is>
      </c>
      <c r="B2980" s="1" t="n">
        <v>43690</v>
      </c>
      <c r="C2980" s="1" t="n">
        <v>45212</v>
      </c>
      <c r="D2980" t="inlineStr">
        <is>
          <t>VÄSTRA GÖTALANDS LÄN</t>
        </is>
      </c>
      <c r="E2980" t="inlineStr">
        <is>
          <t>BORÅS</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39363-2019</t>
        </is>
      </c>
      <c r="B2981" s="1" t="n">
        <v>43690</v>
      </c>
      <c r="C2981" s="1" t="n">
        <v>45212</v>
      </c>
      <c r="D2981" t="inlineStr">
        <is>
          <t>VÄSTRA GÖTALANDS LÄN</t>
        </is>
      </c>
      <c r="E2981" t="inlineStr">
        <is>
          <t>VARA</t>
        </is>
      </c>
      <c r="G2981" t="n">
        <v>6.6</v>
      </c>
      <c r="H2981" t="n">
        <v>0</v>
      </c>
      <c r="I2981" t="n">
        <v>0</v>
      </c>
      <c r="J2981" t="n">
        <v>0</v>
      </c>
      <c r="K2981" t="n">
        <v>0</v>
      </c>
      <c r="L2981" t="n">
        <v>0</v>
      </c>
      <c r="M2981" t="n">
        <v>0</v>
      </c>
      <c r="N2981" t="n">
        <v>0</v>
      </c>
      <c r="O2981" t="n">
        <v>0</v>
      </c>
      <c r="P2981" t="n">
        <v>0</v>
      </c>
      <c r="Q2981" t="n">
        <v>0</v>
      </c>
      <c r="R2981" s="2" t="inlineStr"/>
    </row>
    <row r="2982" ht="15" customHeight="1">
      <c r="A2982" t="inlineStr">
        <is>
          <t>A 39636-2019</t>
        </is>
      </c>
      <c r="B2982" s="1" t="n">
        <v>43691</v>
      </c>
      <c r="C2982" s="1" t="n">
        <v>45212</v>
      </c>
      <c r="D2982" t="inlineStr">
        <is>
          <t>VÄSTRA GÖTALANDS LÄN</t>
        </is>
      </c>
      <c r="E2982" t="inlineStr">
        <is>
          <t>GULLSPÅNG</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39626-2019</t>
        </is>
      </c>
      <c r="B2983" s="1" t="n">
        <v>43691</v>
      </c>
      <c r="C2983" s="1" t="n">
        <v>45212</v>
      </c>
      <c r="D2983" t="inlineStr">
        <is>
          <t>VÄSTRA GÖTALANDS LÄN</t>
        </is>
      </c>
      <c r="E2983" t="inlineStr">
        <is>
          <t>GULLSPÅNG</t>
        </is>
      </c>
      <c r="G2983" t="n">
        <v>8.6</v>
      </c>
      <c r="H2983" t="n">
        <v>0</v>
      </c>
      <c r="I2983" t="n">
        <v>0</v>
      </c>
      <c r="J2983" t="n">
        <v>0</v>
      </c>
      <c r="K2983" t="n">
        <v>0</v>
      </c>
      <c r="L2983" t="n">
        <v>0</v>
      </c>
      <c r="M2983" t="n">
        <v>0</v>
      </c>
      <c r="N2983" t="n">
        <v>0</v>
      </c>
      <c r="O2983" t="n">
        <v>0</v>
      </c>
      <c r="P2983" t="n">
        <v>0</v>
      </c>
      <c r="Q2983" t="n">
        <v>0</v>
      </c>
      <c r="R2983" s="2" t="inlineStr"/>
    </row>
    <row r="2984" ht="15" customHeight="1">
      <c r="A2984" t="inlineStr">
        <is>
          <t>A 39631-2019</t>
        </is>
      </c>
      <c r="B2984" s="1" t="n">
        <v>43691</v>
      </c>
      <c r="C2984" s="1" t="n">
        <v>45212</v>
      </c>
      <c r="D2984" t="inlineStr">
        <is>
          <t>VÄSTRA GÖTALANDS LÄN</t>
        </is>
      </c>
      <c r="E2984" t="inlineStr">
        <is>
          <t>GULLSPÅNG</t>
        </is>
      </c>
      <c r="G2984" t="n">
        <v>2.5</v>
      </c>
      <c r="H2984" t="n">
        <v>0</v>
      </c>
      <c r="I2984" t="n">
        <v>0</v>
      </c>
      <c r="J2984" t="n">
        <v>0</v>
      </c>
      <c r="K2984" t="n">
        <v>0</v>
      </c>
      <c r="L2984" t="n">
        <v>0</v>
      </c>
      <c r="M2984" t="n">
        <v>0</v>
      </c>
      <c r="N2984" t="n">
        <v>0</v>
      </c>
      <c r="O2984" t="n">
        <v>0</v>
      </c>
      <c r="P2984" t="n">
        <v>0</v>
      </c>
      <c r="Q2984" t="n">
        <v>0</v>
      </c>
      <c r="R2984" s="2" t="inlineStr"/>
    </row>
    <row r="2985" ht="15" customHeight="1">
      <c r="A2985" t="inlineStr">
        <is>
          <t>A 41124-2019</t>
        </is>
      </c>
      <c r="B2985" s="1" t="n">
        <v>43691</v>
      </c>
      <c r="C2985" s="1" t="n">
        <v>45212</v>
      </c>
      <c r="D2985" t="inlineStr">
        <is>
          <t>VÄSTRA GÖTALANDS LÄN</t>
        </is>
      </c>
      <c r="E2985" t="inlineStr">
        <is>
          <t>ESSUNGA</t>
        </is>
      </c>
      <c r="G2985" t="n">
        <v>2.9</v>
      </c>
      <c r="H2985" t="n">
        <v>0</v>
      </c>
      <c r="I2985" t="n">
        <v>0</v>
      </c>
      <c r="J2985" t="n">
        <v>0</v>
      </c>
      <c r="K2985" t="n">
        <v>0</v>
      </c>
      <c r="L2985" t="n">
        <v>0</v>
      </c>
      <c r="M2985" t="n">
        <v>0</v>
      </c>
      <c r="N2985" t="n">
        <v>0</v>
      </c>
      <c r="O2985" t="n">
        <v>0</v>
      </c>
      <c r="P2985" t="n">
        <v>0</v>
      </c>
      <c r="Q2985" t="n">
        <v>0</v>
      </c>
      <c r="R2985" s="2" t="inlineStr"/>
    </row>
    <row r="2986" ht="15" customHeight="1">
      <c r="A2986" t="inlineStr">
        <is>
          <t>A 39534-2019</t>
        </is>
      </c>
      <c r="B2986" s="1" t="n">
        <v>43691</v>
      </c>
      <c r="C2986" s="1" t="n">
        <v>45212</v>
      </c>
      <c r="D2986" t="inlineStr">
        <is>
          <t>VÄSTRA GÖTALANDS LÄN</t>
        </is>
      </c>
      <c r="E2986" t="inlineStr">
        <is>
          <t>VARA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39586-2019</t>
        </is>
      </c>
      <c r="B2987" s="1" t="n">
        <v>43691</v>
      </c>
      <c r="C2987" s="1" t="n">
        <v>45212</v>
      </c>
      <c r="D2987" t="inlineStr">
        <is>
          <t>VÄSTRA GÖTALANDS LÄN</t>
        </is>
      </c>
      <c r="E2987" t="inlineStr">
        <is>
          <t>MARK</t>
        </is>
      </c>
      <c r="G2987" t="n">
        <v>5.7</v>
      </c>
      <c r="H2987" t="n">
        <v>0</v>
      </c>
      <c r="I2987" t="n">
        <v>0</v>
      </c>
      <c r="J2987" t="n">
        <v>0</v>
      </c>
      <c r="K2987" t="n">
        <v>0</v>
      </c>
      <c r="L2987" t="n">
        <v>0</v>
      </c>
      <c r="M2987" t="n">
        <v>0</v>
      </c>
      <c r="N2987" t="n">
        <v>0</v>
      </c>
      <c r="O2987" t="n">
        <v>0</v>
      </c>
      <c r="P2987" t="n">
        <v>0</v>
      </c>
      <c r="Q2987" t="n">
        <v>0</v>
      </c>
      <c r="R2987" s="2" t="inlineStr"/>
    </row>
    <row r="2988" ht="15" customHeight="1">
      <c r="A2988" t="inlineStr">
        <is>
          <t>A 39542-2019</t>
        </is>
      </c>
      <c r="B2988" s="1" t="n">
        <v>43691</v>
      </c>
      <c r="C2988" s="1" t="n">
        <v>45212</v>
      </c>
      <c r="D2988" t="inlineStr">
        <is>
          <t>VÄSTRA GÖTALANDS LÄN</t>
        </is>
      </c>
      <c r="E2988" t="inlineStr">
        <is>
          <t>LILLA EDET</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39608-2019</t>
        </is>
      </c>
      <c r="B2989" s="1" t="n">
        <v>43691</v>
      </c>
      <c r="C2989" s="1" t="n">
        <v>45212</v>
      </c>
      <c r="D2989" t="inlineStr">
        <is>
          <t>VÄSTRA GÖTALANDS LÄN</t>
        </is>
      </c>
      <c r="E2989" t="inlineStr">
        <is>
          <t>FÄRGELANDA</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39620-2019</t>
        </is>
      </c>
      <c r="B2990" s="1" t="n">
        <v>43691</v>
      </c>
      <c r="C2990" s="1" t="n">
        <v>45212</v>
      </c>
      <c r="D2990" t="inlineStr">
        <is>
          <t>VÄSTRA GÖTALANDS LÄN</t>
        </is>
      </c>
      <c r="E2990" t="inlineStr">
        <is>
          <t>GULLSPÅNG</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39639-2019</t>
        </is>
      </c>
      <c r="B2991" s="1" t="n">
        <v>43691</v>
      </c>
      <c r="C2991" s="1" t="n">
        <v>45212</v>
      </c>
      <c r="D2991" t="inlineStr">
        <is>
          <t>VÄSTRA GÖTALANDS LÄN</t>
        </is>
      </c>
      <c r="E2991" t="inlineStr">
        <is>
          <t>GULLSPÅNG</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39644-2019</t>
        </is>
      </c>
      <c r="B2992" s="1" t="n">
        <v>43691</v>
      </c>
      <c r="C2992" s="1" t="n">
        <v>45212</v>
      </c>
      <c r="D2992" t="inlineStr">
        <is>
          <t>VÄSTRA GÖTALANDS LÄN</t>
        </is>
      </c>
      <c r="E2992" t="inlineStr">
        <is>
          <t>BENGTSFORS</t>
        </is>
      </c>
      <c r="G2992" t="n">
        <v>3.1</v>
      </c>
      <c r="H2992" t="n">
        <v>0</v>
      </c>
      <c r="I2992" t="n">
        <v>0</v>
      </c>
      <c r="J2992" t="n">
        <v>0</v>
      </c>
      <c r="K2992" t="n">
        <v>0</v>
      </c>
      <c r="L2992" t="n">
        <v>0</v>
      </c>
      <c r="M2992" t="n">
        <v>0</v>
      </c>
      <c r="N2992" t="n">
        <v>0</v>
      </c>
      <c r="O2992" t="n">
        <v>0</v>
      </c>
      <c r="P2992" t="n">
        <v>0</v>
      </c>
      <c r="Q2992" t="n">
        <v>0</v>
      </c>
      <c r="R2992" s="2" t="inlineStr"/>
    </row>
    <row r="2993" ht="15" customHeight="1">
      <c r="A2993" t="inlineStr">
        <is>
          <t>A 39934-2019</t>
        </is>
      </c>
      <c r="B2993" s="1" t="n">
        <v>43692</v>
      </c>
      <c r="C2993" s="1" t="n">
        <v>45212</v>
      </c>
      <c r="D2993" t="inlineStr">
        <is>
          <t>VÄSTRA GÖTALANDS LÄN</t>
        </is>
      </c>
      <c r="E2993" t="inlineStr">
        <is>
          <t>ULRICEHAMN</t>
        </is>
      </c>
      <c r="F2993" t="inlineStr">
        <is>
          <t>Sveaskog</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39975-2019</t>
        </is>
      </c>
      <c r="B2994" s="1" t="n">
        <v>43692</v>
      </c>
      <c r="C2994" s="1" t="n">
        <v>45212</v>
      </c>
      <c r="D2994" t="inlineStr">
        <is>
          <t>VÄSTRA GÖTALANDS LÄN</t>
        </is>
      </c>
      <c r="E2994" t="inlineStr">
        <is>
          <t>KARLSBORG</t>
        </is>
      </c>
      <c r="F2994" t="inlineStr">
        <is>
          <t>Sveaskog</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40048-2019</t>
        </is>
      </c>
      <c r="B2995" s="1" t="n">
        <v>43693</v>
      </c>
      <c r="C2995" s="1" t="n">
        <v>45212</v>
      </c>
      <c r="D2995" t="inlineStr">
        <is>
          <t>VÄSTRA GÖTALANDS LÄN</t>
        </is>
      </c>
      <c r="E2995" t="inlineStr">
        <is>
          <t>BENGTSFORS</t>
        </is>
      </c>
      <c r="G2995" t="n">
        <v>15.6</v>
      </c>
      <c r="H2995" t="n">
        <v>0</v>
      </c>
      <c r="I2995" t="n">
        <v>0</v>
      </c>
      <c r="J2995" t="n">
        <v>0</v>
      </c>
      <c r="K2995" t="n">
        <v>0</v>
      </c>
      <c r="L2995" t="n">
        <v>0</v>
      </c>
      <c r="M2995" t="n">
        <v>0</v>
      </c>
      <c r="N2995" t="n">
        <v>0</v>
      </c>
      <c r="O2995" t="n">
        <v>0</v>
      </c>
      <c r="P2995" t="n">
        <v>0</v>
      </c>
      <c r="Q2995" t="n">
        <v>0</v>
      </c>
      <c r="R2995" s="2" t="inlineStr"/>
    </row>
    <row r="2996" ht="15" customHeight="1">
      <c r="A2996" t="inlineStr">
        <is>
          <t>A 40110-2019</t>
        </is>
      </c>
      <c r="B2996" s="1" t="n">
        <v>43693</v>
      </c>
      <c r="C2996" s="1" t="n">
        <v>45212</v>
      </c>
      <c r="D2996" t="inlineStr">
        <is>
          <t>VÄSTRA GÖTALANDS LÄN</t>
        </is>
      </c>
      <c r="E2996" t="inlineStr">
        <is>
          <t>BOLLEBYGD</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40145-2019</t>
        </is>
      </c>
      <c r="B2997" s="1" t="n">
        <v>43693</v>
      </c>
      <c r="C2997" s="1" t="n">
        <v>45212</v>
      </c>
      <c r="D2997" t="inlineStr">
        <is>
          <t>VÄSTRA GÖTALANDS LÄN</t>
        </is>
      </c>
      <c r="E2997" t="inlineStr">
        <is>
          <t>GULLSPÅNG</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40224-2019</t>
        </is>
      </c>
      <c r="B2998" s="1" t="n">
        <v>43693</v>
      </c>
      <c r="C2998" s="1" t="n">
        <v>45212</v>
      </c>
      <c r="D2998" t="inlineStr">
        <is>
          <t>VÄSTRA GÖTALANDS LÄN</t>
        </is>
      </c>
      <c r="E2998" t="inlineStr">
        <is>
          <t>TIDAHOLM</t>
        </is>
      </c>
      <c r="G2998" t="n">
        <v>3.2</v>
      </c>
      <c r="H2998" t="n">
        <v>0</v>
      </c>
      <c r="I2998" t="n">
        <v>0</v>
      </c>
      <c r="J2998" t="n">
        <v>0</v>
      </c>
      <c r="K2998" t="n">
        <v>0</v>
      </c>
      <c r="L2998" t="n">
        <v>0</v>
      </c>
      <c r="M2998" t="n">
        <v>0</v>
      </c>
      <c r="N2998" t="n">
        <v>0</v>
      </c>
      <c r="O2998" t="n">
        <v>0</v>
      </c>
      <c r="P2998" t="n">
        <v>0</v>
      </c>
      <c r="Q2998" t="n">
        <v>0</v>
      </c>
      <c r="R2998" s="2" t="inlineStr"/>
    </row>
    <row r="2999" ht="15" customHeight="1">
      <c r="A2999" t="inlineStr">
        <is>
          <t>A 40043-2019</t>
        </is>
      </c>
      <c r="B2999" s="1" t="n">
        <v>43693</v>
      </c>
      <c r="C2999" s="1" t="n">
        <v>45212</v>
      </c>
      <c r="D2999" t="inlineStr">
        <is>
          <t>VÄSTRA GÖTALANDS LÄN</t>
        </is>
      </c>
      <c r="E2999" t="inlineStr">
        <is>
          <t>BENGTSFORS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40168-2019</t>
        </is>
      </c>
      <c r="B3000" s="1" t="n">
        <v>43693</v>
      </c>
      <c r="C3000" s="1" t="n">
        <v>45212</v>
      </c>
      <c r="D3000" t="inlineStr">
        <is>
          <t>VÄSTRA GÖTALANDS LÄN</t>
        </is>
      </c>
      <c r="E3000" t="inlineStr">
        <is>
          <t>VÅRGÅRDA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40225-2019</t>
        </is>
      </c>
      <c r="B3001" s="1" t="n">
        <v>43693</v>
      </c>
      <c r="C3001" s="1" t="n">
        <v>45212</v>
      </c>
      <c r="D3001" t="inlineStr">
        <is>
          <t>VÄSTRA GÖTALANDS LÄN</t>
        </is>
      </c>
      <c r="E3001" t="inlineStr">
        <is>
          <t>TIDAHOLM</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40814-2019</t>
        </is>
      </c>
      <c r="B3002" s="1" t="n">
        <v>43693</v>
      </c>
      <c r="C3002" s="1" t="n">
        <v>45212</v>
      </c>
      <c r="D3002" t="inlineStr">
        <is>
          <t>VÄSTRA GÖTALANDS LÄN</t>
        </is>
      </c>
      <c r="E3002" t="inlineStr">
        <is>
          <t>GULLSPÅNG</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40106-2019</t>
        </is>
      </c>
      <c r="B3003" s="1" t="n">
        <v>43693</v>
      </c>
      <c r="C3003" s="1" t="n">
        <v>45212</v>
      </c>
      <c r="D3003" t="inlineStr">
        <is>
          <t>VÄSTRA GÖTALANDS LÄN</t>
        </is>
      </c>
      <c r="E3003" t="inlineStr">
        <is>
          <t>TROLLHÄTTAN</t>
        </is>
      </c>
      <c r="F3003" t="inlineStr">
        <is>
          <t>Kommuner</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40141-2019</t>
        </is>
      </c>
      <c r="B3004" s="1" t="n">
        <v>43693</v>
      </c>
      <c r="C3004" s="1" t="n">
        <v>45212</v>
      </c>
      <c r="D3004" t="inlineStr">
        <is>
          <t>VÄSTRA GÖTALANDS LÄN</t>
        </is>
      </c>
      <c r="E3004" t="inlineStr">
        <is>
          <t>GULLSPÅNG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40242-2019</t>
        </is>
      </c>
      <c r="B3005" s="1" t="n">
        <v>43694</v>
      </c>
      <c r="C3005" s="1" t="n">
        <v>45212</v>
      </c>
      <c r="D3005" t="inlineStr">
        <is>
          <t>VÄSTRA GÖTALANDS LÄN</t>
        </is>
      </c>
      <c r="E3005" t="inlineStr">
        <is>
          <t>BENGTSFORS</t>
        </is>
      </c>
      <c r="G3005" t="n">
        <v>8.199999999999999</v>
      </c>
      <c r="H3005" t="n">
        <v>0</v>
      </c>
      <c r="I3005" t="n">
        <v>0</v>
      </c>
      <c r="J3005" t="n">
        <v>0</v>
      </c>
      <c r="K3005" t="n">
        <v>0</v>
      </c>
      <c r="L3005" t="n">
        <v>0</v>
      </c>
      <c r="M3005" t="n">
        <v>0</v>
      </c>
      <c r="N3005" t="n">
        <v>0</v>
      </c>
      <c r="O3005" t="n">
        <v>0</v>
      </c>
      <c r="P3005" t="n">
        <v>0</v>
      </c>
      <c r="Q3005" t="n">
        <v>0</v>
      </c>
      <c r="R3005" s="2" t="inlineStr"/>
    </row>
    <row r="3006" ht="15" customHeight="1">
      <c r="A3006" t="inlineStr">
        <is>
          <t>A 40243-2019</t>
        </is>
      </c>
      <c r="B3006" s="1" t="n">
        <v>43694</v>
      </c>
      <c r="C3006" s="1" t="n">
        <v>45212</v>
      </c>
      <c r="D3006" t="inlineStr">
        <is>
          <t>VÄSTRA GÖTALANDS LÄN</t>
        </is>
      </c>
      <c r="E3006" t="inlineStr">
        <is>
          <t>BENGTSFORS</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40388-2019</t>
        </is>
      </c>
      <c r="B3007" s="1" t="n">
        <v>43696</v>
      </c>
      <c r="C3007" s="1" t="n">
        <v>45212</v>
      </c>
      <c r="D3007" t="inlineStr">
        <is>
          <t>VÄSTRA GÖTALANDS LÄN</t>
        </is>
      </c>
      <c r="E3007" t="inlineStr">
        <is>
          <t>ALINGSÅS</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40566-2019</t>
        </is>
      </c>
      <c r="B3008" s="1" t="n">
        <v>43696</v>
      </c>
      <c r="C3008" s="1" t="n">
        <v>45212</v>
      </c>
      <c r="D3008" t="inlineStr">
        <is>
          <t>VÄSTRA GÖTALANDS LÄN</t>
        </is>
      </c>
      <c r="E3008" t="inlineStr">
        <is>
          <t>LERUM</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40654-2019</t>
        </is>
      </c>
      <c r="B3009" s="1" t="n">
        <v>43696</v>
      </c>
      <c r="C3009" s="1" t="n">
        <v>45212</v>
      </c>
      <c r="D3009" t="inlineStr">
        <is>
          <t>VÄSTRA GÖTALANDS LÄN</t>
        </is>
      </c>
      <c r="E3009" t="inlineStr">
        <is>
          <t>BENGTSFORS</t>
        </is>
      </c>
      <c r="G3009" t="n">
        <v>3.2</v>
      </c>
      <c r="H3009" t="n">
        <v>0</v>
      </c>
      <c r="I3009" t="n">
        <v>0</v>
      </c>
      <c r="J3009" t="n">
        <v>0</v>
      </c>
      <c r="K3009" t="n">
        <v>0</v>
      </c>
      <c r="L3009" t="n">
        <v>0</v>
      </c>
      <c r="M3009" t="n">
        <v>0</v>
      </c>
      <c r="N3009" t="n">
        <v>0</v>
      </c>
      <c r="O3009" t="n">
        <v>0</v>
      </c>
      <c r="P3009" t="n">
        <v>0</v>
      </c>
      <c r="Q3009" t="n">
        <v>0</v>
      </c>
      <c r="R3009" s="2" t="inlineStr"/>
    </row>
    <row r="3010" ht="15" customHeight="1">
      <c r="A3010" t="inlineStr">
        <is>
          <t>A 40587-2019</t>
        </is>
      </c>
      <c r="B3010" s="1" t="n">
        <v>43696</v>
      </c>
      <c r="C3010" s="1" t="n">
        <v>45212</v>
      </c>
      <c r="D3010" t="inlineStr">
        <is>
          <t>VÄSTRA GÖTALANDS LÄN</t>
        </is>
      </c>
      <c r="E3010" t="inlineStr">
        <is>
          <t>TANUM</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40599-2019</t>
        </is>
      </c>
      <c r="B3011" s="1" t="n">
        <v>43696</v>
      </c>
      <c r="C3011" s="1" t="n">
        <v>45212</v>
      </c>
      <c r="D3011" t="inlineStr">
        <is>
          <t>VÄSTRA GÖTALANDS LÄN</t>
        </is>
      </c>
      <c r="E3011" t="inlineStr">
        <is>
          <t>MUNKEDAL</t>
        </is>
      </c>
      <c r="G3011" t="n">
        <v>13.1</v>
      </c>
      <c r="H3011" t="n">
        <v>0</v>
      </c>
      <c r="I3011" t="n">
        <v>0</v>
      </c>
      <c r="J3011" t="n">
        <v>0</v>
      </c>
      <c r="K3011" t="n">
        <v>0</v>
      </c>
      <c r="L3011" t="n">
        <v>0</v>
      </c>
      <c r="M3011" t="n">
        <v>0</v>
      </c>
      <c r="N3011" t="n">
        <v>0</v>
      </c>
      <c r="O3011" t="n">
        <v>0</v>
      </c>
      <c r="P3011" t="n">
        <v>0</v>
      </c>
      <c r="Q3011" t="n">
        <v>0</v>
      </c>
      <c r="R3011" s="2" t="inlineStr"/>
    </row>
    <row r="3012" ht="15" customHeight="1">
      <c r="A3012" t="inlineStr">
        <is>
          <t>A 40456-2019</t>
        </is>
      </c>
      <c r="B3012" s="1" t="n">
        <v>43696</v>
      </c>
      <c r="C3012" s="1" t="n">
        <v>45212</v>
      </c>
      <c r="D3012" t="inlineStr">
        <is>
          <t>VÄSTRA GÖTALANDS LÄN</t>
        </is>
      </c>
      <c r="E3012" t="inlineStr">
        <is>
          <t>BORÅS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40575-2019</t>
        </is>
      </c>
      <c r="B3013" s="1" t="n">
        <v>43696</v>
      </c>
      <c r="C3013" s="1" t="n">
        <v>45212</v>
      </c>
      <c r="D3013" t="inlineStr">
        <is>
          <t>VÄSTRA GÖTALANDS LÄN</t>
        </is>
      </c>
      <c r="E3013" t="inlineStr">
        <is>
          <t>LERUM</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41500-2019</t>
        </is>
      </c>
      <c r="B3014" s="1" t="n">
        <v>43696</v>
      </c>
      <c r="C3014" s="1" t="n">
        <v>45212</v>
      </c>
      <c r="D3014" t="inlineStr">
        <is>
          <t>VÄSTRA GÖTALANDS LÄN</t>
        </is>
      </c>
      <c r="E3014" t="inlineStr">
        <is>
          <t>VARA</t>
        </is>
      </c>
      <c r="G3014" t="n">
        <v>2.5</v>
      </c>
      <c r="H3014" t="n">
        <v>0</v>
      </c>
      <c r="I3014" t="n">
        <v>0</v>
      </c>
      <c r="J3014" t="n">
        <v>0</v>
      </c>
      <c r="K3014" t="n">
        <v>0</v>
      </c>
      <c r="L3014" t="n">
        <v>0</v>
      </c>
      <c r="M3014" t="n">
        <v>0</v>
      </c>
      <c r="N3014" t="n">
        <v>0</v>
      </c>
      <c r="O3014" t="n">
        <v>0</v>
      </c>
      <c r="P3014" t="n">
        <v>0</v>
      </c>
      <c r="Q3014" t="n">
        <v>0</v>
      </c>
      <c r="R3014" s="2" t="inlineStr"/>
    </row>
    <row r="3015" ht="15" customHeight="1">
      <c r="A3015" t="inlineStr">
        <is>
          <t>A 40602-2019</t>
        </is>
      </c>
      <c r="B3015" s="1" t="n">
        <v>43696</v>
      </c>
      <c r="C3015" s="1" t="n">
        <v>45212</v>
      </c>
      <c r="D3015" t="inlineStr">
        <is>
          <t>VÄSTRA GÖTALANDS LÄN</t>
        </is>
      </c>
      <c r="E3015" t="inlineStr">
        <is>
          <t>HERRLJUNGA</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41634-2019</t>
        </is>
      </c>
      <c r="B3016" s="1" t="n">
        <v>43696</v>
      </c>
      <c r="C3016" s="1" t="n">
        <v>45212</v>
      </c>
      <c r="D3016" t="inlineStr">
        <is>
          <t>VÄSTRA GÖTALANDS LÄN</t>
        </is>
      </c>
      <c r="E3016" t="inlineStr">
        <is>
          <t>UDDEVALLA</t>
        </is>
      </c>
      <c r="F3016" t="inlineStr">
        <is>
          <t>Kyrkan</t>
        </is>
      </c>
      <c r="G3016" t="n">
        <v>14.1</v>
      </c>
      <c r="H3016" t="n">
        <v>0</v>
      </c>
      <c r="I3016" t="n">
        <v>0</v>
      </c>
      <c r="J3016" t="n">
        <v>0</v>
      </c>
      <c r="K3016" t="n">
        <v>0</v>
      </c>
      <c r="L3016" t="n">
        <v>0</v>
      </c>
      <c r="M3016" t="n">
        <v>0</v>
      </c>
      <c r="N3016" t="n">
        <v>0</v>
      </c>
      <c r="O3016" t="n">
        <v>0</v>
      </c>
      <c r="P3016" t="n">
        <v>0</v>
      </c>
      <c r="Q3016" t="n">
        <v>0</v>
      </c>
      <c r="R3016" s="2" t="inlineStr"/>
    </row>
    <row r="3017" ht="15" customHeight="1">
      <c r="A3017" t="inlineStr">
        <is>
          <t>A 40754-2019</t>
        </is>
      </c>
      <c r="B3017" s="1" t="n">
        <v>43697</v>
      </c>
      <c r="C3017" s="1" t="n">
        <v>45212</v>
      </c>
      <c r="D3017" t="inlineStr">
        <is>
          <t>VÄSTRA GÖTALANDS LÄN</t>
        </is>
      </c>
      <c r="E3017" t="inlineStr">
        <is>
          <t>SKARA</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40852-2019</t>
        </is>
      </c>
      <c r="B3018" s="1" t="n">
        <v>43697</v>
      </c>
      <c r="C3018" s="1" t="n">
        <v>45212</v>
      </c>
      <c r="D3018" t="inlineStr">
        <is>
          <t>VÄSTRA GÖTALANDS LÄN</t>
        </is>
      </c>
      <c r="E3018" t="inlineStr">
        <is>
          <t>SKARA</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40951-2019</t>
        </is>
      </c>
      <c r="B3019" s="1" t="n">
        <v>43697</v>
      </c>
      <c r="C3019" s="1" t="n">
        <v>45212</v>
      </c>
      <c r="D3019" t="inlineStr">
        <is>
          <t>VÄSTRA GÖTALANDS LÄN</t>
        </is>
      </c>
      <c r="E3019" t="inlineStr">
        <is>
          <t>GRÄSTORP</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40971-2019</t>
        </is>
      </c>
      <c r="B3020" s="1" t="n">
        <v>43697</v>
      </c>
      <c r="C3020" s="1" t="n">
        <v>45212</v>
      </c>
      <c r="D3020" t="inlineStr">
        <is>
          <t>VÄSTRA GÖTALANDS LÄN</t>
        </is>
      </c>
      <c r="E3020" t="inlineStr">
        <is>
          <t>LYSEKIL</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40983-2019</t>
        </is>
      </c>
      <c r="B3021" s="1" t="n">
        <v>43697</v>
      </c>
      <c r="C3021" s="1" t="n">
        <v>45212</v>
      </c>
      <c r="D3021" t="inlineStr">
        <is>
          <t>VÄSTRA GÖTALANDS LÄN</t>
        </is>
      </c>
      <c r="E3021" t="inlineStr">
        <is>
          <t>LYSEKIL</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41000-2019</t>
        </is>
      </c>
      <c r="B3022" s="1" t="n">
        <v>43697</v>
      </c>
      <c r="C3022" s="1" t="n">
        <v>45212</v>
      </c>
      <c r="D3022" t="inlineStr">
        <is>
          <t>VÄSTRA GÖTALANDS LÄN</t>
        </is>
      </c>
      <c r="E3022" t="inlineStr">
        <is>
          <t>MELLERUD</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40783-2019</t>
        </is>
      </c>
      <c r="B3023" s="1" t="n">
        <v>43697</v>
      </c>
      <c r="C3023" s="1" t="n">
        <v>45212</v>
      </c>
      <c r="D3023" t="inlineStr">
        <is>
          <t>VÄSTRA GÖTALANDS LÄN</t>
        </is>
      </c>
      <c r="E3023" t="inlineStr">
        <is>
          <t>TÖREBODA</t>
        </is>
      </c>
      <c r="F3023" t="inlineStr">
        <is>
          <t>Sveaskog</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40885-2019</t>
        </is>
      </c>
      <c r="B3024" s="1" t="n">
        <v>43697</v>
      </c>
      <c r="C3024" s="1" t="n">
        <v>45212</v>
      </c>
      <c r="D3024" t="inlineStr">
        <is>
          <t>VÄSTRA GÖTALANDS LÄN</t>
        </is>
      </c>
      <c r="E3024" t="inlineStr">
        <is>
          <t>SVENLJUNGA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40957-2019</t>
        </is>
      </c>
      <c r="B3025" s="1" t="n">
        <v>43697</v>
      </c>
      <c r="C3025" s="1" t="n">
        <v>45212</v>
      </c>
      <c r="D3025" t="inlineStr">
        <is>
          <t>VÄSTRA GÖTALANDS LÄN</t>
        </is>
      </c>
      <c r="E3025" t="inlineStr">
        <is>
          <t>TRANEMO</t>
        </is>
      </c>
      <c r="F3025" t="inlineStr">
        <is>
          <t>Kyrkan</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40987-2019</t>
        </is>
      </c>
      <c r="B3026" s="1" t="n">
        <v>43697</v>
      </c>
      <c r="C3026" s="1" t="n">
        <v>45212</v>
      </c>
      <c r="D3026" t="inlineStr">
        <is>
          <t>VÄSTRA GÖTALANDS LÄN</t>
        </is>
      </c>
      <c r="E3026" t="inlineStr">
        <is>
          <t>UDDEVALLA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40939-2019</t>
        </is>
      </c>
      <c r="B3027" s="1" t="n">
        <v>43697</v>
      </c>
      <c r="C3027" s="1" t="n">
        <v>45212</v>
      </c>
      <c r="D3027" t="inlineStr">
        <is>
          <t>VÄSTRA GÖTALANDS LÄN</t>
        </is>
      </c>
      <c r="E3027" t="inlineStr">
        <is>
          <t>HERRLJUNGA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40972-2019</t>
        </is>
      </c>
      <c r="B3028" s="1" t="n">
        <v>43697</v>
      </c>
      <c r="C3028" s="1" t="n">
        <v>45212</v>
      </c>
      <c r="D3028" t="inlineStr">
        <is>
          <t>VÄSTRA GÖTALANDS LÄN</t>
        </is>
      </c>
      <c r="E3028" t="inlineStr">
        <is>
          <t>BENGTSFORS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41113-2019</t>
        </is>
      </c>
      <c r="B3029" s="1" t="n">
        <v>43698</v>
      </c>
      <c r="C3029" s="1" t="n">
        <v>45212</v>
      </c>
      <c r="D3029" t="inlineStr">
        <is>
          <t>VÄSTRA GÖTALANDS LÄN</t>
        </is>
      </c>
      <c r="E3029" t="inlineStr">
        <is>
          <t>ALINGSÅS</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41252-2019</t>
        </is>
      </c>
      <c r="B3030" s="1" t="n">
        <v>43698</v>
      </c>
      <c r="C3030" s="1" t="n">
        <v>45212</v>
      </c>
      <c r="D3030" t="inlineStr">
        <is>
          <t>VÄSTRA GÖTALANDS LÄN</t>
        </is>
      </c>
      <c r="E3030" t="inlineStr">
        <is>
          <t>BENGTSFORS</t>
        </is>
      </c>
      <c r="G3030" t="n">
        <v>6</v>
      </c>
      <c r="H3030" t="n">
        <v>0</v>
      </c>
      <c r="I3030" t="n">
        <v>0</v>
      </c>
      <c r="J3030" t="n">
        <v>0</v>
      </c>
      <c r="K3030" t="n">
        <v>0</v>
      </c>
      <c r="L3030" t="n">
        <v>0</v>
      </c>
      <c r="M3030" t="n">
        <v>0</v>
      </c>
      <c r="N3030" t="n">
        <v>0</v>
      </c>
      <c r="O3030" t="n">
        <v>0</v>
      </c>
      <c r="P3030" t="n">
        <v>0</v>
      </c>
      <c r="Q3030" t="n">
        <v>0</v>
      </c>
      <c r="R3030" s="2" t="inlineStr"/>
    </row>
    <row r="3031" ht="15" customHeight="1">
      <c r="A3031" t="inlineStr">
        <is>
          <t>A 42213-2019</t>
        </is>
      </c>
      <c r="B3031" s="1" t="n">
        <v>43698</v>
      </c>
      <c r="C3031" s="1" t="n">
        <v>45212</v>
      </c>
      <c r="D3031" t="inlineStr">
        <is>
          <t>VÄSTRA GÖTALANDS LÄN</t>
        </is>
      </c>
      <c r="E3031" t="inlineStr">
        <is>
          <t>DALS-ED</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57784-2019</t>
        </is>
      </c>
      <c r="B3032" s="1" t="n">
        <v>43698</v>
      </c>
      <c r="C3032" s="1" t="n">
        <v>45212</v>
      </c>
      <c r="D3032" t="inlineStr">
        <is>
          <t>VÄSTRA GÖTALANDS LÄN</t>
        </is>
      </c>
      <c r="E3032" t="inlineStr">
        <is>
          <t>HERRLJUNGA</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41186-2019</t>
        </is>
      </c>
      <c r="B3033" s="1" t="n">
        <v>43698</v>
      </c>
      <c r="C3033" s="1" t="n">
        <v>45212</v>
      </c>
      <c r="D3033" t="inlineStr">
        <is>
          <t>VÄSTRA GÖTALANDS LÄN</t>
        </is>
      </c>
      <c r="E3033" t="inlineStr">
        <is>
          <t>GÖTENE</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41257-2019</t>
        </is>
      </c>
      <c r="B3034" s="1" t="n">
        <v>43698</v>
      </c>
      <c r="C3034" s="1" t="n">
        <v>45212</v>
      </c>
      <c r="D3034" t="inlineStr">
        <is>
          <t>VÄSTRA GÖTALANDS LÄN</t>
        </is>
      </c>
      <c r="E3034" t="inlineStr">
        <is>
          <t>BENGTSFORS</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41394-2019</t>
        </is>
      </c>
      <c r="B3035" s="1" t="n">
        <v>43698</v>
      </c>
      <c r="C3035" s="1" t="n">
        <v>45212</v>
      </c>
      <c r="D3035" t="inlineStr">
        <is>
          <t>VÄSTRA GÖTALANDS LÄN</t>
        </is>
      </c>
      <c r="E3035" t="inlineStr">
        <is>
          <t>HERRLJUNGA</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41406-2019</t>
        </is>
      </c>
      <c r="B3036" s="1" t="n">
        <v>43698</v>
      </c>
      <c r="C3036" s="1" t="n">
        <v>45212</v>
      </c>
      <c r="D3036" t="inlineStr">
        <is>
          <t>VÄSTRA GÖTALANDS LÄN</t>
        </is>
      </c>
      <c r="E3036" t="inlineStr">
        <is>
          <t>TRANEMO</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41188-2019</t>
        </is>
      </c>
      <c r="B3037" s="1" t="n">
        <v>43698</v>
      </c>
      <c r="C3037" s="1" t="n">
        <v>45212</v>
      </c>
      <c r="D3037" t="inlineStr">
        <is>
          <t>VÄSTRA GÖTALANDS LÄN</t>
        </is>
      </c>
      <c r="E3037" t="inlineStr">
        <is>
          <t>TIBRO</t>
        </is>
      </c>
      <c r="G3037" t="n">
        <v>5.2</v>
      </c>
      <c r="H3037" t="n">
        <v>0</v>
      </c>
      <c r="I3037" t="n">
        <v>0</v>
      </c>
      <c r="J3037" t="n">
        <v>0</v>
      </c>
      <c r="K3037" t="n">
        <v>0</v>
      </c>
      <c r="L3037" t="n">
        <v>0</v>
      </c>
      <c r="M3037" t="n">
        <v>0</v>
      </c>
      <c r="N3037" t="n">
        <v>0</v>
      </c>
      <c r="O3037" t="n">
        <v>0</v>
      </c>
      <c r="P3037" t="n">
        <v>0</v>
      </c>
      <c r="Q3037" t="n">
        <v>0</v>
      </c>
      <c r="R3037" s="2" t="inlineStr"/>
    </row>
    <row r="3038" ht="15" customHeight="1">
      <c r="A3038" t="inlineStr">
        <is>
          <t>A 41255-2019</t>
        </is>
      </c>
      <c r="B3038" s="1" t="n">
        <v>43698</v>
      </c>
      <c r="C3038" s="1" t="n">
        <v>45212</v>
      </c>
      <c r="D3038" t="inlineStr">
        <is>
          <t>VÄSTRA GÖTALANDS LÄN</t>
        </is>
      </c>
      <c r="E3038" t="inlineStr">
        <is>
          <t>BENGTSFORS</t>
        </is>
      </c>
      <c r="G3038" t="n">
        <v>3.6</v>
      </c>
      <c r="H3038" t="n">
        <v>0</v>
      </c>
      <c r="I3038" t="n">
        <v>0</v>
      </c>
      <c r="J3038" t="n">
        <v>0</v>
      </c>
      <c r="K3038" t="n">
        <v>0</v>
      </c>
      <c r="L3038" t="n">
        <v>0</v>
      </c>
      <c r="M3038" t="n">
        <v>0</v>
      </c>
      <c r="N3038" t="n">
        <v>0</v>
      </c>
      <c r="O3038" t="n">
        <v>0</v>
      </c>
      <c r="P3038" t="n">
        <v>0</v>
      </c>
      <c r="Q3038" t="n">
        <v>0</v>
      </c>
      <c r="R3038" s="2" t="inlineStr"/>
    </row>
    <row r="3039" ht="15" customHeight="1">
      <c r="A3039" t="inlineStr">
        <is>
          <t>A 41256-2019</t>
        </is>
      </c>
      <c r="B3039" s="1" t="n">
        <v>43698</v>
      </c>
      <c r="C3039" s="1" t="n">
        <v>45212</v>
      </c>
      <c r="D3039" t="inlineStr">
        <is>
          <t>VÄSTRA GÖTALANDS LÄN</t>
        </is>
      </c>
      <c r="E3039" t="inlineStr">
        <is>
          <t>BENGTSFORS</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41404-2019</t>
        </is>
      </c>
      <c r="B3040" s="1" t="n">
        <v>43698</v>
      </c>
      <c r="C3040" s="1" t="n">
        <v>45212</v>
      </c>
      <c r="D3040" t="inlineStr">
        <is>
          <t>VÄSTRA GÖTALANDS LÄN</t>
        </is>
      </c>
      <c r="E3040" t="inlineStr">
        <is>
          <t>TRANEMO</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41689-2019</t>
        </is>
      </c>
      <c r="B3041" s="1" t="n">
        <v>43699</v>
      </c>
      <c r="C3041" s="1" t="n">
        <v>45212</v>
      </c>
      <c r="D3041" t="inlineStr">
        <is>
          <t>VÄSTRA GÖTALANDS LÄN</t>
        </is>
      </c>
      <c r="E3041" t="inlineStr">
        <is>
          <t>SKARA</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41735-2019</t>
        </is>
      </c>
      <c r="B3042" s="1" t="n">
        <v>43699</v>
      </c>
      <c r="C3042" s="1" t="n">
        <v>45212</v>
      </c>
      <c r="D3042" t="inlineStr">
        <is>
          <t>VÄSTRA GÖTALANDS LÄN</t>
        </is>
      </c>
      <c r="E3042" t="inlineStr">
        <is>
          <t>FALKÖPING</t>
        </is>
      </c>
      <c r="G3042" t="n">
        <v>4.7</v>
      </c>
      <c r="H3042" t="n">
        <v>0</v>
      </c>
      <c r="I3042" t="n">
        <v>0</v>
      </c>
      <c r="J3042" t="n">
        <v>0</v>
      </c>
      <c r="K3042" t="n">
        <v>0</v>
      </c>
      <c r="L3042" t="n">
        <v>0</v>
      </c>
      <c r="M3042" t="n">
        <v>0</v>
      </c>
      <c r="N3042" t="n">
        <v>0</v>
      </c>
      <c r="O3042" t="n">
        <v>0</v>
      </c>
      <c r="P3042" t="n">
        <v>0</v>
      </c>
      <c r="Q3042" t="n">
        <v>0</v>
      </c>
      <c r="R3042" s="2" t="inlineStr"/>
    </row>
    <row r="3043" ht="15" customHeight="1">
      <c r="A3043" t="inlineStr">
        <is>
          <t>A 42509-2019</t>
        </is>
      </c>
      <c r="B3043" s="1" t="n">
        <v>43699</v>
      </c>
      <c r="C3043" s="1" t="n">
        <v>45212</v>
      </c>
      <c r="D3043" t="inlineStr">
        <is>
          <t>VÄSTRA GÖTALANDS LÄN</t>
        </is>
      </c>
      <c r="E3043" t="inlineStr">
        <is>
          <t>VÄNERSBORG</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42706-2019</t>
        </is>
      </c>
      <c r="B3044" s="1" t="n">
        <v>43699</v>
      </c>
      <c r="C3044" s="1" t="n">
        <v>45212</v>
      </c>
      <c r="D3044" t="inlineStr">
        <is>
          <t>VÄSTRA GÖTALANDS LÄN</t>
        </is>
      </c>
      <c r="E3044" t="inlineStr">
        <is>
          <t>FALKÖPING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41560-2019</t>
        </is>
      </c>
      <c r="B3045" s="1" t="n">
        <v>43699</v>
      </c>
      <c r="C3045" s="1" t="n">
        <v>45212</v>
      </c>
      <c r="D3045" t="inlineStr">
        <is>
          <t>VÄSTRA GÖTALANDS LÄN</t>
        </is>
      </c>
      <c r="E3045" t="inlineStr">
        <is>
          <t>HERRLJUNGA</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42515-2019</t>
        </is>
      </c>
      <c r="B3046" s="1" t="n">
        <v>43699</v>
      </c>
      <c r="C3046" s="1" t="n">
        <v>45212</v>
      </c>
      <c r="D3046" t="inlineStr">
        <is>
          <t>VÄSTRA GÖTALANDS LÄN</t>
        </is>
      </c>
      <c r="E3046" t="inlineStr">
        <is>
          <t>VÄNERSBORG</t>
        </is>
      </c>
      <c r="G3046" t="n">
        <v>9.5</v>
      </c>
      <c r="H3046" t="n">
        <v>0</v>
      </c>
      <c r="I3046" t="n">
        <v>0</v>
      </c>
      <c r="J3046" t="n">
        <v>0</v>
      </c>
      <c r="K3046" t="n">
        <v>0</v>
      </c>
      <c r="L3046" t="n">
        <v>0</v>
      </c>
      <c r="M3046" t="n">
        <v>0</v>
      </c>
      <c r="N3046" t="n">
        <v>0</v>
      </c>
      <c r="O3046" t="n">
        <v>0</v>
      </c>
      <c r="P3046" t="n">
        <v>0</v>
      </c>
      <c r="Q3046" t="n">
        <v>0</v>
      </c>
      <c r="R3046" s="2" t="inlineStr"/>
    </row>
    <row r="3047" ht="15" customHeight="1">
      <c r="A3047" t="inlineStr">
        <is>
          <t>A 41607-2019</t>
        </is>
      </c>
      <c r="B3047" s="1" t="n">
        <v>43699</v>
      </c>
      <c r="C3047" s="1" t="n">
        <v>45212</v>
      </c>
      <c r="D3047" t="inlineStr">
        <is>
          <t>VÄSTRA GÖTALANDS LÄN</t>
        </is>
      </c>
      <c r="E3047" t="inlineStr">
        <is>
          <t>BENGTSFORS</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41692-2019</t>
        </is>
      </c>
      <c r="B3048" s="1" t="n">
        <v>43699</v>
      </c>
      <c r="C3048" s="1" t="n">
        <v>45212</v>
      </c>
      <c r="D3048" t="inlineStr">
        <is>
          <t>VÄSTRA GÖTALANDS LÄN</t>
        </is>
      </c>
      <c r="E3048" t="inlineStr">
        <is>
          <t>SKARA</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42259-2019</t>
        </is>
      </c>
      <c r="B3049" s="1" t="n">
        <v>43699</v>
      </c>
      <c r="C3049" s="1" t="n">
        <v>45212</v>
      </c>
      <c r="D3049" t="inlineStr">
        <is>
          <t>VÄSTRA GÖTALANDS LÄN</t>
        </is>
      </c>
      <c r="E3049" t="inlineStr">
        <is>
          <t>BORÅS</t>
        </is>
      </c>
      <c r="F3049" t="inlineStr">
        <is>
          <t>Sveaskog</t>
        </is>
      </c>
      <c r="G3049" t="n">
        <v>3.7</v>
      </c>
      <c r="H3049" t="n">
        <v>0</v>
      </c>
      <c r="I3049" t="n">
        <v>0</v>
      </c>
      <c r="J3049" t="n">
        <v>0</v>
      </c>
      <c r="K3049" t="n">
        <v>0</v>
      </c>
      <c r="L3049" t="n">
        <v>0</v>
      </c>
      <c r="M3049" t="n">
        <v>0</v>
      </c>
      <c r="N3049" t="n">
        <v>0</v>
      </c>
      <c r="O3049" t="n">
        <v>0</v>
      </c>
      <c r="P3049" t="n">
        <v>0</v>
      </c>
      <c r="Q3049" t="n">
        <v>0</v>
      </c>
      <c r="R3049" s="2" t="inlineStr"/>
    </row>
    <row r="3050" ht="15" customHeight="1">
      <c r="A3050" t="inlineStr">
        <is>
          <t>A 41549-2019</t>
        </is>
      </c>
      <c r="B3050" s="1" t="n">
        <v>43699</v>
      </c>
      <c r="C3050" s="1" t="n">
        <v>45212</v>
      </c>
      <c r="D3050" t="inlineStr">
        <is>
          <t>VÄSTRA GÖTALANDS LÄN</t>
        </is>
      </c>
      <c r="E3050" t="inlineStr">
        <is>
          <t>SVENLJUNGA</t>
        </is>
      </c>
      <c r="F3050" t="inlineStr">
        <is>
          <t>Kyrkan</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41723-2019</t>
        </is>
      </c>
      <c r="B3051" s="1" t="n">
        <v>43699</v>
      </c>
      <c r="C3051" s="1" t="n">
        <v>45212</v>
      </c>
      <c r="D3051" t="inlineStr">
        <is>
          <t>VÄSTRA GÖTALANDS LÄN</t>
        </is>
      </c>
      <c r="E3051" t="inlineStr">
        <is>
          <t>ALINGSÅS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44978-2019</t>
        </is>
      </c>
      <c r="B3052" s="1" t="n">
        <v>43699</v>
      </c>
      <c r="C3052" s="1" t="n">
        <v>45212</v>
      </c>
      <c r="D3052" t="inlineStr">
        <is>
          <t>VÄSTRA GÖTALANDS LÄN</t>
        </is>
      </c>
      <c r="E3052" t="inlineStr">
        <is>
          <t>TRANEMO</t>
        </is>
      </c>
      <c r="G3052" t="n">
        <v>3.3</v>
      </c>
      <c r="H3052" t="n">
        <v>0</v>
      </c>
      <c r="I3052" t="n">
        <v>0</v>
      </c>
      <c r="J3052" t="n">
        <v>0</v>
      </c>
      <c r="K3052" t="n">
        <v>0</v>
      </c>
      <c r="L3052" t="n">
        <v>0</v>
      </c>
      <c r="M3052" t="n">
        <v>0</v>
      </c>
      <c r="N3052" t="n">
        <v>0</v>
      </c>
      <c r="O3052" t="n">
        <v>0</v>
      </c>
      <c r="P3052" t="n">
        <v>0</v>
      </c>
      <c r="Q3052" t="n">
        <v>0</v>
      </c>
      <c r="R3052" s="2" t="inlineStr"/>
    </row>
    <row r="3053" ht="15" customHeight="1">
      <c r="A3053" t="inlineStr">
        <is>
          <t>A 42999-2019</t>
        </is>
      </c>
      <c r="B3053" s="1" t="n">
        <v>43700</v>
      </c>
      <c r="C3053" s="1" t="n">
        <v>45212</v>
      </c>
      <c r="D3053" t="inlineStr">
        <is>
          <t>VÄSTRA GÖTALANDS LÄN</t>
        </is>
      </c>
      <c r="E3053" t="inlineStr">
        <is>
          <t>ULRICEHAMN</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43016-2019</t>
        </is>
      </c>
      <c r="B3054" s="1" t="n">
        <v>43700</v>
      </c>
      <c r="C3054" s="1" t="n">
        <v>45212</v>
      </c>
      <c r="D3054" t="inlineStr">
        <is>
          <t>VÄSTRA GÖTALANDS LÄN</t>
        </is>
      </c>
      <c r="E3054" t="inlineStr">
        <is>
          <t>FALKÖPING</t>
        </is>
      </c>
      <c r="G3054" t="n">
        <v>5</v>
      </c>
      <c r="H3054" t="n">
        <v>0</v>
      </c>
      <c r="I3054" t="n">
        <v>0</v>
      </c>
      <c r="J3054" t="n">
        <v>0</v>
      </c>
      <c r="K3054" t="n">
        <v>0</v>
      </c>
      <c r="L3054" t="n">
        <v>0</v>
      </c>
      <c r="M3054" t="n">
        <v>0</v>
      </c>
      <c r="N3054" t="n">
        <v>0</v>
      </c>
      <c r="O3054" t="n">
        <v>0</v>
      </c>
      <c r="P3054" t="n">
        <v>0</v>
      </c>
      <c r="Q3054" t="n">
        <v>0</v>
      </c>
      <c r="R3054" s="2" t="inlineStr"/>
    </row>
    <row r="3055" ht="15" customHeight="1">
      <c r="A3055" t="inlineStr">
        <is>
          <t>A 43104-2019</t>
        </is>
      </c>
      <c r="B3055" s="1" t="n">
        <v>43700</v>
      </c>
      <c r="C3055" s="1" t="n">
        <v>45212</v>
      </c>
      <c r="D3055" t="inlineStr">
        <is>
          <t>VÄSTRA GÖTALANDS LÄN</t>
        </is>
      </c>
      <c r="E3055" t="inlineStr">
        <is>
          <t>VARA</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43087-2019</t>
        </is>
      </c>
      <c r="B3056" s="1" t="n">
        <v>43700</v>
      </c>
      <c r="C3056" s="1" t="n">
        <v>45212</v>
      </c>
      <c r="D3056" t="inlineStr">
        <is>
          <t>VÄSTRA GÖTALANDS LÄN</t>
        </is>
      </c>
      <c r="E3056" t="inlineStr">
        <is>
          <t>FALKÖPING</t>
        </is>
      </c>
      <c r="G3056" t="n">
        <v>1.2</v>
      </c>
      <c r="H3056" t="n">
        <v>0</v>
      </c>
      <c r="I3056" t="n">
        <v>0</v>
      </c>
      <c r="J3056" t="n">
        <v>0</v>
      </c>
      <c r="K3056" t="n">
        <v>0</v>
      </c>
      <c r="L3056" t="n">
        <v>0</v>
      </c>
      <c r="M3056" t="n">
        <v>0</v>
      </c>
      <c r="N3056" t="n">
        <v>0</v>
      </c>
      <c r="O3056" t="n">
        <v>0</v>
      </c>
      <c r="P3056" t="n">
        <v>0</v>
      </c>
      <c r="Q3056" t="n">
        <v>0</v>
      </c>
      <c r="R3056" s="2" t="inlineStr"/>
    </row>
    <row r="3057" ht="15" customHeight="1">
      <c r="A3057" t="inlineStr">
        <is>
          <t>A 43004-2019</t>
        </is>
      </c>
      <c r="B3057" s="1" t="n">
        <v>43700</v>
      </c>
      <c r="C3057" s="1" t="n">
        <v>45212</v>
      </c>
      <c r="D3057" t="inlineStr">
        <is>
          <t>VÄSTRA GÖTALANDS LÄN</t>
        </is>
      </c>
      <c r="E3057" t="inlineStr">
        <is>
          <t>HERRLJUNGA</t>
        </is>
      </c>
      <c r="G3057" t="n">
        <v>5.9</v>
      </c>
      <c r="H3057" t="n">
        <v>0</v>
      </c>
      <c r="I3057" t="n">
        <v>0</v>
      </c>
      <c r="J3057" t="n">
        <v>0</v>
      </c>
      <c r="K3057" t="n">
        <v>0</v>
      </c>
      <c r="L3057" t="n">
        <v>0</v>
      </c>
      <c r="M3057" t="n">
        <v>0</v>
      </c>
      <c r="N3057" t="n">
        <v>0</v>
      </c>
      <c r="O3057" t="n">
        <v>0</v>
      </c>
      <c r="P3057" t="n">
        <v>0</v>
      </c>
      <c r="Q3057" t="n">
        <v>0</v>
      </c>
      <c r="R3057" s="2" t="inlineStr"/>
    </row>
    <row r="3058" ht="15" customHeight="1">
      <c r="A3058" t="inlineStr">
        <is>
          <t>A 43024-2019</t>
        </is>
      </c>
      <c r="B3058" s="1" t="n">
        <v>43700</v>
      </c>
      <c r="C3058" s="1" t="n">
        <v>45212</v>
      </c>
      <c r="D3058" t="inlineStr">
        <is>
          <t>VÄSTRA GÖTALANDS LÄN</t>
        </is>
      </c>
      <c r="E3058" t="inlineStr">
        <is>
          <t>FALKÖPING</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43113-2019</t>
        </is>
      </c>
      <c r="B3059" s="1" t="n">
        <v>43700</v>
      </c>
      <c r="C3059" s="1" t="n">
        <v>45212</v>
      </c>
      <c r="D3059" t="inlineStr">
        <is>
          <t>VÄSTRA GÖTALANDS LÄN</t>
        </is>
      </c>
      <c r="E3059" t="inlineStr">
        <is>
          <t>VARA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41837-2019</t>
        </is>
      </c>
      <c r="B3060" s="1" t="n">
        <v>43700</v>
      </c>
      <c r="C3060" s="1" t="n">
        <v>45212</v>
      </c>
      <c r="D3060" t="inlineStr">
        <is>
          <t>VÄSTRA GÖTALANDS LÄN</t>
        </is>
      </c>
      <c r="E3060" t="inlineStr">
        <is>
          <t>FALKÖPING</t>
        </is>
      </c>
      <c r="G3060" t="n">
        <v>9.199999999999999</v>
      </c>
      <c r="H3060" t="n">
        <v>0</v>
      </c>
      <c r="I3060" t="n">
        <v>0</v>
      </c>
      <c r="J3060" t="n">
        <v>0</v>
      </c>
      <c r="K3060" t="n">
        <v>0</v>
      </c>
      <c r="L3060" t="n">
        <v>0</v>
      </c>
      <c r="M3060" t="n">
        <v>0</v>
      </c>
      <c r="N3060" t="n">
        <v>0</v>
      </c>
      <c r="O3060" t="n">
        <v>0</v>
      </c>
      <c r="P3060" t="n">
        <v>0</v>
      </c>
      <c r="Q3060" t="n">
        <v>0</v>
      </c>
      <c r="R3060" s="2" t="inlineStr"/>
    </row>
    <row r="3061" ht="15" customHeight="1">
      <c r="A3061" t="inlineStr">
        <is>
          <t>A 41948-2019</t>
        </is>
      </c>
      <c r="B3061" s="1" t="n">
        <v>43700</v>
      </c>
      <c r="C3061" s="1" t="n">
        <v>45212</v>
      </c>
      <c r="D3061" t="inlineStr">
        <is>
          <t>VÄSTRA GÖTALANDS LÄN</t>
        </is>
      </c>
      <c r="E3061" t="inlineStr">
        <is>
          <t>VÄNERSBORG</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43011-2019</t>
        </is>
      </c>
      <c r="B3062" s="1" t="n">
        <v>43700</v>
      </c>
      <c r="C3062" s="1" t="n">
        <v>45212</v>
      </c>
      <c r="D3062" t="inlineStr">
        <is>
          <t>VÄSTRA GÖTALANDS LÄN</t>
        </is>
      </c>
      <c r="E3062" t="inlineStr">
        <is>
          <t>FALKÖPING</t>
        </is>
      </c>
      <c r="G3062" t="n">
        <v>8.4</v>
      </c>
      <c r="H3062" t="n">
        <v>0</v>
      </c>
      <c r="I3062" t="n">
        <v>0</v>
      </c>
      <c r="J3062" t="n">
        <v>0</v>
      </c>
      <c r="K3062" t="n">
        <v>0</v>
      </c>
      <c r="L3062" t="n">
        <v>0</v>
      </c>
      <c r="M3062" t="n">
        <v>0</v>
      </c>
      <c r="N3062" t="n">
        <v>0</v>
      </c>
      <c r="O3062" t="n">
        <v>0</v>
      </c>
      <c r="P3062" t="n">
        <v>0</v>
      </c>
      <c r="Q3062" t="n">
        <v>0</v>
      </c>
      <c r="R3062" s="2" t="inlineStr"/>
    </row>
    <row r="3063" ht="15" customHeight="1">
      <c r="A3063" t="inlineStr">
        <is>
          <t>A 43030-2019</t>
        </is>
      </c>
      <c r="B3063" s="1" t="n">
        <v>43700</v>
      </c>
      <c r="C3063" s="1" t="n">
        <v>45212</v>
      </c>
      <c r="D3063" t="inlineStr">
        <is>
          <t>VÄSTRA GÖTALANDS LÄN</t>
        </is>
      </c>
      <c r="E3063" t="inlineStr">
        <is>
          <t>ULRICEHAMN</t>
        </is>
      </c>
      <c r="G3063" t="n">
        <v>5.8</v>
      </c>
      <c r="H3063" t="n">
        <v>0</v>
      </c>
      <c r="I3063" t="n">
        <v>0</v>
      </c>
      <c r="J3063" t="n">
        <v>0</v>
      </c>
      <c r="K3063" t="n">
        <v>0</v>
      </c>
      <c r="L3063" t="n">
        <v>0</v>
      </c>
      <c r="M3063" t="n">
        <v>0</v>
      </c>
      <c r="N3063" t="n">
        <v>0</v>
      </c>
      <c r="O3063" t="n">
        <v>0</v>
      </c>
      <c r="P3063" t="n">
        <v>0</v>
      </c>
      <c r="Q3063" t="n">
        <v>0</v>
      </c>
      <c r="R3063" s="2" t="inlineStr"/>
    </row>
    <row r="3064" ht="15" customHeight="1">
      <c r="A3064" t="inlineStr">
        <is>
          <t>A 43129-2019</t>
        </is>
      </c>
      <c r="B3064" s="1" t="n">
        <v>43700</v>
      </c>
      <c r="C3064" s="1" t="n">
        <v>45212</v>
      </c>
      <c r="D3064" t="inlineStr">
        <is>
          <t>VÄSTRA GÖTALANDS LÄN</t>
        </is>
      </c>
      <c r="E3064" t="inlineStr">
        <is>
          <t>FALKÖPING</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42293-2019</t>
        </is>
      </c>
      <c r="B3065" s="1" t="n">
        <v>43703</v>
      </c>
      <c r="C3065" s="1" t="n">
        <v>45212</v>
      </c>
      <c r="D3065" t="inlineStr">
        <is>
          <t>VÄSTRA GÖTALANDS LÄN</t>
        </is>
      </c>
      <c r="E3065" t="inlineStr">
        <is>
          <t>HJO</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43423-2019</t>
        </is>
      </c>
      <c r="B3066" s="1" t="n">
        <v>43703</v>
      </c>
      <c r="C3066" s="1" t="n">
        <v>45212</v>
      </c>
      <c r="D3066" t="inlineStr">
        <is>
          <t>VÄSTRA GÖTALANDS LÄN</t>
        </is>
      </c>
      <c r="E3066" t="inlineStr">
        <is>
          <t>MELLERUD</t>
        </is>
      </c>
      <c r="F3066" t="inlineStr">
        <is>
          <t>Övriga Aktiebolag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42176-2019</t>
        </is>
      </c>
      <c r="B3067" s="1" t="n">
        <v>43703</v>
      </c>
      <c r="C3067" s="1" t="n">
        <v>45212</v>
      </c>
      <c r="D3067" t="inlineStr">
        <is>
          <t>VÄSTRA GÖTALANDS LÄN</t>
        </is>
      </c>
      <c r="E3067" t="inlineStr">
        <is>
          <t>KARLSBORG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42274-2019</t>
        </is>
      </c>
      <c r="B3068" s="1" t="n">
        <v>43703</v>
      </c>
      <c r="C3068" s="1" t="n">
        <v>45212</v>
      </c>
      <c r="D3068" t="inlineStr">
        <is>
          <t>VÄSTRA GÖTALANDS LÄN</t>
        </is>
      </c>
      <c r="E3068" t="inlineStr">
        <is>
          <t>HJO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42379-2019</t>
        </is>
      </c>
      <c r="B3069" s="1" t="n">
        <v>43703</v>
      </c>
      <c r="C3069" s="1" t="n">
        <v>45212</v>
      </c>
      <c r="D3069" t="inlineStr">
        <is>
          <t>VÄSTRA GÖTALANDS LÄN</t>
        </is>
      </c>
      <c r="E3069" t="inlineStr">
        <is>
          <t>LIDKÖPING</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42363-2019</t>
        </is>
      </c>
      <c r="B3070" s="1" t="n">
        <v>43703</v>
      </c>
      <c r="C3070" s="1" t="n">
        <v>45212</v>
      </c>
      <c r="D3070" t="inlineStr">
        <is>
          <t>VÄSTRA GÖTALANDS LÄN</t>
        </is>
      </c>
      <c r="E3070" t="inlineStr">
        <is>
          <t>TROLLHÄTTAN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42378-2019</t>
        </is>
      </c>
      <c r="B3071" s="1" t="n">
        <v>43703</v>
      </c>
      <c r="C3071" s="1" t="n">
        <v>45212</v>
      </c>
      <c r="D3071" t="inlineStr">
        <is>
          <t>VÄSTRA GÖTALANDS LÄN</t>
        </is>
      </c>
      <c r="E3071" t="inlineStr">
        <is>
          <t>LIDKÖPING</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43458-2019</t>
        </is>
      </c>
      <c r="B3072" s="1" t="n">
        <v>43703</v>
      </c>
      <c r="C3072" s="1" t="n">
        <v>45212</v>
      </c>
      <c r="D3072" t="inlineStr">
        <is>
          <t>VÄSTRA GÖTALANDS LÄN</t>
        </is>
      </c>
      <c r="E3072" t="inlineStr">
        <is>
          <t>LIDKÖPING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42524-2019</t>
        </is>
      </c>
      <c r="B3073" s="1" t="n">
        <v>43704</v>
      </c>
      <c r="C3073" s="1" t="n">
        <v>45212</v>
      </c>
      <c r="D3073" t="inlineStr">
        <is>
          <t>VÄSTRA GÖTALANDS LÄN</t>
        </is>
      </c>
      <c r="E3073" t="inlineStr">
        <is>
          <t>SKÖVDE</t>
        </is>
      </c>
      <c r="G3073" t="n">
        <v>2.8</v>
      </c>
      <c r="H3073" t="n">
        <v>0</v>
      </c>
      <c r="I3073" t="n">
        <v>0</v>
      </c>
      <c r="J3073" t="n">
        <v>0</v>
      </c>
      <c r="K3073" t="n">
        <v>0</v>
      </c>
      <c r="L3073" t="n">
        <v>0</v>
      </c>
      <c r="M3073" t="n">
        <v>0</v>
      </c>
      <c r="N3073" t="n">
        <v>0</v>
      </c>
      <c r="O3073" t="n">
        <v>0</v>
      </c>
      <c r="P3073" t="n">
        <v>0</v>
      </c>
      <c r="Q3073" t="n">
        <v>0</v>
      </c>
      <c r="R3073" s="2" t="inlineStr"/>
    </row>
    <row r="3074" ht="15" customHeight="1">
      <c r="A3074" t="inlineStr">
        <is>
          <t>A 42582-2019</t>
        </is>
      </c>
      <c r="B3074" s="1" t="n">
        <v>43704</v>
      </c>
      <c r="C3074" s="1" t="n">
        <v>45212</v>
      </c>
      <c r="D3074" t="inlineStr">
        <is>
          <t>VÄSTRA GÖTALANDS LÄN</t>
        </is>
      </c>
      <c r="E3074" t="inlineStr">
        <is>
          <t>TROLLHÄTTAN</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42526-2019</t>
        </is>
      </c>
      <c r="B3075" s="1" t="n">
        <v>43704</v>
      </c>
      <c r="C3075" s="1" t="n">
        <v>45212</v>
      </c>
      <c r="D3075" t="inlineStr">
        <is>
          <t>VÄSTRA GÖTALANDS LÄN</t>
        </is>
      </c>
      <c r="E3075" t="inlineStr">
        <is>
          <t>GULLSPÅNG</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42550-2019</t>
        </is>
      </c>
      <c r="B3076" s="1" t="n">
        <v>43704</v>
      </c>
      <c r="C3076" s="1" t="n">
        <v>45212</v>
      </c>
      <c r="D3076" t="inlineStr">
        <is>
          <t>VÄSTRA GÖTALANDS LÄN</t>
        </is>
      </c>
      <c r="E3076" t="inlineStr">
        <is>
          <t>LIDKÖPING</t>
        </is>
      </c>
      <c r="G3076" t="n">
        <v>0.4</v>
      </c>
      <c r="H3076" t="n">
        <v>0</v>
      </c>
      <c r="I3076" t="n">
        <v>0</v>
      </c>
      <c r="J3076" t="n">
        <v>0</v>
      </c>
      <c r="K3076" t="n">
        <v>0</v>
      </c>
      <c r="L3076" t="n">
        <v>0</v>
      </c>
      <c r="M3076" t="n">
        <v>0</v>
      </c>
      <c r="N3076" t="n">
        <v>0</v>
      </c>
      <c r="O3076" t="n">
        <v>0</v>
      </c>
      <c r="P3076" t="n">
        <v>0</v>
      </c>
      <c r="Q3076" t="n">
        <v>0</v>
      </c>
      <c r="R3076" s="2" t="inlineStr"/>
    </row>
    <row r="3077" ht="15" customHeight="1">
      <c r="A3077" t="inlineStr">
        <is>
          <t>A 42693-2019</t>
        </is>
      </c>
      <c r="B3077" s="1" t="n">
        <v>43704</v>
      </c>
      <c r="C3077" s="1" t="n">
        <v>45212</v>
      </c>
      <c r="D3077" t="inlineStr">
        <is>
          <t>VÄSTRA GÖTALANDS LÄN</t>
        </is>
      </c>
      <c r="E3077" t="inlineStr">
        <is>
          <t>MARK</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42532-2019</t>
        </is>
      </c>
      <c r="B3078" s="1" t="n">
        <v>43704</v>
      </c>
      <c r="C3078" s="1" t="n">
        <v>45212</v>
      </c>
      <c r="D3078" t="inlineStr">
        <is>
          <t>VÄSTRA GÖTALANDS LÄN</t>
        </is>
      </c>
      <c r="E3078" t="inlineStr">
        <is>
          <t>MARK</t>
        </is>
      </c>
      <c r="G3078" t="n">
        <v>8.199999999999999</v>
      </c>
      <c r="H3078" t="n">
        <v>0</v>
      </c>
      <c r="I3078" t="n">
        <v>0</v>
      </c>
      <c r="J3078" t="n">
        <v>0</v>
      </c>
      <c r="K3078" t="n">
        <v>0</v>
      </c>
      <c r="L3078" t="n">
        <v>0</v>
      </c>
      <c r="M3078" t="n">
        <v>0</v>
      </c>
      <c r="N3078" t="n">
        <v>0</v>
      </c>
      <c r="O3078" t="n">
        <v>0</v>
      </c>
      <c r="P3078" t="n">
        <v>0</v>
      </c>
      <c r="Q3078" t="n">
        <v>0</v>
      </c>
      <c r="R3078" s="2" t="inlineStr"/>
    </row>
    <row r="3079" ht="15" customHeight="1">
      <c r="A3079" t="inlineStr">
        <is>
          <t>A 42614-2019</t>
        </is>
      </c>
      <c r="B3079" s="1" t="n">
        <v>43704</v>
      </c>
      <c r="C3079" s="1" t="n">
        <v>45212</v>
      </c>
      <c r="D3079" t="inlineStr">
        <is>
          <t>VÄSTRA GÖTALANDS LÄN</t>
        </is>
      </c>
      <c r="E3079" t="inlineStr">
        <is>
          <t>ULRICEHAMN</t>
        </is>
      </c>
      <c r="F3079" t="inlineStr">
        <is>
          <t>Sveaskog</t>
        </is>
      </c>
      <c r="G3079" t="n">
        <v>7.2</v>
      </c>
      <c r="H3079" t="n">
        <v>0</v>
      </c>
      <c r="I3079" t="n">
        <v>0</v>
      </c>
      <c r="J3079" t="n">
        <v>0</v>
      </c>
      <c r="K3079" t="n">
        <v>0</v>
      </c>
      <c r="L3079" t="n">
        <v>0</v>
      </c>
      <c r="M3079" t="n">
        <v>0</v>
      </c>
      <c r="N3079" t="n">
        <v>0</v>
      </c>
      <c r="O3079" t="n">
        <v>0</v>
      </c>
      <c r="P3079" t="n">
        <v>0</v>
      </c>
      <c r="Q3079" t="n">
        <v>0</v>
      </c>
      <c r="R3079" s="2" t="inlineStr"/>
    </row>
    <row r="3080" ht="15" customHeight="1">
      <c r="A3080" t="inlineStr">
        <is>
          <t>A 43437-2019</t>
        </is>
      </c>
      <c r="B3080" s="1" t="n">
        <v>43704</v>
      </c>
      <c r="C3080" s="1" t="n">
        <v>45212</v>
      </c>
      <c r="D3080" t="inlineStr">
        <is>
          <t>VÄSTRA GÖTALANDS LÄN</t>
        </is>
      </c>
      <c r="E3080" t="inlineStr">
        <is>
          <t>MARIESTAD</t>
        </is>
      </c>
      <c r="G3080" t="n">
        <v>5.8</v>
      </c>
      <c r="H3080" t="n">
        <v>0</v>
      </c>
      <c r="I3080" t="n">
        <v>0</v>
      </c>
      <c r="J3080" t="n">
        <v>0</v>
      </c>
      <c r="K3080" t="n">
        <v>0</v>
      </c>
      <c r="L3080" t="n">
        <v>0</v>
      </c>
      <c r="M3080" t="n">
        <v>0</v>
      </c>
      <c r="N3080" t="n">
        <v>0</v>
      </c>
      <c r="O3080" t="n">
        <v>0</v>
      </c>
      <c r="P3080" t="n">
        <v>0</v>
      </c>
      <c r="Q3080" t="n">
        <v>0</v>
      </c>
      <c r="R3080" s="2" t="inlineStr"/>
    </row>
    <row r="3081" ht="15" customHeight="1">
      <c r="A3081" t="inlineStr">
        <is>
          <t>A 42808-2019</t>
        </is>
      </c>
      <c r="B3081" s="1" t="n">
        <v>43705</v>
      </c>
      <c r="C3081" s="1" t="n">
        <v>45212</v>
      </c>
      <c r="D3081" t="inlineStr">
        <is>
          <t>VÄSTRA GÖTALANDS LÄN</t>
        </is>
      </c>
      <c r="E3081" t="inlineStr">
        <is>
          <t>ULRICEHAMN</t>
        </is>
      </c>
      <c r="F3081" t="inlineStr">
        <is>
          <t>Sveaskog</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42964-2019</t>
        </is>
      </c>
      <c r="B3082" s="1" t="n">
        <v>43705</v>
      </c>
      <c r="C3082" s="1" t="n">
        <v>45212</v>
      </c>
      <c r="D3082" t="inlineStr">
        <is>
          <t>VÄSTRA GÖTALANDS LÄN</t>
        </is>
      </c>
      <c r="E3082" t="inlineStr">
        <is>
          <t>KARLSBORG</t>
        </is>
      </c>
      <c r="F3082" t="inlineStr">
        <is>
          <t>Övriga statliga verk och myndigheter</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43032-2019</t>
        </is>
      </c>
      <c r="B3083" s="1" t="n">
        <v>43705</v>
      </c>
      <c r="C3083" s="1" t="n">
        <v>45212</v>
      </c>
      <c r="D3083" t="inlineStr">
        <is>
          <t>VÄSTRA GÖTALANDS LÄN</t>
        </is>
      </c>
      <c r="E3083" t="inlineStr">
        <is>
          <t>SVENLJUNGA</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44251-2019</t>
        </is>
      </c>
      <c r="B3084" s="1" t="n">
        <v>43705</v>
      </c>
      <c r="C3084" s="1" t="n">
        <v>45212</v>
      </c>
      <c r="D3084" t="inlineStr">
        <is>
          <t>VÄSTRA GÖTALANDS LÄN</t>
        </is>
      </c>
      <c r="E3084" t="inlineStr">
        <is>
          <t>VARA</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42811-2019</t>
        </is>
      </c>
      <c r="B3085" s="1" t="n">
        <v>43705</v>
      </c>
      <c r="C3085" s="1" t="n">
        <v>45212</v>
      </c>
      <c r="D3085" t="inlineStr">
        <is>
          <t>VÄSTRA GÖTALANDS LÄN</t>
        </is>
      </c>
      <c r="E3085" t="inlineStr">
        <is>
          <t>ULRICEHAMN</t>
        </is>
      </c>
      <c r="F3085" t="inlineStr">
        <is>
          <t>Sveaskog</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42924-2019</t>
        </is>
      </c>
      <c r="B3086" s="1" t="n">
        <v>43705</v>
      </c>
      <c r="C3086" s="1" t="n">
        <v>45212</v>
      </c>
      <c r="D3086" t="inlineStr">
        <is>
          <t>VÄSTRA GÖTALANDS LÄN</t>
        </is>
      </c>
      <c r="E3086" t="inlineStr">
        <is>
          <t>BENGTSFORS</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42965-2019</t>
        </is>
      </c>
      <c r="B3087" s="1" t="n">
        <v>43705</v>
      </c>
      <c r="C3087" s="1" t="n">
        <v>45212</v>
      </c>
      <c r="D3087" t="inlineStr">
        <is>
          <t>VÄSTRA GÖTALANDS LÄN</t>
        </is>
      </c>
      <c r="E3087" t="inlineStr">
        <is>
          <t>KARLSBORG</t>
        </is>
      </c>
      <c r="F3087" t="inlineStr">
        <is>
          <t>Övriga statliga verk och myndigheter</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43144-2019</t>
        </is>
      </c>
      <c r="B3088" s="1" t="n">
        <v>43705</v>
      </c>
      <c r="C3088" s="1" t="n">
        <v>45212</v>
      </c>
      <c r="D3088" t="inlineStr">
        <is>
          <t>VÄSTRA GÖTALANDS LÄN</t>
        </is>
      </c>
      <c r="E3088" t="inlineStr">
        <is>
          <t>TANUM</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42803-2019</t>
        </is>
      </c>
      <c r="B3089" s="1" t="n">
        <v>43705</v>
      </c>
      <c r="C3089" s="1" t="n">
        <v>45212</v>
      </c>
      <c r="D3089" t="inlineStr">
        <is>
          <t>VÄSTRA GÖTALANDS LÄN</t>
        </is>
      </c>
      <c r="E3089" t="inlineStr">
        <is>
          <t>ULRICEHAMN</t>
        </is>
      </c>
      <c r="F3089" t="inlineStr">
        <is>
          <t>Sveaskog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42812-2019</t>
        </is>
      </c>
      <c r="B3090" s="1" t="n">
        <v>43705</v>
      </c>
      <c r="C3090" s="1" t="n">
        <v>45212</v>
      </c>
      <c r="D3090" t="inlineStr">
        <is>
          <t>VÄSTRA GÖTALANDS LÄN</t>
        </is>
      </c>
      <c r="E3090" t="inlineStr">
        <is>
          <t>ULRICEHAMN</t>
        </is>
      </c>
      <c r="F3090" t="inlineStr">
        <is>
          <t>Sveaskog</t>
        </is>
      </c>
      <c r="G3090" t="n">
        <v>0.5</v>
      </c>
      <c r="H3090" t="n">
        <v>0</v>
      </c>
      <c r="I3090" t="n">
        <v>0</v>
      </c>
      <c r="J3090" t="n">
        <v>0</v>
      </c>
      <c r="K3090" t="n">
        <v>0</v>
      </c>
      <c r="L3090" t="n">
        <v>0</v>
      </c>
      <c r="M3090" t="n">
        <v>0</v>
      </c>
      <c r="N3090" t="n">
        <v>0</v>
      </c>
      <c r="O3090" t="n">
        <v>0</v>
      </c>
      <c r="P3090" t="n">
        <v>0</v>
      </c>
      <c r="Q3090" t="n">
        <v>0</v>
      </c>
      <c r="R3090" s="2" t="inlineStr"/>
    </row>
    <row r="3091" ht="15" customHeight="1">
      <c r="A3091" t="inlineStr">
        <is>
          <t>A 42861-2019</t>
        </is>
      </c>
      <c r="B3091" s="1" t="n">
        <v>43705</v>
      </c>
      <c r="C3091" s="1" t="n">
        <v>45212</v>
      </c>
      <c r="D3091" t="inlineStr">
        <is>
          <t>VÄSTRA GÖTALANDS LÄN</t>
        </is>
      </c>
      <c r="E3091" t="inlineStr">
        <is>
          <t>SKÖVDE</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42807-2019</t>
        </is>
      </c>
      <c r="B3092" s="1" t="n">
        <v>43705</v>
      </c>
      <c r="C3092" s="1" t="n">
        <v>45212</v>
      </c>
      <c r="D3092" t="inlineStr">
        <is>
          <t>VÄSTRA GÖTALANDS LÄN</t>
        </is>
      </c>
      <c r="E3092" t="inlineStr">
        <is>
          <t>ULRICEHAMN</t>
        </is>
      </c>
      <c r="F3092" t="inlineStr">
        <is>
          <t>Sveaskog</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42815-2019</t>
        </is>
      </c>
      <c r="B3093" s="1" t="n">
        <v>43705</v>
      </c>
      <c r="C3093" s="1" t="n">
        <v>45212</v>
      </c>
      <c r="D3093" t="inlineStr">
        <is>
          <t>VÄSTRA GÖTALANDS LÄN</t>
        </is>
      </c>
      <c r="E3093" t="inlineStr">
        <is>
          <t>BORÅS</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42867-2019</t>
        </is>
      </c>
      <c r="B3094" s="1" t="n">
        <v>43705</v>
      </c>
      <c r="C3094" s="1" t="n">
        <v>45212</v>
      </c>
      <c r="D3094" t="inlineStr">
        <is>
          <t>VÄSTRA GÖTALANDS LÄN</t>
        </is>
      </c>
      <c r="E3094" t="inlineStr">
        <is>
          <t>GULLSPÅNG</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43233-2019</t>
        </is>
      </c>
      <c r="B3095" s="1" t="n">
        <v>43706</v>
      </c>
      <c r="C3095" s="1" t="n">
        <v>45212</v>
      </c>
      <c r="D3095" t="inlineStr">
        <is>
          <t>VÄSTRA GÖTALANDS LÄN</t>
        </is>
      </c>
      <c r="E3095" t="inlineStr">
        <is>
          <t>TROLLHÄTTAN</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43358-2019</t>
        </is>
      </c>
      <c r="B3096" s="1" t="n">
        <v>43706</v>
      </c>
      <c r="C3096" s="1" t="n">
        <v>45212</v>
      </c>
      <c r="D3096" t="inlineStr">
        <is>
          <t>VÄSTRA GÖTALANDS LÄN</t>
        </is>
      </c>
      <c r="E3096" t="inlineStr">
        <is>
          <t>BORÅS</t>
        </is>
      </c>
      <c r="G3096" t="n">
        <v>2.8</v>
      </c>
      <c r="H3096" t="n">
        <v>0</v>
      </c>
      <c r="I3096" t="n">
        <v>0</v>
      </c>
      <c r="J3096" t="n">
        <v>0</v>
      </c>
      <c r="K3096" t="n">
        <v>0</v>
      </c>
      <c r="L3096" t="n">
        <v>0</v>
      </c>
      <c r="M3096" t="n">
        <v>0</v>
      </c>
      <c r="N3096" t="n">
        <v>0</v>
      </c>
      <c r="O3096" t="n">
        <v>0</v>
      </c>
      <c r="P3096" t="n">
        <v>0</v>
      </c>
      <c r="Q3096" t="n">
        <v>0</v>
      </c>
      <c r="R3096" s="2" t="inlineStr"/>
    </row>
    <row r="3097" ht="15" customHeight="1">
      <c r="A3097" t="inlineStr">
        <is>
          <t>A 43393-2019</t>
        </is>
      </c>
      <c r="B3097" s="1" t="n">
        <v>43706</v>
      </c>
      <c r="C3097" s="1" t="n">
        <v>45212</v>
      </c>
      <c r="D3097" t="inlineStr">
        <is>
          <t>VÄSTRA GÖTALANDS LÄN</t>
        </is>
      </c>
      <c r="E3097" t="inlineStr">
        <is>
          <t>LIDKÖPING</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43431-2019</t>
        </is>
      </c>
      <c r="B3098" s="1" t="n">
        <v>43706</v>
      </c>
      <c r="C3098" s="1" t="n">
        <v>45212</v>
      </c>
      <c r="D3098" t="inlineStr">
        <is>
          <t>VÄSTRA GÖTALANDS LÄN</t>
        </is>
      </c>
      <c r="E3098" t="inlineStr">
        <is>
          <t>SVENLJUNGA</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43528-2019</t>
        </is>
      </c>
      <c r="B3099" s="1" t="n">
        <v>43706</v>
      </c>
      <c r="C3099" s="1" t="n">
        <v>45212</v>
      </c>
      <c r="D3099" t="inlineStr">
        <is>
          <t>VÄSTRA GÖTALANDS LÄN</t>
        </is>
      </c>
      <c r="E3099" t="inlineStr">
        <is>
          <t>BORÅS</t>
        </is>
      </c>
      <c r="F3099" t="inlineStr">
        <is>
          <t>Sveaskog</t>
        </is>
      </c>
      <c r="G3099" t="n">
        <v>6.8</v>
      </c>
      <c r="H3099" t="n">
        <v>0</v>
      </c>
      <c r="I3099" t="n">
        <v>0</v>
      </c>
      <c r="J3099" t="n">
        <v>0</v>
      </c>
      <c r="K3099" t="n">
        <v>0</v>
      </c>
      <c r="L3099" t="n">
        <v>0</v>
      </c>
      <c r="M3099" t="n">
        <v>0</v>
      </c>
      <c r="N3099" t="n">
        <v>0</v>
      </c>
      <c r="O3099" t="n">
        <v>0</v>
      </c>
      <c r="P3099" t="n">
        <v>0</v>
      </c>
      <c r="Q3099" t="n">
        <v>0</v>
      </c>
      <c r="R3099" s="2" t="inlineStr"/>
    </row>
    <row r="3100" ht="15" customHeight="1">
      <c r="A3100" t="inlineStr">
        <is>
          <t>A 43562-2019</t>
        </is>
      </c>
      <c r="B3100" s="1" t="n">
        <v>43706</v>
      </c>
      <c r="C3100" s="1" t="n">
        <v>45212</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43271-2019</t>
        </is>
      </c>
      <c r="B3101" s="1" t="n">
        <v>43706</v>
      </c>
      <c r="C3101" s="1" t="n">
        <v>45212</v>
      </c>
      <c r="D3101" t="inlineStr">
        <is>
          <t>VÄSTRA GÖTALANDS LÄN</t>
        </is>
      </c>
      <c r="E3101" t="inlineStr">
        <is>
          <t>MARK</t>
        </is>
      </c>
      <c r="G3101" t="n">
        <v>4.8</v>
      </c>
      <c r="H3101" t="n">
        <v>0</v>
      </c>
      <c r="I3101" t="n">
        <v>0</v>
      </c>
      <c r="J3101" t="n">
        <v>0</v>
      </c>
      <c r="K3101" t="n">
        <v>0</v>
      </c>
      <c r="L3101" t="n">
        <v>0</v>
      </c>
      <c r="M3101" t="n">
        <v>0</v>
      </c>
      <c r="N3101" t="n">
        <v>0</v>
      </c>
      <c r="O3101" t="n">
        <v>0</v>
      </c>
      <c r="P3101" t="n">
        <v>0</v>
      </c>
      <c r="Q3101" t="n">
        <v>0</v>
      </c>
      <c r="R3101" s="2" t="inlineStr"/>
    </row>
    <row r="3102" ht="15" customHeight="1">
      <c r="A3102" t="inlineStr">
        <is>
          <t>A 43385-2019</t>
        </is>
      </c>
      <c r="B3102" s="1" t="n">
        <v>43706</v>
      </c>
      <c r="C3102" s="1" t="n">
        <v>45212</v>
      </c>
      <c r="D3102" t="inlineStr">
        <is>
          <t>VÄSTRA GÖTALANDS LÄN</t>
        </is>
      </c>
      <c r="E3102" t="inlineStr">
        <is>
          <t>VARA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43278-2019</t>
        </is>
      </c>
      <c r="B3103" s="1" t="n">
        <v>43706</v>
      </c>
      <c r="C3103" s="1" t="n">
        <v>45212</v>
      </c>
      <c r="D3103" t="inlineStr">
        <is>
          <t>VÄSTRA GÖTALANDS LÄN</t>
        </is>
      </c>
      <c r="E3103" t="inlineStr">
        <is>
          <t>MARIESTAD</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43341-2019</t>
        </is>
      </c>
      <c r="B3104" s="1" t="n">
        <v>43706</v>
      </c>
      <c r="C3104" s="1" t="n">
        <v>45212</v>
      </c>
      <c r="D3104" t="inlineStr">
        <is>
          <t>VÄSTRA GÖTALANDS LÄN</t>
        </is>
      </c>
      <c r="E3104" t="inlineStr">
        <is>
          <t>MARIESTAD</t>
        </is>
      </c>
      <c r="F3104" t="inlineStr">
        <is>
          <t>Kyrkan</t>
        </is>
      </c>
      <c r="G3104" t="n">
        <v>1.8</v>
      </c>
      <c r="H3104" t="n">
        <v>0</v>
      </c>
      <c r="I3104" t="n">
        <v>0</v>
      </c>
      <c r="J3104" t="n">
        <v>0</v>
      </c>
      <c r="K3104" t="n">
        <v>0</v>
      </c>
      <c r="L3104" t="n">
        <v>0</v>
      </c>
      <c r="M3104" t="n">
        <v>0</v>
      </c>
      <c r="N3104" t="n">
        <v>0</v>
      </c>
      <c r="O3104" t="n">
        <v>0</v>
      </c>
      <c r="P3104" t="n">
        <v>0</v>
      </c>
      <c r="Q3104" t="n">
        <v>0</v>
      </c>
      <c r="R3104" s="2" t="inlineStr"/>
      <c r="U3104">
        <f>HYPERLINK("https://klasma.github.io/Logging_1493/knärot/A 43341-2019 knärot.png", "A 43341-2019")</f>
        <v/>
      </c>
      <c r="V3104">
        <f>HYPERLINK("https://klasma.github.io/Logging_1493/klagomål/A 43341-2019 klagomål.docx", "A 43341-2019")</f>
        <v/>
      </c>
      <c r="W3104">
        <f>HYPERLINK("https://klasma.github.io/Logging_1493/klagomålsmail/A 43341-2019 klagomålsmail.docx", "A 43341-2019")</f>
        <v/>
      </c>
      <c r="X3104">
        <f>HYPERLINK("https://klasma.github.io/Logging_1493/tillsyn/A 43341-2019 tillsyn.docx", "A 43341-2019")</f>
        <v/>
      </c>
      <c r="Y3104">
        <f>HYPERLINK("https://klasma.github.io/Logging_1493/tillsynsmail/A 43341-2019 tillsynsmail.docx", "A 43341-2019")</f>
        <v/>
      </c>
    </row>
    <row r="3105" ht="15" customHeight="1">
      <c r="A3105" t="inlineStr">
        <is>
          <t>A 43362-2019</t>
        </is>
      </c>
      <c r="B3105" s="1" t="n">
        <v>43706</v>
      </c>
      <c r="C3105" s="1" t="n">
        <v>45212</v>
      </c>
      <c r="D3105" t="inlineStr">
        <is>
          <t>VÄSTRA GÖTALANDS LÄN</t>
        </is>
      </c>
      <c r="E3105" t="inlineStr">
        <is>
          <t>HERRLJUNGA</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43381-2019</t>
        </is>
      </c>
      <c r="B3106" s="1" t="n">
        <v>43706</v>
      </c>
      <c r="C3106" s="1" t="n">
        <v>45212</v>
      </c>
      <c r="D3106" t="inlineStr">
        <is>
          <t>VÄSTRA GÖTALANDS LÄN</t>
        </is>
      </c>
      <c r="E3106" t="inlineStr">
        <is>
          <t>BORÅS</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43537-2019</t>
        </is>
      </c>
      <c r="B3107" s="1" t="n">
        <v>43706</v>
      </c>
      <c r="C3107" s="1" t="n">
        <v>45212</v>
      </c>
      <c r="D3107" t="inlineStr">
        <is>
          <t>VÄSTRA GÖTALANDS LÄN</t>
        </is>
      </c>
      <c r="E3107" t="inlineStr">
        <is>
          <t>GRÄSTORP</t>
        </is>
      </c>
      <c r="G3107" t="n">
        <v>2.6</v>
      </c>
      <c r="H3107" t="n">
        <v>0</v>
      </c>
      <c r="I3107" t="n">
        <v>0</v>
      </c>
      <c r="J3107" t="n">
        <v>0</v>
      </c>
      <c r="K3107" t="n">
        <v>0</v>
      </c>
      <c r="L3107" t="n">
        <v>0</v>
      </c>
      <c r="M3107" t="n">
        <v>0</v>
      </c>
      <c r="N3107" t="n">
        <v>0</v>
      </c>
      <c r="O3107" t="n">
        <v>0</v>
      </c>
      <c r="P3107" t="n">
        <v>0</v>
      </c>
      <c r="Q3107" t="n">
        <v>0</v>
      </c>
      <c r="R3107" s="2" t="inlineStr"/>
    </row>
    <row r="3108" ht="15" customHeight="1">
      <c r="A3108" t="inlineStr">
        <is>
          <t>A 43633-2019</t>
        </is>
      </c>
      <c r="B3108" s="1" t="n">
        <v>43707</v>
      </c>
      <c r="C3108" s="1" t="n">
        <v>45212</v>
      </c>
      <c r="D3108" t="inlineStr">
        <is>
          <t>VÄSTRA GÖTALANDS LÄN</t>
        </is>
      </c>
      <c r="E3108" t="inlineStr">
        <is>
          <t>BENGTSFORS</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43814-2019</t>
        </is>
      </c>
      <c r="B3109" s="1" t="n">
        <v>43707</v>
      </c>
      <c r="C3109" s="1" t="n">
        <v>45212</v>
      </c>
      <c r="D3109" t="inlineStr">
        <is>
          <t>VÄSTRA GÖTALANDS LÄN</t>
        </is>
      </c>
      <c r="E3109" t="inlineStr">
        <is>
          <t>ULRICEHAMN</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43843-2019</t>
        </is>
      </c>
      <c r="B3110" s="1" t="n">
        <v>43707</v>
      </c>
      <c r="C3110" s="1" t="n">
        <v>45212</v>
      </c>
      <c r="D3110" t="inlineStr">
        <is>
          <t>VÄSTRA GÖTALANDS LÄN</t>
        </is>
      </c>
      <c r="E3110" t="inlineStr">
        <is>
          <t>FALKÖPING</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43925-2019</t>
        </is>
      </c>
      <c r="B3111" s="1" t="n">
        <v>43707</v>
      </c>
      <c r="C3111" s="1" t="n">
        <v>45212</v>
      </c>
      <c r="D3111" t="inlineStr">
        <is>
          <t>VÄSTRA GÖTALANDS LÄN</t>
        </is>
      </c>
      <c r="E3111" t="inlineStr">
        <is>
          <t>FÄRGELANDA</t>
        </is>
      </c>
      <c r="G3111" t="n">
        <v>1.1</v>
      </c>
      <c r="H3111" t="n">
        <v>0</v>
      </c>
      <c r="I3111" t="n">
        <v>0</v>
      </c>
      <c r="J3111" t="n">
        <v>0</v>
      </c>
      <c r="K3111" t="n">
        <v>0</v>
      </c>
      <c r="L3111" t="n">
        <v>0</v>
      </c>
      <c r="M3111" t="n">
        <v>0</v>
      </c>
      <c r="N3111" t="n">
        <v>0</v>
      </c>
      <c r="O3111" t="n">
        <v>0</v>
      </c>
      <c r="P3111" t="n">
        <v>0</v>
      </c>
      <c r="Q3111" t="n">
        <v>0</v>
      </c>
      <c r="R3111" s="2" t="inlineStr"/>
    </row>
    <row r="3112" ht="15" customHeight="1">
      <c r="A3112" t="inlineStr">
        <is>
          <t>A 45003-2019</t>
        </is>
      </c>
      <c r="B3112" s="1" t="n">
        <v>43707</v>
      </c>
      <c r="C3112" s="1" t="n">
        <v>45212</v>
      </c>
      <c r="D3112" t="inlineStr">
        <is>
          <t>VÄSTRA GÖTALANDS LÄN</t>
        </is>
      </c>
      <c r="E3112" t="inlineStr">
        <is>
          <t>BENGTSFORS</t>
        </is>
      </c>
      <c r="F3112" t="inlineStr">
        <is>
          <t>Kyrkan</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43847-2019</t>
        </is>
      </c>
      <c r="B3113" s="1" t="n">
        <v>43707</v>
      </c>
      <c r="C3113" s="1" t="n">
        <v>45212</v>
      </c>
      <c r="D3113" t="inlineStr">
        <is>
          <t>VÄSTRA GÖTALANDS LÄN</t>
        </is>
      </c>
      <c r="E3113" t="inlineStr">
        <is>
          <t>DALS-ED</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44852-2019</t>
        </is>
      </c>
      <c r="B3114" s="1" t="n">
        <v>43707</v>
      </c>
      <c r="C3114" s="1" t="n">
        <v>45212</v>
      </c>
      <c r="D3114" t="inlineStr">
        <is>
          <t>VÄSTRA GÖTALANDS LÄN</t>
        </is>
      </c>
      <c r="E3114" t="inlineStr">
        <is>
          <t>VARA</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45008-2019</t>
        </is>
      </c>
      <c r="B3115" s="1" t="n">
        <v>43707</v>
      </c>
      <c r="C3115" s="1" t="n">
        <v>45212</v>
      </c>
      <c r="D3115" t="inlineStr">
        <is>
          <t>VÄSTRA GÖTALANDS LÄN</t>
        </is>
      </c>
      <c r="E3115" t="inlineStr">
        <is>
          <t>BENGTSFORS</t>
        </is>
      </c>
      <c r="F3115" t="inlineStr">
        <is>
          <t>Kyrkan</t>
        </is>
      </c>
      <c r="G3115" t="n">
        <v>3.7</v>
      </c>
      <c r="H3115" t="n">
        <v>0</v>
      </c>
      <c r="I3115" t="n">
        <v>0</v>
      </c>
      <c r="J3115" t="n">
        <v>0</v>
      </c>
      <c r="K3115" t="n">
        <v>0</v>
      </c>
      <c r="L3115" t="n">
        <v>0</v>
      </c>
      <c r="M3115" t="n">
        <v>0</v>
      </c>
      <c r="N3115" t="n">
        <v>0</v>
      </c>
      <c r="O3115" t="n">
        <v>0</v>
      </c>
      <c r="P3115" t="n">
        <v>0</v>
      </c>
      <c r="Q3115" t="n">
        <v>0</v>
      </c>
      <c r="R3115" s="2" t="inlineStr"/>
    </row>
    <row r="3116" ht="15" customHeight="1">
      <c r="A3116" t="inlineStr">
        <is>
          <t>A 43748-2019</t>
        </is>
      </c>
      <c r="B3116" s="1" t="n">
        <v>43707</v>
      </c>
      <c r="C3116" s="1" t="n">
        <v>45212</v>
      </c>
      <c r="D3116" t="inlineStr">
        <is>
          <t>VÄSTRA GÖTALANDS LÄN</t>
        </is>
      </c>
      <c r="E3116" t="inlineStr">
        <is>
          <t>SKARA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43962-2019</t>
        </is>
      </c>
      <c r="B3117" s="1" t="n">
        <v>43708</v>
      </c>
      <c r="C3117" s="1" t="n">
        <v>45212</v>
      </c>
      <c r="D3117" t="inlineStr">
        <is>
          <t>VÄSTRA GÖTALANDS LÄN</t>
        </is>
      </c>
      <c r="E3117" t="inlineStr">
        <is>
          <t>ULRICEHAMN</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43991-2019</t>
        </is>
      </c>
      <c r="B3118" s="1" t="n">
        <v>43709</v>
      </c>
      <c r="C3118" s="1" t="n">
        <v>45212</v>
      </c>
      <c r="D3118" t="inlineStr">
        <is>
          <t>VÄSTRA GÖTALANDS LÄN</t>
        </is>
      </c>
      <c r="E3118" t="inlineStr">
        <is>
          <t>BENGTSFORS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44008-2019</t>
        </is>
      </c>
      <c r="B3119" s="1" t="n">
        <v>43709</v>
      </c>
      <c r="C3119" s="1" t="n">
        <v>45212</v>
      </c>
      <c r="D3119" t="inlineStr">
        <is>
          <t>VÄSTRA GÖTALANDS LÄN</t>
        </is>
      </c>
      <c r="E3119" t="inlineStr">
        <is>
          <t>TIDAHOLM</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44129-2019</t>
        </is>
      </c>
      <c r="B3120" s="1" t="n">
        <v>43710</v>
      </c>
      <c r="C3120" s="1" t="n">
        <v>45212</v>
      </c>
      <c r="D3120" t="inlineStr">
        <is>
          <t>VÄSTRA GÖTALANDS LÄN</t>
        </is>
      </c>
      <c r="E3120" t="inlineStr">
        <is>
          <t>SKÖVDE</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45478-2019</t>
        </is>
      </c>
      <c r="B3121" s="1" t="n">
        <v>43710</v>
      </c>
      <c r="C3121" s="1" t="n">
        <v>45212</v>
      </c>
      <c r="D3121" t="inlineStr">
        <is>
          <t>VÄSTRA GÖTALANDS LÄN</t>
        </is>
      </c>
      <c r="E3121" t="inlineStr">
        <is>
          <t>TANUM</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45506-2019</t>
        </is>
      </c>
      <c r="B3122" s="1" t="n">
        <v>43710</v>
      </c>
      <c r="C3122" s="1" t="n">
        <v>45212</v>
      </c>
      <c r="D3122" t="inlineStr">
        <is>
          <t>VÄSTRA GÖTALANDS LÄN</t>
        </is>
      </c>
      <c r="E3122" t="inlineStr">
        <is>
          <t>TANUM</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44174-2019</t>
        </is>
      </c>
      <c r="B3123" s="1" t="n">
        <v>43710</v>
      </c>
      <c r="C3123" s="1" t="n">
        <v>45212</v>
      </c>
      <c r="D3123" t="inlineStr">
        <is>
          <t>VÄSTRA GÖTALANDS LÄN</t>
        </is>
      </c>
      <c r="E3123" t="inlineStr">
        <is>
          <t>BORÅS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44229-2019</t>
        </is>
      </c>
      <c r="B3124" s="1" t="n">
        <v>43710</v>
      </c>
      <c r="C3124" s="1" t="n">
        <v>45212</v>
      </c>
      <c r="D3124" t="inlineStr">
        <is>
          <t>VÄSTRA GÖTALANDS LÄN</t>
        </is>
      </c>
      <c r="E3124" t="inlineStr">
        <is>
          <t>TRANEMO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44242-2019</t>
        </is>
      </c>
      <c r="B3125" s="1" t="n">
        <v>43710</v>
      </c>
      <c r="C3125" s="1" t="n">
        <v>45212</v>
      </c>
      <c r="D3125" t="inlineStr">
        <is>
          <t>VÄSTRA GÖTALANDS LÄN</t>
        </is>
      </c>
      <c r="E3125" t="inlineStr">
        <is>
          <t>ULRICEHAMN</t>
        </is>
      </c>
      <c r="G3125" t="n">
        <v>8.4</v>
      </c>
      <c r="H3125" t="n">
        <v>0</v>
      </c>
      <c r="I3125" t="n">
        <v>0</v>
      </c>
      <c r="J3125" t="n">
        <v>0</v>
      </c>
      <c r="K3125" t="n">
        <v>0</v>
      </c>
      <c r="L3125" t="n">
        <v>0</v>
      </c>
      <c r="M3125" t="n">
        <v>0</v>
      </c>
      <c r="N3125" t="n">
        <v>0</v>
      </c>
      <c r="O3125" t="n">
        <v>0</v>
      </c>
      <c r="P3125" t="n">
        <v>0</v>
      </c>
      <c r="Q3125" t="n">
        <v>0</v>
      </c>
      <c r="R3125" s="2" t="inlineStr"/>
    </row>
    <row r="3126" ht="15" customHeight="1">
      <c r="A3126" t="inlineStr">
        <is>
          <t>A 45470-2019</t>
        </is>
      </c>
      <c r="B3126" s="1" t="n">
        <v>43710</v>
      </c>
      <c r="C3126" s="1" t="n">
        <v>45212</v>
      </c>
      <c r="D3126" t="inlineStr">
        <is>
          <t>VÄSTRA GÖTALANDS LÄN</t>
        </is>
      </c>
      <c r="E3126" t="inlineStr">
        <is>
          <t>TANUM</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45503-2019</t>
        </is>
      </c>
      <c r="B3127" s="1" t="n">
        <v>43710</v>
      </c>
      <c r="C3127" s="1" t="n">
        <v>45212</v>
      </c>
      <c r="D3127" t="inlineStr">
        <is>
          <t>VÄSTRA GÖTALANDS LÄN</t>
        </is>
      </c>
      <c r="E3127" t="inlineStr">
        <is>
          <t>TANUM</t>
        </is>
      </c>
      <c r="G3127" t="n">
        <v>3.1</v>
      </c>
      <c r="H3127" t="n">
        <v>0</v>
      </c>
      <c r="I3127" t="n">
        <v>0</v>
      </c>
      <c r="J3127" t="n">
        <v>0</v>
      </c>
      <c r="K3127" t="n">
        <v>0</v>
      </c>
      <c r="L3127" t="n">
        <v>0</v>
      </c>
      <c r="M3127" t="n">
        <v>0</v>
      </c>
      <c r="N3127" t="n">
        <v>0</v>
      </c>
      <c r="O3127" t="n">
        <v>0</v>
      </c>
      <c r="P3127" t="n">
        <v>0</v>
      </c>
      <c r="Q3127" t="n">
        <v>0</v>
      </c>
      <c r="R3127" s="2" t="inlineStr"/>
    </row>
    <row r="3128" ht="15" customHeight="1">
      <c r="A3128" t="inlineStr">
        <is>
          <t>A 44223-2019</t>
        </is>
      </c>
      <c r="B3128" s="1" t="n">
        <v>43710</v>
      </c>
      <c r="C3128" s="1" t="n">
        <v>45212</v>
      </c>
      <c r="D3128" t="inlineStr">
        <is>
          <t>VÄSTRA GÖTALANDS LÄN</t>
        </is>
      </c>
      <c r="E3128" t="inlineStr">
        <is>
          <t>BENGTSFORS</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44230-2019</t>
        </is>
      </c>
      <c r="B3129" s="1" t="n">
        <v>43710</v>
      </c>
      <c r="C3129" s="1" t="n">
        <v>45212</v>
      </c>
      <c r="D3129" t="inlineStr">
        <is>
          <t>VÄSTRA GÖTALANDS LÄN</t>
        </is>
      </c>
      <c r="E3129" t="inlineStr">
        <is>
          <t>TRANEMO</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44389-2019</t>
        </is>
      </c>
      <c r="B3130" s="1" t="n">
        <v>43711</v>
      </c>
      <c r="C3130" s="1" t="n">
        <v>45212</v>
      </c>
      <c r="D3130" t="inlineStr">
        <is>
          <t>VÄSTRA GÖTALANDS LÄN</t>
        </is>
      </c>
      <c r="E3130" t="inlineStr">
        <is>
          <t>ALINGSÅS</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44512-2019</t>
        </is>
      </c>
      <c r="B3131" s="1" t="n">
        <v>43711</v>
      </c>
      <c r="C3131" s="1" t="n">
        <v>45212</v>
      </c>
      <c r="D3131" t="inlineStr">
        <is>
          <t>VÄSTRA GÖTALANDS LÄN</t>
        </is>
      </c>
      <c r="E3131" t="inlineStr">
        <is>
          <t>MUNKEDAL</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45614-2019</t>
        </is>
      </c>
      <c r="B3132" s="1" t="n">
        <v>43711</v>
      </c>
      <c r="C3132" s="1" t="n">
        <v>45212</v>
      </c>
      <c r="D3132" t="inlineStr">
        <is>
          <t>VÄSTRA GÖTALANDS LÄN</t>
        </is>
      </c>
      <c r="E3132" t="inlineStr">
        <is>
          <t>BENGTSFORS</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44517-2019</t>
        </is>
      </c>
      <c r="B3133" s="1" t="n">
        <v>43711</v>
      </c>
      <c r="C3133" s="1" t="n">
        <v>45212</v>
      </c>
      <c r="D3133" t="inlineStr">
        <is>
          <t>VÄSTRA GÖTALANDS LÄN</t>
        </is>
      </c>
      <c r="E3133" t="inlineStr">
        <is>
          <t>MUNKEDAL</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44394-2019</t>
        </is>
      </c>
      <c r="B3134" s="1" t="n">
        <v>43711</v>
      </c>
      <c r="C3134" s="1" t="n">
        <v>45212</v>
      </c>
      <c r="D3134" t="inlineStr">
        <is>
          <t>VÄSTRA GÖTALANDS LÄN</t>
        </is>
      </c>
      <c r="E3134" t="inlineStr">
        <is>
          <t>FALKÖPING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44441-2019</t>
        </is>
      </c>
      <c r="B3135" s="1" t="n">
        <v>43711</v>
      </c>
      <c r="C3135" s="1" t="n">
        <v>45212</v>
      </c>
      <c r="D3135" t="inlineStr">
        <is>
          <t>VÄSTRA GÖTALANDS LÄN</t>
        </is>
      </c>
      <c r="E3135" t="inlineStr">
        <is>
          <t>LIDKÖPING</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44582-2019</t>
        </is>
      </c>
      <c r="B3136" s="1" t="n">
        <v>43711</v>
      </c>
      <c r="C3136" s="1" t="n">
        <v>45212</v>
      </c>
      <c r="D3136" t="inlineStr">
        <is>
          <t>VÄSTRA GÖTALANDS LÄN</t>
        </is>
      </c>
      <c r="E3136" t="inlineStr">
        <is>
          <t>GRÄSTORP</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44788-2019</t>
        </is>
      </c>
      <c r="B3137" s="1" t="n">
        <v>43712</v>
      </c>
      <c r="C3137" s="1" t="n">
        <v>45212</v>
      </c>
      <c r="D3137" t="inlineStr">
        <is>
          <t>VÄSTRA GÖTALANDS LÄN</t>
        </is>
      </c>
      <c r="E3137" t="inlineStr">
        <is>
          <t>GÖTENE</t>
        </is>
      </c>
      <c r="F3137" t="inlineStr">
        <is>
          <t>Övriga Aktiebolag</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44618-2019</t>
        </is>
      </c>
      <c r="B3138" s="1" t="n">
        <v>43712</v>
      </c>
      <c r="C3138" s="1" t="n">
        <v>45212</v>
      </c>
      <c r="D3138" t="inlineStr">
        <is>
          <t>VÄSTRA GÖTALANDS LÄN</t>
        </is>
      </c>
      <c r="E3138" t="inlineStr">
        <is>
          <t>VARA</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44795-2019</t>
        </is>
      </c>
      <c r="B3139" s="1" t="n">
        <v>43712</v>
      </c>
      <c r="C3139" s="1" t="n">
        <v>45212</v>
      </c>
      <c r="D3139" t="inlineStr">
        <is>
          <t>VÄSTRA GÖTALANDS LÄN</t>
        </is>
      </c>
      <c r="E3139" t="inlineStr">
        <is>
          <t>SKARA</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44748-2019</t>
        </is>
      </c>
      <c r="B3140" s="1" t="n">
        <v>43712</v>
      </c>
      <c r="C3140" s="1" t="n">
        <v>45212</v>
      </c>
      <c r="D3140" t="inlineStr">
        <is>
          <t>VÄSTRA GÖTALANDS LÄN</t>
        </is>
      </c>
      <c r="E3140" t="inlineStr">
        <is>
          <t>MARIESTAD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44793-2019</t>
        </is>
      </c>
      <c r="B3141" s="1" t="n">
        <v>43712</v>
      </c>
      <c r="C3141" s="1" t="n">
        <v>45212</v>
      </c>
      <c r="D3141" t="inlineStr">
        <is>
          <t>VÄSTRA GÖTALANDS LÄN</t>
        </is>
      </c>
      <c r="E3141" t="inlineStr">
        <is>
          <t>SKARA</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45958-2019</t>
        </is>
      </c>
      <c r="B3142" s="1" t="n">
        <v>43712</v>
      </c>
      <c r="C3142" s="1" t="n">
        <v>45212</v>
      </c>
      <c r="D3142" t="inlineStr">
        <is>
          <t>VÄSTRA GÖTALANDS LÄN</t>
        </is>
      </c>
      <c r="E3142" t="inlineStr">
        <is>
          <t>BENGTSFORS</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44799-2019</t>
        </is>
      </c>
      <c r="B3143" s="1" t="n">
        <v>43712</v>
      </c>
      <c r="C3143" s="1" t="n">
        <v>45212</v>
      </c>
      <c r="D3143" t="inlineStr">
        <is>
          <t>VÄSTRA GÖTALANDS LÄN</t>
        </is>
      </c>
      <c r="E3143" t="inlineStr">
        <is>
          <t>SKARA</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45875-2019</t>
        </is>
      </c>
      <c r="B3144" s="1" t="n">
        <v>43712</v>
      </c>
      <c r="C3144" s="1" t="n">
        <v>45212</v>
      </c>
      <c r="D3144" t="inlineStr">
        <is>
          <t>VÄSTRA GÖTALANDS LÄN</t>
        </is>
      </c>
      <c r="E3144" t="inlineStr">
        <is>
          <t>BENGTSFORS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45177-2019</t>
        </is>
      </c>
      <c r="B3145" s="1" t="n">
        <v>43713</v>
      </c>
      <c r="C3145" s="1" t="n">
        <v>45212</v>
      </c>
      <c r="D3145" t="inlineStr">
        <is>
          <t>VÄSTRA GÖTALANDS LÄN</t>
        </is>
      </c>
      <c r="E3145" t="inlineStr">
        <is>
          <t>MARIESTAD</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46049-2019</t>
        </is>
      </c>
      <c r="B3146" s="1" t="n">
        <v>43713</v>
      </c>
      <c r="C3146" s="1" t="n">
        <v>45212</v>
      </c>
      <c r="D3146" t="inlineStr">
        <is>
          <t>VÄSTRA GÖTALANDS LÄN</t>
        </is>
      </c>
      <c r="E3146" t="inlineStr">
        <is>
          <t>BENGTSFORS</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44915-2019</t>
        </is>
      </c>
      <c r="B3147" s="1" t="n">
        <v>43713</v>
      </c>
      <c r="C3147" s="1" t="n">
        <v>45212</v>
      </c>
      <c r="D3147" t="inlineStr">
        <is>
          <t>VÄSTRA GÖTALANDS LÄN</t>
        </is>
      </c>
      <c r="E3147" t="inlineStr">
        <is>
          <t>VARA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45193-2019</t>
        </is>
      </c>
      <c r="B3148" s="1" t="n">
        <v>43713</v>
      </c>
      <c r="C3148" s="1" t="n">
        <v>45212</v>
      </c>
      <c r="D3148" t="inlineStr">
        <is>
          <t>VÄSTRA GÖTALANDS LÄN</t>
        </is>
      </c>
      <c r="E3148" t="inlineStr">
        <is>
          <t>ÅMÅL</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46400-2019</t>
        </is>
      </c>
      <c r="B3149" s="1" t="n">
        <v>43714</v>
      </c>
      <c r="C3149" s="1" t="n">
        <v>45212</v>
      </c>
      <c r="D3149" t="inlineStr">
        <is>
          <t>VÄSTRA GÖTALANDS LÄN</t>
        </is>
      </c>
      <c r="E3149" t="inlineStr">
        <is>
          <t>TRANEMO</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46402-2019</t>
        </is>
      </c>
      <c r="B3150" s="1" t="n">
        <v>43714</v>
      </c>
      <c r="C3150" s="1" t="n">
        <v>45212</v>
      </c>
      <c r="D3150" t="inlineStr">
        <is>
          <t>VÄSTRA GÖTALANDS LÄN</t>
        </is>
      </c>
      <c r="E3150" t="inlineStr">
        <is>
          <t>LYSEKIL</t>
        </is>
      </c>
      <c r="G3150" t="n">
        <v>5</v>
      </c>
      <c r="H3150" t="n">
        <v>0</v>
      </c>
      <c r="I3150" t="n">
        <v>0</v>
      </c>
      <c r="J3150" t="n">
        <v>0</v>
      </c>
      <c r="K3150" t="n">
        <v>0</v>
      </c>
      <c r="L3150" t="n">
        <v>0</v>
      </c>
      <c r="M3150" t="n">
        <v>0</v>
      </c>
      <c r="N3150" t="n">
        <v>0</v>
      </c>
      <c r="O3150" t="n">
        <v>0</v>
      </c>
      <c r="P3150" t="n">
        <v>0</v>
      </c>
      <c r="Q3150" t="n">
        <v>0</v>
      </c>
      <c r="R3150" s="2" t="inlineStr"/>
    </row>
    <row r="3151" ht="15" customHeight="1">
      <c r="A3151" t="inlineStr">
        <is>
          <t>A 45366-2019</t>
        </is>
      </c>
      <c r="B3151" s="1" t="n">
        <v>43714</v>
      </c>
      <c r="C3151" s="1" t="n">
        <v>45212</v>
      </c>
      <c r="D3151" t="inlineStr">
        <is>
          <t>VÄSTRA GÖTALANDS LÄN</t>
        </is>
      </c>
      <c r="E3151" t="inlineStr">
        <is>
          <t>KARLSBORG</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45410-2019</t>
        </is>
      </c>
      <c r="B3152" s="1" t="n">
        <v>43714</v>
      </c>
      <c r="C3152" s="1" t="n">
        <v>45212</v>
      </c>
      <c r="D3152" t="inlineStr">
        <is>
          <t>VÄSTRA GÖTALANDS LÄN</t>
        </is>
      </c>
      <c r="E3152" t="inlineStr">
        <is>
          <t>HERRLJUNGA</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45471-2019</t>
        </is>
      </c>
      <c r="B3153" s="1" t="n">
        <v>43714</v>
      </c>
      <c r="C3153" s="1" t="n">
        <v>45212</v>
      </c>
      <c r="D3153" t="inlineStr">
        <is>
          <t>VÄSTRA GÖTALANDS LÄN</t>
        </is>
      </c>
      <c r="E3153" t="inlineStr">
        <is>
          <t>TIDAHOLM</t>
        </is>
      </c>
      <c r="G3153" t="n">
        <v>5.9</v>
      </c>
      <c r="H3153" t="n">
        <v>0</v>
      </c>
      <c r="I3153" t="n">
        <v>0</v>
      </c>
      <c r="J3153" t="n">
        <v>0</v>
      </c>
      <c r="K3153" t="n">
        <v>0</v>
      </c>
      <c r="L3153" t="n">
        <v>0</v>
      </c>
      <c r="M3153" t="n">
        <v>0</v>
      </c>
      <c r="N3153" t="n">
        <v>0</v>
      </c>
      <c r="O3153" t="n">
        <v>0</v>
      </c>
      <c r="P3153" t="n">
        <v>0</v>
      </c>
      <c r="Q3153" t="n">
        <v>0</v>
      </c>
      <c r="R3153" s="2" t="inlineStr"/>
    </row>
    <row r="3154" ht="15" customHeight="1">
      <c r="A3154" t="inlineStr">
        <is>
          <t>A 46397-2019</t>
        </is>
      </c>
      <c r="B3154" s="1" t="n">
        <v>43714</v>
      </c>
      <c r="C3154" s="1" t="n">
        <v>45212</v>
      </c>
      <c r="D3154" t="inlineStr">
        <is>
          <t>VÄSTRA GÖTALANDS LÄN</t>
        </is>
      </c>
      <c r="E3154" t="inlineStr">
        <is>
          <t>TRANEMO</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46420-2019</t>
        </is>
      </c>
      <c r="B3155" s="1" t="n">
        <v>43716</v>
      </c>
      <c r="C3155" s="1" t="n">
        <v>45212</v>
      </c>
      <c r="D3155" t="inlineStr">
        <is>
          <t>VÄSTRA GÖTALANDS LÄN</t>
        </is>
      </c>
      <c r="E3155" t="inlineStr">
        <is>
          <t>TANUM</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45622-2019</t>
        </is>
      </c>
      <c r="B3156" s="1" t="n">
        <v>43717</v>
      </c>
      <c r="C3156" s="1" t="n">
        <v>45212</v>
      </c>
      <c r="D3156" t="inlineStr">
        <is>
          <t>VÄSTRA GÖTALANDS LÄN</t>
        </is>
      </c>
      <c r="E3156" t="inlineStr">
        <is>
          <t>BORÅS</t>
        </is>
      </c>
      <c r="F3156" t="inlineStr">
        <is>
          <t>Sveaskog</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45696-2019</t>
        </is>
      </c>
      <c r="B3157" s="1" t="n">
        <v>43717</v>
      </c>
      <c r="C3157" s="1" t="n">
        <v>45212</v>
      </c>
      <c r="D3157" t="inlineStr">
        <is>
          <t>VÄSTRA GÖTALANDS LÄN</t>
        </is>
      </c>
      <c r="E3157" t="inlineStr">
        <is>
          <t>SKARA</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45710-2019</t>
        </is>
      </c>
      <c r="B3158" s="1" t="n">
        <v>43717</v>
      </c>
      <c r="C3158" s="1" t="n">
        <v>45212</v>
      </c>
      <c r="D3158" t="inlineStr">
        <is>
          <t>VÄSTRA GÖTALANDS LÄN</t>
        </is>
      </c>
      <c r="E3158" t="inlineStr">
        <is>
          <t>MARIESTAD</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45705-2019</t>
        </is>
      </c>
      <c r="B3159" s="1" t="n">
        <v>43717</v>
      </c>
      <c r="C3159" s="1" t="n">
        <v>45212</v>
      </c>
      <c r="D3159" t="inlineStr">
        <is>
          <t>VÄSTRA GÖTALANDS LÄN</t>
        </is>
      </c>
      <c r="E3159" t="inlineStr">
        <is>
          <t>SKARA</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45712-2019</t>
        </is>
      </c>
      <c r="B3160" s="1" t="n">
        <v>43717</v>
      </c>
      <c r="C3160" s="1" t="n">
        <v>45212</v>
      </c>
      <c r="D3160" t="inlineStr">
        <is>
          <t>VÄSTRA GÖTALANDS LÄN</t>
        </is>
      </c>
      <c r="E3160" t="inlineStr">
        <is>
          <t>SKARA</t>
        </is>
      </c>
      <c r="G3160" t="n">
        <v>18.1</v>
      </c>
      <c r="H3160" t="n">
        <v>0</v>
      </c>
      <c r="I3160" t="n">
        <v>0</v>
      </c>
      <c r="J3160" t="n">
        <v>0</v>
      </c>
      <c r="K3160" t="n">
        <v>0</v>
      </c>
      <c r="L3160" t="n">
        <v>0</v>
      </c>
      <c r="M3160" t="n">
        <v>0</v>
      </c>
      <c r="N3160" t="n">
        <v>0</v>
      </c>
      <c r="O3160" t="n">
        <v>0</v>
      </c>
      <c r="P3160" t="n">
        <v>0</v>
      </c>
      <c r="Q3160" t="n">
        <v>0</v>
      </c>
      <c r="R3160" s="2" t="inlineStr"/>
    </row>
    <row r="3161" ht="15" customHeight="1">
      <c r="A3161" t="inlineStr">
        <is>
          <t>A 45742-2019</t>
        </is>
      </c>
      <c r="B3161" s="1" t="n">
        <v>43717</v>
      </c>
      <c r="C3161" s="1" t="n">
        <v>45212</v>
      </c>
      <c r="D3161" t="inlineStr">
        <is>
          <t>VÄSTRA GÖTALANDS LÄN</t>
        </is>
      </c>
      <c r="E3161" t="inlineStr">
        <is>
          <t>SKARA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45751-2019</t>
        </is>
      </c>
      <c r="B3162" s="1" t="n">
        <v>43717</v>
      </c>
      <c r="C3162" s="1" t="n">
        <v>45212</v>
      </c>
      <c r="D3162" t="inlineStr">
        <is>
          <t>VÄSTRA GÖTALANDS LÄN</t>
        </is>
      </c>
      <c r="E3162" t="inlineStr">
        <is>
          <t>SKARA</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45842-2019</t>
        </is>
      </c>
      <c r="B3163" s="1" t="n">
        <v>43717</v>
      </c>
      <c r="C3163" s="1" t="n">
        <v>45212</v>
      </c>
      <c r="D3163" t="inlineStr">
        <is>
          <t>VÄSTRA GÖTALANDS LÄN</t>
        </is>
      </c>
      <c r="E3163" t="inlineStr">
        <is>
          <t>BENGTSFORS</t>
        </is>
      </c>
      <c r="G3163" t="n">
        <v>5.1</v>
      </c>
      <c r="H3163" t="n">
        <v>0</v>
      </c>
      <c r="I3163" t="n">
        <v>0</v>
      </c>
      <c r="J3163" t="n">
        <v>0</v>
      </c>
      <c r="K3163" t="n">
        <v>0</v>
      </c>
      <c r="L3163" t="n">
        <v>0</v>
      </c>
      <c r="M3163" t="n">
        <v>0</v>
      </c>
      <c r="N3163" t="n">
        <v>0</v>
      </c>
      <c r="O3163" t="n">
        <v>0</v>
      </c>
      <c r="P3163" t="n">
        <v>0</v>
      </c>
      <c r="Q3163" t="n">
        <v>0</v>
      </c>
      <c r="R3163" s="2" t="inlineStr"/>
    </row>
    <row r="3164" ht="15" customHeight="1">
      <c r="A3164" t="inlineStr">
        <is>
          <t>A 45619-2019</t>
        </is>
      </c>
      <c r="B3164" s="1" t="n">
        <v>43717</v>
      </c>
      <c r="C3164" s="1" t="n">
        <v>45212</v>
      </c>
      <c r="D3164" t="inlineStr">
        <is>
          <t>VÄSTRA GÖTALANDS LÄN</t>
        </is>
      </c>
      <c r="E3164" t="inlineStr">
        <is>
          <t>BORÅS</t>
        </is>
      </c>
      <c r="F3164" t="inlineStr">
        <is>
          <t>Sveaskog</t>
        </is>
      </c>
      <c r="G3164" t="n">
        <v>7</v>
      </c>
      <c r="H3164" t="n">
        <v>0</v>
      </c>
      <c r="I3164" t="n">
        <v>0</v>
      </c>
      <c r="J3164" t="n">
        <v>0</v>
      </c>
      <c r="K3164" t="n">
        <v>0</v>
      </c>
      <c r="L3164" t="n">
        <v>0</v>
      </c>
      <c r="M3164" t="n">
        <v>0</v>
      </c>
      <c r="N3164" t="n">
        <v>0</v>
      </c>
      <c r="O3164" t="n">
        <v>0</v>
      </c>
      <c r="P3164" t="n">
        <v>0</v>
      </c>
      <c r="Q3164" t="n">
        <v>0</v>
      </c>
      <c r="R3164" s="2" t="inlineStr"/>
    </row>
    <row r="3165" ht="15" customHeight="1">
      <c r="A3165" t="inlineStr">
        <is>
          <t>A 45670-2019</t>
        </is>
      </c>
      <c r="B3165" s="1" t="n">
        <v>43717</v>
      </c>
      <c r="C3165" s="1" t="n">
        <v>45212</v>
      </c>
      <c r="D3165" t="inlineStr">
        <is>
          <t>VÄSTRA GÖTALANDS LÄN</t>
        </is>
      </c>
      <c r="E3165" t="inlineStr">
        <is>
          <t>SKARA</t>
        </is>
      </c>
      <c r="F3165" t="inlineStr">
        <is>
          <t>Sveaskog</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45804-2019</t>
        </is>
      </c>
      <c r="B3166" s="1" t="n">
        <v>43717</v>
      </c>
      <c r="C3166" s="1" t="n">
        <v>45212</v>
      </c>
      <c r="D3166" t="inlineStr">
        <is>
          <t>VÄSTRA GÖTALANDS LÄN</t>
        </is>
      </c>
      <c r="E3166" t="inlineStr">
        <is>
          <t>SKARA</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45700-2019</t>
        </is>
      </c>
      <c r="B3167" s="1" t="n">
        <v>43717</v>
      </c>
      <c r="C3167" s="1" t="n">
        <v>45212</v>
      </c>
      <c r="D3167" t="inlineStr">
        <is>
          <t>VÄSTRA GÖTALANDS LÄN</t>
        </is>
      </c>
      <c r="E3167" t="inlineStr">
        <is>
          <t>SKARA</t>
        </is>
      </c>
      <c r="G3167" t="n">
        <v>16.8</v>
      </c>
      <c r="H3167" t="n">
        <v>0</v>
      </c>
      <c r="I3167" t="n">
        <v>0</v>
      </c>
      <c r="J3167" t="n">
        <v>0</v>
      </c>
      <c r="K3167" t="n">
        <v>0</v>
      </c>
      <c r="L3167" t="n">
        <v>0</v>
      </c>
      <c r="M3167" t="n">
        <v>0</v>
      </c>
      <c r="N3167" t="n">
        <v>0</v>
      </c>
      <c r="O3167" t="n">
        <v>0</v>
      </c>
      <c r="P3167" t="n">
        <v>0</v>
      </c>
      <c r="Q3167" t="n">
        <v>0</v>
      </c>
      <c r="R3167" s="2" t="inlineStr"/>
    </row>
    <row r="3168" ht="15" customHeight="1">
      <c r="A3168" t="inlineStr">
        <is>
          <t>A 45744-2019</t>
        </is>
      </c>
      <c r="B3168" s="1" t="n">
        <v>43717</v>
      </c>
      <c r="C3168" s="1" t="n">
        <v>45212</v>
      </c>
      <c r="D3168" t="inlineStr">
        <is>
          <t>VÄSTRA GÖTALANDS LÄN</t>
        </is>
      </c>
      <c r="E3168" t="inlineStr">
        <is>
          <t>SKARA</t>
        </is>
      </c>
      <c r="G3168" t="n">
        <v>10.6</v>
      </c>
      <c r="H3168" t="n">
        <v>0</v>
      </c>
      <c r="I3168" t="n">
        <v>0</v>
      </c>
      <c r="J3168" t="n">
        <v>0</v>
      </c>
      <c r="K3168" t="n">
        <v>0</v>
      </c>
      <c r="L3168" t="n">
        <v>0</v>
      </c>
      <c r="M3168" t="n">
        <v>0</v>
      </c>
      <c r="N3168" t="n">
        <v>0</v>
      </c>
      <c r="O3168" t="n">
        <v>0</v>
      </c>
      <c r="P3168" t="n">
        <v>0</v>
      </c>
      <c r="Q3168" t="n">
        <v>0</v>
      </c>
      <c r="R3168" s="2" t="inlineStr"/>
    </row>
    <row r="3169" ht="15" customHeight="1">
      <c r="A3169" t="inlineStr">
        <is>
          <t>A 45800-2019</t>
        </is>
      </c>
      <c r="B3169" s="1" t="n">
        <v>43717</v>
      </c>
      <c r="C3169" s="1" t="n">
        <v>45212</v>
      </c>
      <c r="D3169" t="inlineStr">
        <is>
          <t>VÄSTRA GÖTALANDS LÄN</t>
        </is>
      </c>
      <c r="E3169" t="inlineStr">
        <is>
          <t>SKARA</t>
        </is>
      </c>
      <c r="G3169" t="n">
        <v>6.2</v>
      </c>
      <c r="H3169" t="n">
        <v>0</v>
      </c>
      <c r="I3169" t="n">
        <v>0</v>
      </c>
      <c r="J3169" t="n">
        <v>0</v>
      </c>
      <c r="K3169" t="n">
        <v>0</v>
      </c>
      <c r="L3169" t="n">
        <v>0</v>
      </c>
      <c r="M3169" t="n">
        <v>0</v>
      </c>
      <c r="N3169" t="n">
        <v>0</v>
      </c>
      <c r="O3169" t="n">
        <v>0</v>
      </c>
      <c r="P3169" t="n">
        <v>0</v>
      </c>
      <c r="Q3169" t="n">
        <v>0</v>
      </c>
      <c r="R3169" s="2" t="inlineStr"/>
    </row>
    <row r="3170" ht="15" customHeight="1">
      <c r="A3170" t="inlineStr">
        <is>
          <t>A 45823-2019</t>
        </is>
      </c>
      <c r="B3170" s="1" t="n">
        <v>43717</v>
      </c>
      <c r="C3170" s="1" t="n">
        <v>45212</v>
      </c>
      <c r="D3170" t="inlineStr">
        <is>
          <t>VÄSTRA GÖTALANDS LÄN</t>
        </is>
      </c>
      <c r="E3170" t="inlineStr">
        <is>
          <t>UDDEVALLA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46814-2019</t>
        </is>
      </c>
      <c r="B3171" s="1" t="n">
        <v>43718</v>
      </c>
      <c r="C3171" s="1" t="n">
        <v>45212</v>
      </c>
      <c r="D3171" t="inlineStr">
        <is>
          <t>VÄSTRA GÖTALANDS LÄN</t>
        </is>
      </c>
      <c r="E3171" t="inlineStr">
        <is>
          <t>HERRLJUNGA</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46051-2019</t>
        </is>
      </c>
      <c r="B3172" s="1" t="n">
        <v>43718</v>
      </c>
      <c r="C3172" s="1" t="n">
        <v>45212</v>
      </c>
      <c r="D3172" t="inlineStr">
        <is>
          <t>VÄSTRA GÖTALANDS LÄN</t>
        </is>
      </c>
      <c r="E3172" t="inlineStr">
        <is>
          <t>MÖLNDAL</t>
        </is>
      </c>
      <c r="F3172" t="inlineStr">
        <is>
          <t>Kyrkan</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46821-2019</t>
        </is>
      </c>
      <c r="B3173" s="1" t="n">
        <v>43718</v>
      </c>
      <c r="C3173" s="1" t="n">
        <v>45212</v>
      </c>
      <c r="D3173" t="inlineStr">
        <is>
          <t>VÄSTRA GÖTALANDS LÄN</t>
        </is>
      </c>
      <c r="E3173" t="inlineStr">
        <is>
          <t>HERRLJUNGA</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46180-2019</t>
        </is>
      </c>
      <c r="B3174" s="1" t="n">
        <v>43718</v>
      </c>
      <c r="C3174" s="1" t="n">
        <v>45212</v>
      </c>
      <c r="D3174" t="inlineStr">
        <is>
          <t>VÄSTRA GÖTALANDS LÄN</t>
        </is>
      </c>
      <c r="E3174" t="inlineStr">
        <is>
          <t>HERRLJUNGA</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46753-2019</t>
        </is>
      </c>
      <c r="B3175" s="1" t="n">
        <v>43718</v>
      </c>
      <c r="C3175" s="1" t="n">
        <v>45212</v>
      </c>
      <c r="D3175" t="inlineStr">
        <is>
          <t>VÄSTRA GÖTALANDS LÄN</t>
        </is>
      </c>
      <c r="E3175" t="inlineStr">
        <is>
          <t>GULLSPÅNG</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46516-2019</t>
        </is>
      </c>
      <c r="B3176" s="1" t="n">
        <v>43719</v>
      </c>
      <c r="C3176" s="1" t="n">
        <v>45212</v>
      </c>
      <c r="D3176" t="inlineStr">
        <is>
          <t>VÄSTRA GÖTALANDS LÄN</t>
        </is>
      </c>
      <c r="E3176" t="inlineStr">
        <is>
          <t>HJO</t>
        </is>
      </c>
      <c r="G3176" t="n">
        <v>3.5</v>
      </c>
      <c r="H3176" t="n">
        <v>0</v>
      </c>
      <c r="I3176" t="n">
        <v>0</v>
      </c>
      <c r="J3176" t="n">
        <v>0</v>
      </c>
      <c r="K3176" t="n">
        <v>0</v>
      </c>
      <c r="L3176" t="n">
        <v>0</v>
      </c>
      <c r="M3176" t="n">
        <v>0</v>
      </c>
      <c r="N3176" t="n">
        <v>0</v>
      </c>
      <c r="O3176" t="n">
        <v>0</v>
      </c>
      <c r="P3176" t="n">
        <v>0</v>
      </c>
      <c r="Q3176" t="n">
        <v>0</v>
      </c>
      <c r="R3176" s="2" t="inlineStr"/>
    </row>
    <row r="3177" ht="15" customHeight="1">
      <c r="A3177" t="inlineStr">
        <is>
          <t>A 46585-2019</t>
        </is>
      </c>
      <c r="B3177" s="1" t="n">
        <v>43719</v>
      </c>
      <c r="C3177" s="1" t="n">
        <v>45212</v>
      </c>
      <c r="D3177" t="inlineStr">
        <is>
          <t>VÄSTRA GÖTALANDS LÄN</t>
        </is>
      </c>
      <c r="E3177" t="inlineStr">
        <is>
          <t>ÅMÅL</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46644-2019</t>
        </is>
      </c>
      <c r="B3178" s="1" t="n">
        <v>43719</v>
      </c>
      <c r="C3178" s="1" t="n">
        <v>45212</v>
      </c>
      <c r="D3178" t="inlineStr">
        <is>
          <t>VÄSTRA GÖTALANDS LÄN</t>
        </is>
      </c>
      <c r="E3178" t="inlineStr">
        <is>
          <t>TRANEMO</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46495-2019</t>
        </is>
      </c>
      <c r="B3179" s="1" t="n">
        <v>43719</v>
      </c>
      <c r="C3179" s="1" t="n">
        <v>45212</v>
      </c>
      <c r="D3179" t="inlineStr">
        <is>
          <t>VÄSTRA GÖTALANDS LÄN</t>
        </is>
      </c>
      <c r="E3179" t="inlineStr">
        <is>
          <t>HERRLJUNGA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46569-2019</t>
        </is>
      </c>
      <c r="B3180" s="1" t="n">
        <v>43719</v>
      </c>
      <c r="C3180" s="1" t="n">
        <v>45212</v>
      </c>
      <c r="D3180" t="inlineStr">
        <is>
          <t>VÄSTRA GÖTALANDS LÄN</t>
        </is>
      </c>
      <c r="E3180" t="inlineStr">
        <is>
          <t>ÅMÅL</t>
        </is>
      </c>
      <c r="G3180" t="n">
        <v>3.5</v>
      </c>
      <c r="H3180" t="n">
        <v>0</v>
      </c>
      <c r="I3180" t="n">
        <v>0</v>
      </c>
      <c r="J3180" t="n">
        <v>0</v>
      </c>
      <c r="K3180" t="n">
        <v>0</v>
      </c>
      <c r="L3180" t="n">
        <v>0</v>
      </c>
      <c r="M3180" t="n">
        <v>0</v>
      </c>
      <c r="N3180" t="n">
        <v>0</v>
      </c>
      <c r="O3180" t="n">
        <v>0</v>
      </c>
      <c r="P3180" t="n">
        <v>0</v>
      </c>
      <c r="Q3180" t="n">
        <v>0</v>
      </c>
      <c r="R3180" s="2" t="inlineStr"/>
    </row>
    <row r="3181" ht="15" customHeight="1">
      <c r="A3181" t="inlineStr">
        <is>
          <t>A 46565-2019</t>
        </is>
      </c>
      <c r="B3181" s="1" t="n">
        <v>43719</v>
      </c>
      <c r="C3181" s="1" t="n">
        <v>45212</v>
      </c>
      <c r="D3181" t="inlineStr">
        <is>
          <t>VÄSTRA GÖTALANDS LÄN</t>
        </is>
      </c>
      <c r="E3181" t="inlineStr">
        <is>
          <t>HJO</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46581-2019</t>
        </is>
      </c>
      <c r="B3182" s="1" t="n">
        <v>43719</v>
      </c>
      <c r="C3182" s="1" t="n">
        <v>45212</v>
      </c>
      <c r="D3182" t="inlineStr">
        <is>
          <t>VÄSTRA GÖTALANDS LÄN</t>
        </is>
      </c>
      <c r="E3182" t="inlineStr">
        <is>
          <t>GULLSPÅNG</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46600-2019</t>
        </is>
      </c>
      <c r="B3183" s="1" t="n">
        <v>43719</v>
      </c>
      <c r="C3183" s="1" t="n">
        <v>45212</v>
      </c>
      <c r="D3183" t="inlineStr">
        <is>
          <t>VÄSTRA GÖTALANDS LÄN</t>
        </is>
      </c>
      <c r="E3183" t="inlineStr">
        <is>
          <t>MELLERUD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46717-2019</t>
        </is>
      </c>
      <c r="B3184" s="1" t="n">
        <v>43719</v>
      </c>
      <c r="C3184" s="1" t="n">
        <v>45212</v>
      </c>
      <c r="D3184" t="inlineStr">
        <is>
          <t>VÄSTRA GÖTALANDS LÄN</t>
        </is>
      </c>
      <c r="E3184" t="inlineStr">
        <is>
          <t>VÅRGÅRDA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46969-2019</t>
        </is>
      </c>
      <c r="B3185" s="1" t="n">
        <v>43720</v>
      </c>
      <c r="C3185" s="1" t="n">
        <v>45212</v>
      </c>
      <c r="D3185" t="inlineStr">
        <is>
          <t>VÄSTRA GÖTALANDS LÄN</t>
        </is>
      </c>
      <c r="E3185" t="inlineStr">
        <is>
          <t>DALS-ED</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47014-2019</t>
        </is>
      </c>
      <c r="B3186" s="1" t="n">
        <v>43720</v>
      </c>
      <c r="C3186" s="1" t="n">
        <v>45212</v>
      </c>
      <c r="D3186" t="inlineStr">
        <is>
          <t>VÄSTRA GÖTALANDS LÄN</t>
        </is>
      </c>
      <c r="E3186" t="inlineStr">
        <is>
          <t>TÖREBODA</t>
        </is>
      </c>
      <c r="G3186" t="n">
        <v>4.3</v>
      </c>
      <c r="H3186" t="n">
        <v>0</v>
      </c>
      <c r="I3186" t="n">
        <v>0</v>
      </c>
      <c r="J3186" t="n">
        <v>0</v>
      </c>
      <c r="K3186" t="n">
        <v>0</v>
      </c>
      <c r="L3186" t="n">
        <v>0</v>
      </c>
      <c r="M3186" t="n">
        <v>0</v>
      </c>
      <c r="N3186" t="n">
        <v>0</v>
      </c>
      <c r="O3186" t="n">
        <v>0</v>
      </c>
      <c r="P3186" t="n">
        <v>0</v>
      </c>
      <c r="Q3186" t="n">
        <v>0</v>
      </c>
      <c r="R3186" s="2" t="inlineStr"/>
    </row>
    <row r="3187" ht="15" customHeight="1">
      <c r="A3187" t="inlineStr">
        <is>
          <t>A 47055-2019</t>
        </is>
      </c>
      <c r="B3187" s="1" t="n">
        <v>43720</v>
      </c>
      <c r="C3187" s="1" t="n">
        <v>45212</v>
      </c>
      <c r="D3187" t="inlineStr">
        <is>
          <t>VÄSTRA GÖTALANDS LÄN</t>
        </is>
      </c>
      <c r="E3187" t="inlineStr">
        <is>
          <t>BOLLEBYGD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47063-2019</t>
        </is>
      </c>
      <c r="B3188" s="1" t="n">
        <v>43720</v>
      </c>
      <c r="C3188" s="1" t="n">
        <v>45212</v>
      </c>
      <c r="D3188" t="inlineStr">
        <is>
          <t>VÄSTRA GÖTALANDS LÄN</t>
        </is>
      </c>
      <c r="E3188" t="inlineStr">
        <is>
          <t>MUNKEDAL</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47108-2019</t>
        </is>
      </c>
      <c r="B3189" s="1" t="n">
        <v>43720</v>
      </c>
      <c r="C3189" s="1" t="n">
        <v>45212</v>
      </c>
      <c r="D3189" t="inlineStr">
        <is>
          <t>VÄSTRA GÖTALANDS LÄN</t>
        </is>
      </c>
      <c r="E3189" t="inlineStr">
        <is>
          <t>TIDAHOLM</t>
        </is>
      </c>
      <c r="G3189" t="n">
        <v>9</v>
      </c>
      <c r="H3189" t="n">
        <v>0</v>
      </c>
      <c r="I3189" t="n">
        <v>0</v>
      </c>
      <c r="J3189" t="n">
        <v>0</v>
      </c>
      <c r="K3189" t="n">
        <v>0</v>
      </c>
      <c r="L3189" t="n">
        <v>0</v>
      </c>
      <c r="M3189" t="n">
        <v>0</v>
      </c>
      <c r="N3189" t="n">
        <v>0</v>
      </c>
      <c r="O3189" t="n">
        <v>0</v>
      </c>
      <c r="P3189" t="n">
        <v>0</v>
      </c>
      <c r="Q3189" t="n">
        <v>0</v>
      </c>
      <c r="R3189" s="2" t="inlineStr"/>
    </row>
    <row r="3190" ht="15" customHeight="1">
      <c r="A3190" t="inlineStr">
        <is>
          <t>A 46829-2019</t>
        </is>
      </c>
      <c r="B3190" s="1" t="n">
        <v>43720</v>
      </c>
      <c r="C3190" s="1" t="n">
        <v>45212</v>
      </c>
      <c r="D3190" t="inlineStr">
        <is>
          <t>VÄSTRA GÖTALANDS LÄN</t>
        </is>
      </c>
      <c r="E3190" t="inlineStr">
        <is>
          <t>DALS-ED</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46931-2019</t>
        </is>
      </c>
      <c r="B3191" s="1" t="n">
        <v>43720</v>
      </c>
      <c r="C3191" s="1" t="n">
        <v>45212</v>
      </c>
      <c r="D3191" t="inlineStr">
        <is>
          <t>VÄSTRA GÖTALANDS LÄN</t>
        </is>
      </c>
      <c r="E3191" t="inlineStr">
        <is>
          <t>TRANEMO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47126-2019</t>
        </is>
      </c>
      <c r="B3192" s="1" t="n">
        <v>43721</v>
      </c>
      <c r="C3192" s="1" t="n">
        <v>45212</v>
      </c>
      <c r="D3192" t="inlineStr">
        <is>
          <t>VÄSTRA GÖTALANDS LÄN</t>
        </is>
      </c>
      <c r="E3192" t="inlineStr">
        <is>
          <t>GÖTENE</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47206-2019</t>
        </is>
      </c>
      <c r="B3193" s="1" t="n">
        <v>43721</v>
      </c>
      <c r="C3193" s="1" t="n">
        <v>45212</v>
      </c>
      <c r="D3193" t="inlineStr">
        <is>
          <t>VÄSTRA GÖTALANDS LÄN</t>
        </is>
      </c>
      <c r="E3193" t="inlineStr">
        <is>
          <t>SKÖVDE</t>
        </is>
      </c>
      <c r="G3193" t="n">
        <v>3.8</v>
      </c>
      <c r="H3193" t="n">
        <v>0</v>
      </c>
      <c r="I3193" t="n">
        <v>0</v>
      </c>
      <c r="J3193" t="n">
        <v>0</v>
      </c>
      <c r="K3193" t="n">
        <v>0</v>
      </c>
      <c r="L3193" t="n">
        <v>0</v>
      </c>
      <c r="M3193" t="n">
        <v>0</v>
      </c>
      <c r="N3193" t="n">
        <v>0</v>
      </c>
      <c r="O3193" t="n">
        <v>0</v>
      </c>
      <c r="P3193" t="n">
        <v>0</v>
      </c>
      <c r="Q3193" t="n">
        <v>0</v>
      </c>
      <c r="R3193" s="2" t="inlineStr"/>
    </row>
    <row r="3194" ht="15" customHeight="1">
      <c r="A3194" t="inlineStr">
        <is>
          <t>A 47210-2019</t>
        </is>
      </c>
      <c r="B3194" s="1" t="n">
        <v>43721</v>
      </c>
      <c r="C3194" s="1" t="n">
        <v>45212</v>
      </c>
      <c r="D3194" t="inlineStr">
        <is>
          <t>VÄSTRA GÖTALANDS LÄN</t>
        </is>
      </c>
      <c r="E3194" t="inlineStr">
        <is>
          <t>GÖTENE</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47231-2019</t>
        </is>
      </c>
      <c r="B3195" s="1" t="n">
        <v>43721</v>
      </c>
      <c r="C3195" s="1" t="n">
        <v>45212</v>
      </c>
      <c r="D3195" t="inlineStr">
        <is>
          <t>VÄSTRA GÖTALANDS LÄN</t>
        </is>
      </c>
      <c r="E3195" t="inlineStr">
        <is>
          <t>MARIESTAD</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47309-2019</t>
        </is>
      </c>
      <c r="B3196" s="1" t="n">
        <v>43721</v>
      </c>
      <c r="C3196" s="1" t="n">
        <v>45212</v>
      </c>
      <c r="D3196" t="inlineStr">
        <is>
          <t>VÄSTRA GÖTALANDS LÄN</t>
        </is>
      </c>
      <c r="E3196" t="inlineStr">
        <is>
          <t>SVENLJUNGA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47350-2019</t>
        </is>
      </c>
      <c r="B3197" s="1" t="n">
        <v>43721</v>
      </c>
      <c r="C3197" s="1" t="n">
        <v>45212</v>
      </c>
      <c r="D3197" t="inlineStr">
        <is>
          <t>VÄSTRA GÖTALANDS LÄN</t>
        </is>
      </c>
      <c r="E3197" t="inlineStr">
        <is>
          <t>BORÅS</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47364-2019</t>
        </is>
      </c>
      <c r="B3198" s="1" t="n">
        <v>43721</v>
      </c>
      <c r="C3198" s="1" t="n">
        <v>45212</v>
      </c>
      <c r="D3198" t="inlineStr">
        <is>
          <t>VÄSTRA GÖTALANDS LÄN</t>
        </is>
      </c>
      <c r="E3198" t="inlineStr">
        <is>
          <t>TROLLHÄTTAN</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47403-2019</t>
        </is>
      </c>
      <c r="B3199" s="1" t="n">
        <v>43722</v>
      </c>
      <c r="C3199" s="1" t="n">
        <v>45212</v>
      </c>
      <c r="D3199" t="inlineStr">
        <is>
          <t>VÄSTRA GÖTALANDS LÄN</t>
        </is>
      </c>
      <c r="E3199" t="inlineStr">
        <is>
          <t>TIDAHOLM</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47510-2019</t>
        </is>
      </c>
      <c r="B3200" s="1" t="n">
        <v>43723</v>
      </c>
      <c r="C3200" s="1" t="n">
        <v>45212</v>
      </c>
      <c r="D3200" t="inlineStr">
        <is>
          <t>VÄSTRA GÖTALANDS LÄN</t>
        </is>
      </c>
      <c r="E3200" t="inlineStr">
        <is>
          <t>SOTENÄS</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47417-2019</t>
        </is>
      </c>
      <c r="B3201" s="1" t="n">
        <v>43723</v>
      </c>
      <c r="C3201" s="1" t="n">
        <v>45212</v>
      </c>
      <c r="D3201" t="inlineStr">
        <is>
          <t>VÄSTRA GÖTALANDS LÄN</t>
        </is>
      </c>
      <c r="E3201" t="inlineStr">
        <is>
          <t>BORÅS</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47529-2019</t>
        </is>
      </c>
      <c r="B3202" s="1" t="n">
        <v>43723</v>
      </c>
      <c r="C3202" s="1" t="n">
        <v>45212</v>
      </c>
      <c r="D3202" t="inlineStr">
        <is>
          <t>VÄSTRA GÖTALANDS LÄN</t>
        </is>
      </c>
      <c r="E3202" t="inlineStr">
        <is>
          <t>SOTENÄS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47504-2019</t>
        </is>
      </c>
      <c r="B3203" s="1" t="n">
        <v>43723</v>
      </c>
      <c r="C3203" s="1" t="n">
        <v>45212</v>
      </c>
      <c r="D3203" t="inlineStr">
        <is>
          <t>VÄSTRA GÖTALANDS LÄN</t>
        </is>
      </c>
      <c r="E3203" t="inlineStr">
        <is>
          <t>SOTENÄS</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47451-2019</t>
        </is>
      </c>
      <c r="B3204" s="1" t="n">
        <v>43724</v>
      </c>
      <c r="C3204" s="1" t="n">
        <v>45212</v>
      </c>
      <c r="D3204" t="inlineStr">
        <is>
          <t>VÄSTRA GÖTALANDS LÄN</t>
        </is>
      </c>
      <c r="E3204" t="inlineStr">
        <is>
          <t>BORÅS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47577-2019</t>
        </is>
      </c>
      <c r="B3205" s="1" t="n">
        <v>43724</v>
      </c>
      <c r="C3205" s="1" t="n">
        <v>45212</v>
      </c>
      <c r="D3205" t="inlineStr">
        <is>
          <t>VÄSTRA GÖTALANDS LÄN</t>
        </is>
      </c>
      <c r="E3205" t="inlineStr">
        <is>
          <t>KARLSBORG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47621-2019</t>
        </is>
      </c>
      <c r="B3206" s="1" t="n">
        <v>43724</v>
      </c>
      <c r="C3206" s="1" t="n">
        <v>45212</v>
      </c>
      <c r="D3206" t="inlineStr">
        <is>
          <t>VÄSTRA GÖTALANDS LÄN</t>
        </is>
      </c>
      <c r="E3206" t="inlineStr">
        <is>
          <t>STRÖMSTAD</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47486-2019</t>
        </is>
      </c>
      <c r="B3207" s="1" t="n">
        <v>43724</v>
      </c>
      <c r="C3207" s="1" t="n">
        <v>45212</v>
      </c>
      <c r="D3207" t="inlineStr">
        <is>
          <t>VÄSTRA GÖTALANDS LÄN</t>
        </is>
      </c>
      <c r="E3207" t="inlineStr">
        <is>
          <t>HJO</t>
        </is>
      </c>
      <c r="G3207" t="n">
        <v>4.7</v>
      </c>
      <c r="H3207" t="n">
        <v>0</v>
      </c>
      <c r="I3207" t="n">
        <v>0</v>
      </c>
      <c r="J3207" t="n">
        <v>0</v>
      </c>
      <c r="K3207" t="n">
        <v>0</v>
      </c>
      <c r="L3207" t="n">
        <v>0</v>
      </c>
      <c r="M3207" t="n">
        <v>0</v>
      </c>
      <c r="N3207" t="n">
        <v>0</v>
      </c>
      <c r="O3207" t="n">
        <v>0</v>
      </c>
      <c r="P3207" t="n">
        <v>0</v>
      </c>
      <c r="Q3207" t="n">
        <v>0</v>
      </c>
      <c r="R3207" s="2" t="inlineStr"/>
    </row>
    <row r="3208" ht="15" customHeight="1">
      <c r="A3208" t="inlineStr">
        <is>
          <t>A 47618-2019</t>
        </is>
      </c>
      <c r="B3208" s="1" t="n">
        <v>43724</v>
      </c>
      <c r="C3208" s="1" t="n">
        <v>45212</v>
      </c>
      <c r="D3208" t="inlineStr">
        <is>
          <t>VÄSTRA GÖTALANDS LÄN</t>
        </is>
      </c>
      <c r="E3208" t="inlineStr">
        <is>
          <t>TIBRO</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47730-2019</t>
        </is>
      </c>
      <c r="B3209" s="1" t="n">
        <v>43724</v>
      </c>
      <c r="C3209" s="1" t="n">
        <v>45212</v>
      </c>
      <c r="D3209" t="inlineStr">
        <is>
          <t>VÄSTRA GÖTALANDS LÄN</t>
        </is>
      </c>
      <c r="E3209" t="inlineStr">
        <is>
          <t>FÄRGELANDA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47613-2019</t>
        </is>
      </c>
      <c r="B3210" s="1" t="n">
        <v>43724</v>
      </c>
      <c r="C3210" s="1" t="n">
        <v>45212</v>
      </c>
      <c r="D3210" t="inlineStr">
        <is>
          <t>VÄSTRA GÖTALANDS LÄN</t>
        </is>
      </c>
      <c r="E3210" t="inlineStr">
        <is>
          <t>TIBRO</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47640-2019</t>
        </is>
      </c>
      <c r="B3211" s="1" t="n">
        <v>43724</v>
      </c>
      <c r="C3211" s="1" t="n">
        <v>45212</v>
      </c>
      <c r="D3211" t="inlineStr">
        <is>
          <t>VÄSTRA GÖTALANDS LÄN</t>
        </is>
      </c>
      <c r="E3211" t="inlineStr">
        <is>
          <t>STRÖMSTAD</t>
        </is>
      </c>
      <c r="G3211" t="n">
        <v>4.2</v>
      </c>
      <c r="H3211" t="n">
        <v>0</v>
      </c>
      <c r="I3211" t="n">
        <v>0</v>
      </c>
      <c r="J3211" t="n">
        <v>0</v>
      </c>
      <c r="K3211" t="n">
        <v>0</v>
      </c>
      <c r="L3211" t="n">
        <v>0</v>
      </c>
      <c r="M3211" t="n">
        <v>0</v>
      </c>
      <c r="N3211" t="n">
        <v>0</v>
      </c>
      <c r="O3211" t="n">
        <v>0</v>
      </c>
      <c r="P3211" t="n">
        <v>0</v>
      </c>
      <c r="Q3211" t="n">
        <v>0</v>
      </c>
      <c r="R3211" s="2" t="inlineStr"/>
    </row>
    <row r="3212" ht="15" customHeight="1">
      <c r="A3212" t="inlineStr">
        <is>
          <t>A 47527-2019</t>
        </is>
      </c>
      <c r="B3212" s="1" t="n">
        <v>43724</v>
      </c>
      <c r="C3212" s="1" t="n">
        <v>45212</v>
      </c>
      <c r="D3212" t="inlineStr">
        <is>
          <t>VÄSTRA GÖTALANDS LÄN</t>
        </is>
      </c>
      <c r="E3212" t="inlineStr">
        <is>
          <t>HJO</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47538-2019</t>
        </is>
      </c>
      <c r="B3213" s="1" t="n">
        <v>43724</v>
      </c>
      <c r="C3213" s="1" t="n">
        <v>45212</v>
      </c>
      <c r="D3213" t="inlineStr">
        <is>
          <t>VÄSTRA GÖTALANDS LÄN</t>
        </is>
      </c>
      <c r="E3213" t="inlineStr">
        <is>
          <t>MUNKEDAL</t>
        </is>
      </c>
      <c r="G3213" t="n">
        <v>5.6</v>
      </c>
      <c r="H3213" t="n">
        <v>0</v>
      </c>
      <c r="I3213" t="n">
        <v>0</v>
      </c>
      <c r="J3213" t="n">
        <v>0</v>
      </c>
      <c r="K3213" t="n">
        <v>0</v>
      </c>
      <c r="L3213" t="n">
        <v>0</v>
      </c>
      <c r="M3213" t="n">
        <v>0</v>
      </c>
      <c r="N3213" t="n">
        <v>0</v>
      </c>
      <c r="O3213" t="n">
        <v>0</v>
      </c>
      <c r="P3213" t="n">
        <v>0</v>
      </c>
      <c r="Q3213" t="n">
        <v>0</v>
      </c>
      <c r="R3213" s="2" t="inlineStr"/>
    </row>
    <row r="3214" ht="15" customHeight="1">
      <c r="A3214" t="inlineStr">
        <is>
          <t>A 47594-2019</t>
        </is>
      </c>
      <c r="B3214" s="1" t="n">
        <v>43724</v>
      </c>
      <c r="C3214" s="1" t="n">
        <v>45212</v>
      </c>
      <c r="D3214" t="inlineStr">
        <is>
          <t>VÄSTRA GÖTALANDS LÄN</t>
        </is>
      </c>
      <c r="E3214" t="inlineStr">
        <is>
          <t>HERRLJUNGA</t>
        </is>
      </c>
      <c r="F3214" t="inlineStr">
        <is>
          <t>Kyrkan</t>
        </is>
      </c>
      <c r="G3214" t="n">
        <v>4.1</v>
      </c>
      <c r="H3214" t="n">
        <v>0</v>
      </c>
      <c r="I3214" t="n">
        <v>0</v>
      </c>
      <c r="J3214" t="n">
        <v>0</v>
      </c>
      <c r="K3214" t="n">
        <v>0</v>
      </c>
      <c r="L3214" t="n">
        <v>0</v>
      </c>
      <c r="M3214" t="n">
        <v>0</v>
      </c>
      <c r="N3214" t="n">
        <v>0</v>
      </c>
      <c r="O3214" t="n">
        <v>0</v>
      </c>
      <c r="P3214" t="n">
        <v>0</v>
      </c>
      <c r="Q3214" t="n">
        <v>0</v>
      </c>
      <c r="R3214" s="2" t="inlineStr"/>
    </row>
    <row r="3215" ht="15" customHeight="1">
      <c r="A3215" t="inlineStr">
        <is>
          <t>A 47609-2019</t>
        </is>
      </c>
      <c r="B3215" s="1" t="n">
        <v>43724</v>
      </c>
      <c r="C3215" s="1" t="n">
        <v>45212</v>
      </c>
      <c r="D3215" t="inlineStr">
        <is>
          <t>VÄSTRA GÖTALANDS LÄN</t>
        </is>
      </c>
      <c r="E3215" t="inlineStr">
        <is>
          <t>STRÖMSTAD</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47617-2019</t>
        </is>
      </c>
      <c r="B3216" s="1" t="n">
        <v>43724</v>
      </c>
      <c r="C3216" s="1" t="n">
        <v>45212</v>
      </c>
      <c r="D3216" t="inlineStr">
        <is>
          <t>VÄSTRA GÖTALANDS LÄN</t>
        </is>
      </c>
      <c r="E3216" t="inlineStr">
        <is>
          <t>STRÖMSTAD</t>
        </is>
      </c>
      <c r="G3216" t="n">
        <v>3</v>
      </c>
      <c r="H3216" t="n">
        <v>0</v>
      </c>
      <c r="I3216" t="n">
        <v>0</v>
      </c>
      <c r="J3216" t="n">
        <v>0</v>
      </c>
      <c r="K3216" t="n">
        <v>0</v>
      </c>
      <c r="L3216" t="n">
        <v>0</v>
      </c>
      <c r="M3216" t="n">
        <v>0</v>
      </c>
      <c r="N3216" t="n">
        <v>0</v>
      </c>
      <c r="O3216" t="n">
        <v>0</v>
      </c>
      <c r="P3216" t="n">
        <v>0</v>
      </c>
      <c r="Q3216" t="n">
        <v>0</v>
      </c>
      <c r="R3216" s="2" t="inlineStr"/>
    </row>
    <row r="3217" ht="15" customHeight="1">
      <c r="A3217" t="inlineStr">
        <is>
          <t>A 47622-2019</t>
        </is>
      </c>
      <c r="B3217" s="1" t="n">
        <v>43724</v>
      </c>
      <c r="C3217" s="1" t="n">
        <v>45212</v>
      </c>
      <c r="D3217" t="inlineStr">
        <is>
          <t>VÄSTRA GÖTALANDS LÄN</t>
        </is>
      </c>
      <c r="E3217" t="inlineStr">
        <is>
          <t>STRÖMSTAD</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47728-2019</t>
        </is>
      </c>
      <c r="B3218" s="1" t="n">
        <v>43724</v>
      </c>
      <c r="C3218" s="1" t="n">
        <v>45212</v>
      </c>
      <c r="D3218" t="inlineStr">
        <is>
          <t>VÄSTRA GÖTALANDS LÄN</t>
        </is>
      </c>
      <c r="E3218" t="inlineStr">
        <is>
          <t>BENGTSFORS</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47981-2019</t>
        </is>
      </c>
      <c r="B3219" s="1" t="n">
        <v>43725</v>
      </c>
      <c r="C3219" s="1" t="n">
        <v>45212</v>
      </c>
      <c r="D3219" t="inlineStr">
        <is>
          <t>VÄSTRA GÖTALANDS LÄN</t>
        </is>
      </c>
      <c r="E3219" t="inlineStr">
        <is>
          <t>GULLSPÅNG</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47908-2019</t>
        </is>
      </c>
      <c r="B3220" s="1" t="n">
        <v>43725</v>
      </c>
      <c r="C3220" s="1" t="n">
        <v>45212</v>
      </c>
      <c r="D3220" t="inlineStr">
        <is>
          <t>VÄSTRA GÖTALANDS LÄN</t>
        </is>
      </c>
      <c r="E3220" t="inlineStr">
        <is>
          <t>MARK</t>
        </is>
      </c>
      <c r="F3220" t="inlineStr">
        <is>
          <t>Sveaskog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47986-2019</t>
        </is>
      </c>
      <c r="B3221" s="1" t="n">
        <v>43725</v>
      </c>
      <c r="C3221" s="1" t="n">
        <v>45212</v>
      </c>
      <c r="D3221" t="inlineStr">
        <is>
          <t>VÄSTRA GÖTALANDS LÄN</t>
        </is>
      </c>
      <c r="E3221" t="inlineStr">
        <is>
          <t>MARK</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47845-2019</t>
        </is>
      </c>
      <c r="B3222" s="1" t="n">
        <v>43725</v>
      </c>
      <c r="C3222" s="1" t="n">
        <v>45212</v>
      </c>
      <c r="D3222" t="inlineStr">
        <is>
          <t>VÄSTRA GÖTALANDS LÄN</t>
        </is>
      </c>
      <c r="E3222" t="inlineStr">
        <is>
          <t>BENGTSFORS</t>
        </is>
      </c>
      <c r="F3222" t="inlineStr">
        <is>
          <t>Kyrkan</t>
        </is>
      </c>
      <c r="G3222" t="n">
        <v>2.4</v>
      </c>
      <c r="H3222" t="n">
        <v>0</v>
      </c>
      <c r="I3222" t="n">
        <v>0</v>
      </c>
      <c r="J3222" t="n">
        <v>0</v>
      </c>
      <c r="K3222" t="n">
        <v>0</v>
      </c>
      <c r="L3222" t="n">
        <v>0</v>
      </c>
      <c r="M3222" t="n">
        <v>0</v>
      </c>
      <c r="N3222" t="n">
        <v>0</v>
      </c>
      <c r="O3222" t="n">
        <v>0</v>
      </c>
      <c r="P3222" t="n">
        <v>0</v>
      </c>
      <c r="Q3222" t="n">
        <v>0</v>
      </c>
      <c r="R3222" s="2" t="inlineStr"/>
    </row>
    <row r="3223" ht="15" customHeight="1">
      <c r="A3223" t="inlineStr">
        <is>
          <t>A 47931-2019</t>
        </is>
      </c>
      <c r="B3223" s="1" t="n">
        <v>43725</v>
      </c>
      <c r="C3223" s="1" t="n">
        <v>45212</v>
      </c>
      <c r="D3223" t="inlineStr">
        <is>
          <t>VÄSTRA GÖTALANDS LÄN</t>
        </is>
      </c>
      <c r="E3223" t="inlineStr">
        <is>
          <t>LYSEKIL</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48070-2019</t>
        </is>
      </c>
      <c r="B3224" s="1" t="n">
        <v>43725</v>
      </c>
      <c r="C3224" s="1" t="n">
        <v>45212</v>
      </c>
      <c r="D3224" t="inlineStr">
        <is>
          <t>VÄSTRA GÖTALANDS LÄN</t>
        </is>
      </c>
      <c r="E3224" t="inlineStr">
        <is>
          <t>DALS-ED</t>
        </is>
      </c>
      <c r="G3224" t="n">
        <v>12.5</v>
      </c>
      <c r="H3224" t="n">
        <v>0</v>
      </c>
      <c r="I3224" t="n">
        <v>0</v>
      </c>
      <c r="J3224" t="n">
        <v>0</v>
      </c>
      <c r="K3224" t="n">
        <v>0</v>
      </c>
      <c r="L3224" t="n">
        <v>0</v>
      </c>
      <c r="M3224" t="n">
        <v>0</v>
      </c>
      <c r="N3224" t="n">
        <v>0</v>
      </c>
      <c r="O3224" t="n">
        <v>0</v>
      </c>
      <c r="P3224" t="n">
        <v>0</v>
      </c>
      <c r="Q3224" t="n">
        <v>0</v>
      </c>
      <c r="R3224" s="2" t="inlineStr"/>
    </row>
    <row r="3225" ht="15" customHeight="1">
      <c r="A3225" t="inlineStr">
        <is>
          <t>A 48140-2019</t>
        </is>
      </c>
      <c r="B3225" s="1" t="n">
        <v>43726</v>
      </c>
      <c r="C3225" s="1" t="n">
        <v>45212</v>
      </c>
      <c r="D3225" t="inlineStr">
        <is>
          <t>VÄSTRA GÖTALANDS LÄN</t>
        </is>
      </c>
      <c r="E3225" t="inlineStr">
        <is>
          <t>ÅMÅL</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48512-2019</t>
        </is>
      </c>
      <c r="B3226" s="1" t="n">
        <v>43726</v>
      </c>
      <c r="C3226" s="1" t="n">
        <v>45212</v>
      </c>
      <c r="D3226" t="inlineStr">
        <is>
          <t>VÄSTRA GÖTALANDS LÄN</t>
        </is>
      </c>
      <c r="E3226" t="inlineStr">
        <is>
          <t>TROLLHÄTTAN</t>
        </is>
      </c>
      <c r="G3226" t="n">
        <v>4.9</v>
      </c>
      <c r="H3226" t="n">
        <v>0</v>
      </c>
      <c r="I3226" t="n">
        <v>0</v>
      </c>
      <c r="J3226" t="n">
        <v>0</v>
      </c>
      <c r="K3226" t="n">
        <v>0</v>
      </c>
      <c r="L3226" t="n">
        <v>0</v>
      </c>
      <c r="M3226" t="n">
        <v>0</v>
      </c>
      <c r="N3226" t="n">
        <v>0</v>
      </c>
      <c r="O3226" t="n">
        <v>0</v>
      </c>
      <c r="P3226" t="n">
        <v>0</v>
      </c>
      <c r="Q3226" t="n">
        <v>0</v>
      </c>
      <c r="R3226" s="2" t="inlineStr"/>
    </row>
    <row r="3227" ht="15" customHeight="1">
      <c r="A3227" t="inlineStr">
        <is>
          <t>A 48341-2019</t>
        </is>
      </c>
      <c r="B3227" s="1" t="n">
        <v>43726</v>
      </c>
      <c r="C3227" s="1" t="n">
        <v>45212</v>
      </c>
      <c r="D3227" t="inlineStr">
        <is>
          <t>VÄSTRA GÖTALANDS LÄN</t>
        </is>
      </c>
      <c r="E3227" t="inlineStr">
        <is>
          <t>UDDEVALLA</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48319-2019</t>
        </is>
      </c>
      <c r="B3228" s="1" t="n">
        <v>43726</v>
      </c>
      <c r="C3228" s="1" t="n">
        <v>45212</v>
      </c>
      <c r="D3228" t="inlineStr">
        <is>
          <t>VÄSTRA GÖTALANDS LÄN</t>
        </is>
      </c>
      <c r="E3228" t="inlineStr">
        <is>
          <t>ALINGSÅS</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48425-2019</t>
        </is>
      </c>
      <c r="B3229" s="1" t="n">
        <v>43726</v>
      </c>
      <c r="C3229" s="1" t="n">
        <v>45212</v>
      </c>
      <c r="D3229" t="inlineStr">
        <is>
          <t>VÄSTRA GÖTALANDS LÄN</t>
        </is>
      </c>
      <c r="E3229" t="inlineStr">
        <is>
          <t>GULLSPÅNG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48383-2019</t>
        </is>
      </c>
      <c r="B3230" s="1" t="n">
        <v>43726</v>
      </c>
      <c r="C3230" s="1" t="n">
        <v>45212</v>
      </c>
      <c r="D3230" t="inlineStr">
        <is>
          <t>VÄSTRA GÖTALANDS LÄN</t>
        </is>
      </c>
      <c r="E3230" t="inlineStr">
        <is>
          <t>ULRICEHAMN</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48419-2019</t>
        </is>
      </c>
      <c r="B3231" s="1" t="n">
        <v>43726</v>
      </c>
      <c r="C3231" s="1" t="n">
        <v>45212</v>
      </c>
      <c r="D3231" t="inlineStr">
        <is>
          <t>VÄSTRA GÖTALANDS LÄN</t>
        </is>
      </c>
      <c r="E3231" t="inlineStr">
        <is>
          <t>GULLSPÅNG</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48405-2019</t>
        </is>
      </c>
      <c r="B3232" s="1" t="n">
        <v>43727</v>
      </c>
      <c r="C3232" s="1" t="n">
        <v>45212</v>
      </c>
      <c r="D3232" t="inlineStr">
        <is>
          <t>VÄSTRA GÖTALANDS LÄN</t>
        </is>
      </c>
      <c r="E3232" t="inlineStr">
        <is>
          <t>BORÅS</t>
        </is>
      </c>
      <c r="F3232" t="inlineStr">
        <is>
          <t>Sveaskog</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48416-2019</t>
        </is>
      </c>
      <c r="B3233" s="1" t="n">
        <v>43727</v>
      </c>
      <c r="C3233" s="1" t="n">
        <v>45212</v>
      </c>
      <c r="D3233" t="inlineStr">
        <is>
          <t>VÄSTRA GÖTALANDS LÄN</t>
        </is>
      </c>
      <c r="E3233" t="inlineStr">
        <is>
          <t>BORÅS</t>
        </is>
      </c>
      <c r="F3233" t="inlineStr">
        <is>
          <t>Sveaskog</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48735-2019</t>
        </is>
      </c>
      <c r="B3234" s="1" t="n">
        <v>43727</v>
      </c>
      <c r="C3234" s="1" t="n">
        <v>45212</v>
      </c>
      <c r="D3234" t="inlineStr">
        <is>
          <t>VÄSTRA GÖTALANDS LÄN</t>
        </is>
      </c>
      <c r="E3234" t="inlineStr">
        <is>
          <t>HERRLJUNGA</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49158-2019</t>
        </is>
      </c>
      <c r="B3235" s="1" t="n">
        <v>43727</v>
      </c>
      <c r="C3235" s="1" t="n">
        <v>45212</v>
      </c>
      <c r="D3235" t="inlineStr">
        <is>
          <t>VÄSTRA GÖTALANDS LÄN</t>
        </is>
      </c>
      <c r="E3235" t="inlineStr">
        <is>
          <t>GULLSPÅNG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48486-2019</t>
        </is>
      </c>
      <c r="B3236" s="1" t="n">
        <v>43727</v>
      </c>
      <c r="C3236" s="1" t="n">
        <v>45212</v>
      </c>
      <c r="D3236" t="inlineStr">
        <is>
          <t>VÄSTRA GÖTALANDS LÄN</t>
        </is>
      </c>
      <c r="E3236" t="inlineStr">
        <is>
          <t>TRANEMO</t>
        </is>
      </c>
      <c r="F3236" t="inlineStr">
        <is>
          <t>Kyrkan</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48556-2019</t>
        </is>
      </c>
      <c r="B3237" s="1" t="n">
        <v>43727</v>
      </c>
      <c r="C3237" s="1" t="n">
        <v>45212</v>
      </c>
      <c r="D3237" t="inlineStr">
        <is>
          <t>VÄSTRA GÖTALANDS LÄN</t>
        </is>
      </c>
      <c r="E3237" t="inlineStr">
        <is>
          <t>GRÄSTORP</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49176-2019</t>
        </is>
      </c>
      <c r="B3238" s="1" t="n">
        <v>43727</v>
      </c>
      <c r="C3238" s="1" t="n">
        <v>45212</v>
      </c>
      <c r="D3238" t="inlineStr">
        <is>
          <t>VÄSTRA GÖTALANDS LÄN</t>
        </is>
      </c>
      <c r="E3238" t="inlineStr">
        <is>
          <t>MARIESTAD</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48418-2019</t>
        </is>
      </c>
      <c r="B3239" s="1" t="n">
        <v>43727</v>
      </c>
      <c r="C3239" s="1" t="n">
        <v>45212</v>
      </c>
      <c r="D3239" t="inlineStr">
        <is>
          <t>VÄSTRA GÖTALANDS LÄN</t>
        </is>
      </c>
      <c r="E3239" t="inlineStr">
        <is>
          <t>BORÅS</t>
        </is>
      </c>
      <c r="F3239" t="inlineStr">
        <is>
          <t>Sveaskog</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48579-2019</t>
        </is>
      </c>
      <c r="B3240" s="1" t="n">
        <v>43727</v>
      </c>
      <c r="C3240" s="1" t="n">
        <v>45212</v>
      </c>
      <c r="D3240" t="inlineStr">
        <is>
          <t>VÄSTRA GÖTALANDS LÄN</t>
        </is>
      </c>
      <c r="E3240" t="inlineStr">
        <is>
          <t>LIDKÖPING</t>
        </is>
      </c>
      <c r="G3240" t="n">
        <v>6.9</v>
      </c>
      <c r="H3240" t="n">
        <v>0</v>
      </c>
      <c r="I3240" t="n">
        <v>0</v>
      </c>
      <c r="J3240" t="n">
        <v>0</v>
      </c>
      <c r="K3240" t="n">
        <v>0</v>
      </c>
      <c r="L3240" t="n">
        <v>0</v>
      </c>
      <c r="M3240" t="n">
        <v>0</v>
      </c>
      <c r="N3240" t="n">
        <v>0</v>
      </c>
      <c r="O3240" t="n">
        <v>0</v>
      </c>
      <c r="P3240" t="n">
        <v>0</v>
      </c>
      <c r="Q3240" t="n">
        <v>0</v>
      </c>
      <c r="R3240" s="2" t="inlineStr"/>
    </row>
    <row r="3241" ht="15" customHeight="1">
      <c r="A3241" t="inlineStr">
        <is>
          <t>A 48413-2019</t>
        </is>
      </c>
      <c r="B3241" s="1" t="n">
        <v>43727</v>
      </c>
      <c r="C3241" s="1" t="n">
        <v>45212</v>
      </c>
      <c r="D3241" t="inlineStr">
        <is>
          <t>VÄSTRA GÖTALANDS LÄN</t>
        </is>
      </c>
      <c r="E3241" t="inlineStr">
        <is>
          <t>BORÅS</t>
        </is>
      </c>
      <c r="F3241" t="inlineStr">
        <is>
          <t>Sveaskog</t>
        </is>
      </c>
      <c r="G3241" t="n">
        <v>10.6</v>
      </c>
      <c r="H3241" t="n">
        <v>0</v>
      </c>
      <c r="I3241" t="n">
        <v>0</v>
      </c>
      <c r="J3241" t="n">
        <v>0</v>
      </c>
      <c r="K3241" t="n">
        <v>0</v>
      </c>
      <c r="L3241" t="n">
        <v>0</v>
      </c>
      <c r="M3241" t="n">
        <v>0</v>
      </c>
      <c r="N3241" t="n">
        <v>0</v>
      </c>
      <c r="O3241" t="n">
        <v>0</v>
      </c>
      <c r="P3241" t="n">
        <v>0</v>
      </c>
      <c r="Q3241" t="n">
        <v>0</v>
      </c>
      <c r="R3241" s="2" t="inlineStr"/>
    </row>
    <row r="3242" ht="15" customHeight="1">
      <c r="A3242" t="inlineStr">
        <is>
          <t>A 48774-2019</t>
        </is>
      </c>
      <c r="B3242" s="1" t="n">
        <v>43727</v>
      </c>
      <c r="C3242" s="1" t="n">
        <v>45212</v>
      </c>
      <c r="D3242" t="inlineStr">
        <is>
          <t>VÄSTRA GÖTALANDS LÄN</t>
        </is>
      </c>
      <c r="E3242" t="inlineStr">
        <is>
          <t>ULRICEHAMN</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49209-2019</t>
        </is>
      </c>
      <c r="B3243" s="1" t="n">
        <v>43727</v>
      </c>
      <c r="C3243" s="1" t="n">
        <v>45212</v>
      </c>
      <c r="D3243" t="inlineStr">
        <is>
          <t>VÄSTRA GÖTALANDS LÄN</t>
        </is>
      </c>
      <c r="E3243" t="inlineStr">
        <is>
          <t>GULLSPÅNG</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48674-2019</t>
        </is>
      </c>
      <c r="B3244" s="1" t="n">
        <v>43728</v>
      </c>
      <c r="C3244" s="1" t="n">
        <v>45212</v>
      </c>
      <c r="D3244" t="inlineStr">
        <is>
          <t>VÄSTRA GÖTALANDS LÄN</t>
        </is>
      </c>
      <c r="E3244" t="inlineStr">
        <is>
          <t>SVENLJUNGA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48697-2019</t>
        </is>
      </c>
      <c r="B3245" s="1" t="n">
        <v>43728</v>
      </c>
      <c r="C3245" s="1" t="n">
        <v>45212</v>
      </c>
      <c r="D3245" t="inlineStr">
        <is>
          <t>VÄSTRA GÖTALANDS LÄN</t>
        </is>
      </c>
      <c r="E3245" t="inlineStr">
        <is>
          <t>TIBRO</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48660-2019</t>
        </is>
      </c>
      <c r="B3246" s="1" t="n">
        <v>43728</v>
      </c>
      <c r="C3246" s="1" t="n">
        <v>45212</v>
      </c>
      <c r="D3246" t="inlineStr">
        <is>
          <t>VÄSTRA GÖTALANDS LÄN</t>
        </is>
      </c>
      <c r="E3246" t="inlineStr">
        <is>
          <t>SVENLJUNGA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48870-2019</t>
        </is>
      </c>
      <c r="B3247" s="1" t="n">
        <v>43728</v>
      </c>
      <c r="C3247" s="1" t="n">
        <v>45212</v>
      </c>
      <c r="D3247" t="inlineStr">
        <is>
          <t>VÄSTRA GÖTALANDS LÄN</t>
        </is>
      </c>
      <c r="E3247" t="inlineStr">
        <is>
          <t>MARIESTAD</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48655-2019</t>
        </is>
      </c>
      <c r="B3248" s="1" t="n">
        <v>43728</v>
      </c>
      <c r="C3248" s="1" t="n">
        <v>45212</v>
      </c>
      <c r="D3248" t="inlineStr">
        <is>
          <t>VÄSTRA GÖTALANDS LÄN</t>
        </is>
      </c>
      <c r="E3248" t="inlineStr">
        <is>
          <t>STENUNGSUND</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48821-2019</t>
        </is>
      </c>
      <c r="B3249" s="1" t="n">
        <v>43728</v>
      </c>
      <c r="C3249" s="1" t="n">
        <v>45212</v>
      </c>
      <c r="D3249" t="inlineStr">
        <is>
          <t>VÄSTRA GÖTALANDS LÄN</t>
        </is>
      </c>
      <c r="E3249" t="inlineStr">
        <is>
          <t>GÖTENE</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49003-2019</t>
        </is>
      </c>
      <c r="B3250" s="1" t="n">
        <v>43730</v>
      </c>
      <c r="C3250" s="1" t="n">
        <v>45212</v>
      </c>
      <c r="D3250" t="inlineStr">
        <is>
          <t>VÄSTRA GÖTALANDS LÄN</t>
        </is>
      </c>
      <c r="E3250" t="inlineStr">
        <is>
          <t>ÅMÅL</t>
        </is>
      </c>
      <c r="G3250" t="n">
        <v>3.9</v>
      </c>
      <c r="H3250" t="n">
        <v>0</v>
      </c>
      <c r="I3250" t="n">
        <v>0</v>
      </c>
      <c r="J3250" t="n">
        <v>0</v>
      </c>
      <c r="K3250" t="n">
        <v>0</v>
      </c>
      <c r="L3250" t="n">
        <v>0</v>
      </c>
      <c r="M3250" t="n">
        <v>0</v>
      </c>
      <c r="N3250" t="n">
        <v>0</v>
      </c>
      <c r="O3250" t="n">
        <v>0</v>
      </c>
      <c r="P3250" t="n">
        <v>0</v>
      </c>
      <c r="Q3250" t="n">
        <v>0</v>
      </c>
      <c r="R3250" s="2" t="inlineStr"/>
    </row>
    <row r="3251" ht="15" customHeight="1">
      <c r="A3251" t="inlineStr">
        <is>
          <t>A 50468-2019</t>
        </is>
      </c>
      <c r="B3251" s="1" t="n">
        <v>43731</v>
      </c>
      <c r="C3251" s="1" t="n">
        <v>45212</v>
      </c>
      <c r="D3251" t="inlineStr">
        <is>
          <t>VÄSTRA GÖTALANDS LÄN</t>
        </is>
      </c>
      <c r="E3251" t="inlineStr">
        <is>
          <t>TIDAHOLM</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52703-2019</t>
        </is>
      </c>
      <c r="B3252" s="1" t="n">
        <v>43731</v>
      </c>
      <c r="C3252" s="1" t="n">
        <v>45212</v>
      </c>
      <c r="D3252" t="inlineStr">
        <is>
          <t>VÄSTRA GÖTALANDS LÄN</t>
        </is>
      </c>
      <c r="E3252" t="inlineStr">
        <is>
          <t>ULRICEHAMN</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49047-2019</t>
        </is>
      </c>
      <c r="B3253" s="1" t="n">
        <v>43731</v>
      </c>
      <c r="C3253" s="1" t="n">
        <v>45212</v>
      </c>
      <c r="D3253" t="inlineStr">
        <is>
          <t>VÄSTRA GÖTALANDS LÄN</t>
        </is>
      </c>
      <c r="E3253" t="inlineStr">
        <is>
          <t>TÖREBODA</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49068-2019</t>
        </is>
      </c>
      <c r="B3254" s="1" t="n">
        <v>43731</v>
      </c>
      <c r="C3254" s="1" t="n">
        <v>45212</v>
      </c>
      <c r="D3254" t="inlineStr">
        <is>
          <t>VÄSTRA GÖTALANDS LÄN</t>
        </is>
      </c>
      <c r="E3254" t="inlineStr">
        <is>
          <t>BENGTSFORS</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50475-2019</t>
        </is>
      </c>
      <c r="B3255" s="1" t="n">
        <v>43731</v>
      </c>
      <c r="C3255" s="1" t="n">
        <v>45212</v>
      </c>
      <c r="D3255" t="inlineStr">
        <is>
          <t>VÄSTRA GÖTALANDS LÄN</t>
        </is>
      </c>
      <c r="E3255" t="inlineStr">
        <is>
          <t>TIDAHOLM</t>
        </is>
      </c>
      <c r="G3255" t="n">
        <v>3.8</v>
      </c>
      <c r="H3255" t="n">
        <v>0</v>
      </c>
      <c r="I3255" t="n">
        <v>0</v>
      </c>
      <c r="J3255" t="n">
        <v>0</v>
      </c>
      <c r="K3255" t="n">
        <v>0</v>
      </c>
      <c r="L3255" t="n">
        <v>0</v>
      </c>
      <c r="M3255" t="n">
        <v>0</v>
      </c>
      <c r="N3255" t="n">
        <v>0</v>
      </c>
      <c r="O3255" t="n">
        <v>0</v>
      </c>
      <c r="P3255" t="n">
        <v>0</v>
      </c>
      <c r="Q3255" t="n">
        <v>0</v>
      </c>
      <c r="R3255" s="2" t="inlineStr"/>
    </row>
    <row r="3256" ht="15" customHeight="1">
      <c r="A3256" t="inlineStr">
        <is>
          <t>A 49250-2019</t>
        </is>
      </c>
      <c r="B3256" s="1" t="n">
        <v>43731</v>
      </c>
      <c r="C3256" s="1" t="n">
        <v>45212</v>
      </c>
      <c r="D3256" t="inlineStr">
        <is>
          <t>VÄSTRA GÖTALANDS LÄN</t>
        </is>
      </c>
      <c r="E3256" t="inlineStr">
        <is>
          <t>MUNKEDAL</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49714-2019</t>
        </is>
      </c>
      <c r="B3257" s="1" t="n">
        <v>43731</v>
      </c>
      <c r="C3257" s="1" t="n">
        <v>45212</v>
      </c>
      <c r="D3257" t="inlineStr">
        <is>
          <t>VÄSTRA GÖTALANDS LÄN</t>
        </is>
      </c>
      <c r="E3257" t="inlineStr">
        <is>
          <t>ULRICEHAMN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49171-2019</t>
        </is>
      </c>
      <c r="B3258" s="1" t="n">
        <v>43731</v>
      </c>
      <c r="C3258" s="1" t="n">
        <v>45212</v>
      </c>
      <c r="D3258" t="inlineStr">
        <is>
          <t>VÄSTRA GÖTALANDS LÄN</t>
        </is>
      </c>
      <c r="E3258" t="inlineStr">
        <is>
          <t>ULRICEHAMN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49219-2019</t>
        </is>
      </c>
      <c r="B3259" s="1" t="n">
        <v>43731</v>
      </c>
      <c r="C3259" s="1" t="n">
        <v>45212</v>
      </c>
      <c r="D3259" t="inlineStr">
        <is>
          <t>VÄSTRA GÖTALANDS LÄN</t>
        </is>
      </c>
      <c r="E3259" t="inlineStr">
        <is>
          <t>FALKÖPING</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49232-2019</t>
        </is>
      </c>
      <c r="B3260" s="1" t="n">
        <v>43731</v>
      </c>
      <c r="C3260" s="1" t="n">
        <v>45212</v>
      </c>
      <c r="D3260" t="inlineStr">
        <is>
          <t>VÄSTRA GÖTALANDS LÄN</t>
        </is>
      </c>
      <c r="E3260" t="inlineStr">
        <is>
          <t>ULRICEHAMN</t>
        </is>
      </c>
      <c r="F3260" t="inlineStr">
        <is>
          <t>Sveaskog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49052-2019</t>
        </is>
      </c>
      <c r="B3261" s="1" t="n">
        <v>43731</v>
      </c>
      <c r="C3261" s="1" t="n">
        <v>45212</v>
      </c>
      <c r="D3261" t="inlineStr">
        <is>
          <t>VÄSTRA GÖTALANDS LÄN</t>
        </is>
      </c>
      <c r="E3261" t="inlineStr">
        <is>
          <t>BORÅS</t>
        </is>
      </c>
      <c r="G3261" t="n">
        <v>6.3</v>
      </c>
      <c r="H3261" t="n">
        <v>0</v>
      </c>
      <c r="I3261" t="n">
        <v>0</v>
      </c>
      <c r="J3261" t="n">
        <v>0</v>
      </c>
      <c r="K3261" t="n">
        <v>0</v>
      </c>
      <c r="L3261" t="n">
        <v>0</v>
      </c>
      <c r="M3261" t="n">
        <v>0</v>
      </c>
      <c r="N3261" t="n">
        <v>0</v>
      </c>
      <c r="O3261" t="n">
        <v>0</v>
      </c>
      <c r="P3261" t="n">
        <v>0</v>
      </c>
      <c r="Q3261" t="n">
        <v>0</v>
      </c>
      <c r="R3261" s="2" t="inlineStr"/>
    </row>
    <row r="3262" ht="15" customHeight="1">
      <c r="A3262" t="inlineStr">
        <is>
          <t>A 49341-2019</t>
        </is>
      </c>
      <c r="B3262" s="1" t="n">
        <v>43731</v>
      </c>
      <c r="C3262" s="1" t="n">
        <v>45212</v>
      </c>
      <c r="D3262" t="inlineStr">
        <is>
          <t>VÄSTRA GÖTALANDS LÄN</t>
        </is>
      </c>
      <c r="E3262" t="inlineStr">
        <is>
          <t>UDDEVALLA</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49386-2019</t>
        </is>
      </c>
      <c r="B3263" s="1" t="n">
        <v>43732</v>
      </c>
      <c r="C3263" s="1" t="n">
        <v>45212</v>
      </c>
      <c r="D3263" t="inlineStr">
        <is>
          <t>VÄSTRA GÖTALANDS LÄN</t>
        </is>
      </c>
      <c r="E3263" t="inlineStr">
        <is>
          <t>GÖTENE</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49486-2019</t>
        </is>
      </c>
      <c r="B3264" s="1" t="n">
        <v>43732</v>
      </c>
      <c r="C3264" s="1" t="n">
        <v>45212</v>
      </c>
      <c r="D3264" t="inlineStr">
        <is>
          <t>VÄSTRA GÖTALANDS LÄN</t>
        </is>
      </c>
      <c r="E3264" t="inlineStr">
        <is>
          <t>MUNKEDAL</t>
        </is>
      </c>
      <c r="G3264" t="n">
        <v>12.2</v>
      </c>
      <c r="H3264" t="n">
        <v>0</v>
      </c>
      <c r="I3264" t="n">
        <v>0</v>
      </c>
      <c r="J3264" t="n">
        <v>0</v>
      </c>
      <c r="K3264" t="n">
        <v>0</v>
      </c>
      <c r="L3264" t="n">
        <v>0</v>
      </c>
      <c r="M3264" t="n">
        <v>0</v>
      </c>
      <c r="N3264" t="n">
        <v>0</v>
      </c>
      <c r="O3264" t="n">
        <v>0</v>
      </c>
      <c r="P3264" t="n">
        <v>0</v>
      </c>
      <c r="Q3264" t="n">
        <v>0</v>
      </c>
      <c r="R3264" s="2" t="inlineStr"/>
    </row>
    <row r="3265" ht="15" customHeight="1">
      <c r="A3265" t="inlineStr">
        <is>
          <t>A 49495-2019</t>
        </is>
      </c>
      <c r="B3265" s="1" t="n">
        <v>43732</v>
      </c>
      <c r="C3265" s="1" t="n">
        <v>45212</v>
      </c>
      <c r="D3265" t="inlineStr">
        <is>
          <t>VÄSTRA GÖTALANDS LÄN</t>
        </is>
      </c>
      <c r="E3265" t="inlineStr">
        <is>
          <t>MUNKEDAL</t>
        </is>
      </c>
      <c r="G3265" t="n">
        <v>9.699999999999999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49519-2019</t>
        </is>
      </c>
      <c r="B3266" s="1" t="n">
        <v>43732</v>
      </c>
      <c r="C3266" s="1" t="n">
        <v>45212</v>
      </c>
      <c r="D3266" t="inlineStr">
        <is>
          <t>VÄSTRA GÖTALANDS LÄN</t>
        </is>
      </c>
      <c r="E3266" t="inlineStr">
        <is>
          <t>LERUM</t>
        </is>
      </c>
      <c r="G3266" t="n">
        <v>8.1</v>
      </c>
      <c r="H3266" t="n">
        <v>0</v>
      </c>
      <c r="I3266" t="n">
        <v>0</v>
      </c>
      <c r="J3266" t="n">
        <v>0</v>
      </c>
      <c r="K3266" t="n">
        <v>0</v>
      </c>
      <c r="L3266" t="n">
        <v>0</v>
      </c>
      <c r="M3266" t="n">
        <v>0</v>
      </c>
      <c r="N3266" t="n">
        <v>0</v>
      </c>
      <c r="O3266" t="n">
        <v>0</v>
      </c>
      <c r="P3266" t="n">
        <v>0</v>
      </c>
      <c r="Q3266" t="n">
        <v>0</v>
      </c>
      <c r="R3266" s="2" t="inlineStr"/>
    </row>
    <row r="3267" ht="15" customHeight="1">
      <c r="A3267" t="inlineStr">
        <is>
          <t>A 49523-2019</t>
        </is>
      </c>
      <c r="B3267" s="1" t="n">
        <v>43732</v>
      </c>
      <c r="C3267" s="1" t="n">
        <v>45212</v>
      </c>
      <c r="D3267" t="inlineStr">
        <is>
          <t>VÄSTRA GÖTALANDS LÄN</t>
        </is>
      </c>
      <c r="E3267" t="inlineStr">
        <is>
          <t>TIDAHOLM</t>
        </is>
      </c>
      <c r="G3267" t="n">
        <v>11.5</v>
      </c>
      <c r="H3267" t="n">
        <v>0</v>
      </c>
      <c r="I3267" t="n">
        <v>0</v>
      </c>
      <c r="J3267" t="n">
        <v>0</v>
      </c>
      <c r="K3267" t="n">
        <v>0</v>
      </c>
      <c r="L3267" t="n">
        <v>0</v>
      </c>
      <c r="M3267" t="n">
        <v>0</v>
      </c>
      <c r="N3267" t="n">
        <v>0</v>
      </c>
      <c r="O3267" t="n">
        <v>0</v>
      </c>
      <c r="P3267" t="n">
        <v>0</v>
      </c>
      <c r="Q3267" t="n">
        <v>0</v>
      </c>
      <c r="R3267" s="2" t="inlineStr"/>
    </row>
    <row r="3268" ht="15" customHeight="1">
      <c r="A3268" t="inlineStr">
        <is>
          <t>A 49544-2019</t>
        </is>
      </c>
      <c r="B3268" s="1" t="n">
        <v>43732</v>
      </c>
      <c r="C3268" s="1" t="n">
        <v>45212</v>
      </c>
      <c r="D3268" t="inlineStr">
        <is>
          <t>VÄSTRA GÖTALANDS LÄN</t>
        </is>
      </c>
      <c r="E3268" t="inlineStr">
        <is>
          <t>MARIESTAD</t>
        </is>
      </c>
      <c r="F3268" t="inlineStr">
        <is>
          <t>Kyrkan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49654-2019</t>
        </is>
      </c>
      <c r="B3269" s="1" t="n">
        <v>43732</v>
      </c>
      <c r="C3269" s="1" t="n">
        <v>45212</v>
      </c>
      <c r="D3269" t="inlineStr">
        <is>
          <t>VÄSTRA GÖTALANDS LÄN</t>
        </is>
      </c>
      <c r="E3269" t="inlineStr">
        <is>
          <t>TRANEMO</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49660-2019</t>
        </is>
      </c>
      <c r="B3270" s="1" t="n">
        <v>43732</v>
      </c>
      <c r="C3270" s="1" t="n">
        <v>45212</v>
      </c>
      <c r="D3270" t="inlineStr">
        <is>
          <t>VÄSTRA GÖTALANDS LÄN</t>
        </is>
      </c>
      <c r="E3270" t="inlineStr">
        <is>
          <t>TIDAHOLM</t>
        </is>
      </c>
      <c r="G3270" t="n">
        <v>1.8</v>
      </c>
      <c r="H3270" t="n">
        <v>0</v>
      </c>
      <c r="I3270" t="n">
        <v>0</v>
      </c>
      <c r="J3270" t="n">
        <v>0</v>
      </c>
      <c r="K3270" t="n">
        <v>0</v>
      </c>
      <c r="L3270" t="n">
        <v>0</v>
      </c>
      <c r="M3270" t="n">
        <v>0</v>
      </c>
      <c r="N3270" t="n">
        <v>0</v>
      </c>
      <c r="O3270" t="n">
        <v>0</v>
      </c>
      <c r="P3270" t="n">
        <v>0</v>
      </c>
      <c r="Q3270" t="n">
        <v>0</v>
      </c>
      <c r="R3270" s="2" t="inlineStr"/>
    </row>
    <row r="3271" ht="15" customHeight="1">
      <c r="A3271" t="inlineStr">
        <is>
          <t>A 51055-2019</t>
        </is>
      </c>
      <c r="B3271" s="1" t="n">
        <v>43732</v>
      </c>
      <c r="C3271" s="1" t="n">
        <v>45212</v>
      </c>
      <c r="D3271" t="inlineStr">
        <is>
          <t>VÄSTRA GÖTALANDS LÄN</t>
        </is>
      </c>
      <c r="E3271" t="inlineStr">
        <is>
          <t>TANUM</t>
        </is>
      </c>
      <c r="G3271" t="n">
        <v>2.9</v>
      </c>
      <c r="H3271" t="n">
        <v>0</v>
      </c>
      <c r="I3271" t="n">
        <v>0</v>
      </c>
      <c r="J3271" t="n">
        <v>0</v>
      </c>
      <c r="K3271" t="n">
        <v>0</v>
      </c>
      <c r="L3271" t="n">
        <v>0</v>
      </c>
      <c r="M3271" t="n">
        <v>0</v>
      </c>
      <c r="N3271" t="n">
        <v>0</v>
      </c>
      <c r="O3271" t="n">
        <v>0</v>
      </c>
      <c r="P3271" t="n">
        <v>0</v>
      </c>
      <c r="Q3271" t="n">
        <v>0</v>
      </c>
      <c r="R3271" s="2" t="inlineStr"/>
    </row>
    <row r="3272" ht="15" customHeight="1">
      <c r="A3272" t="inlineStr">
        <is>
          <t>A 49806-2019</t>
        </is>
      </c>
      <c r="B3272" s="1" t="n">
        <v>43733</v>
      </c>
      <c r="C3272" s="1" t="n">
        <v>45212</v>
      </c>
      <c r="D3272" t="inlineStr">
        <is>
          <t>VÄSTRA GÖTALANDS LÄN</t>
        </is>
      </c>
      <c r="E3272" t="inlineStr">
        <is>
          <t>HÄRRYDA</t>
        </is>
      </c>
      <c r="G3272" t="n">
        <v>4</v>
      </c>
      <c r="H3272" t="n">
        <v>0</v>
      </c>
      <c r="I3272" t="n">
        <v>0</v>
      </c>
      <c r="J3272" t="n">
        <v>0</v>
      </c>
      <c r="K3272" t="n">
        <v>0</v>
      </c>
      <c r="L3272" t="n">
        <v>0</v>
      </c>
      <c r="M3272" t="n">
        <v>0</v>
      </c>
      <c r="N3272" t="n">
        <v>0</v>
      </c>
      <c r="O3272" t="n">
        <v>0</v>
      </c>
      <c r="P3272" t="n">
        <v>0</v>
      </c>
      <c r="Q3272" t="n">
        <v>0</v>
      </c>
      <c r="R3272" s="2" t="inlineStr"/>
    </row>
    <row r="3273" ht="15" customHeight="1">
      <c r="A3273" t="inlineStr">
        <is>
          <t>A 49938-2019</t>
        </is>
      </c>
      <c r="B3273" s="1" t="n">
        <v>43733</v>
      </c>
      <c r="C3273" s="1" t="n">
        <v>45212</v>
      </c>
      <c r="D3273" t="inlineStr">
        <is>
          <t>VÄSTRA GÖTALANDS LÄN</t>
        </is>
      </c>
      <c r="E3273" t="inlineStr">
        <is>
          <t>VÄNERSBORG</t>
        </is>
      </c>
      <c r="G3273" t="n">
        <v>8.300000000000001</v>
      </c>
      <c r="H3273" t="n">
        <v>0</v>
      </c>
      <c r="I3273" t="n">
        <v>0</v>
      </c>
      <c r="J3273" t="n">
        <v>0</v>
      </c>
      <c r="K3273" t="n">
        <v>0</v>
      </c>
      <c r="L3273" t="n">
        <v>0</v>
      </c>
      <c r="M3273" t="n">
        <v>0</v>
      </c>
      <c r="N3273" t="n">
        <v>0</v>
      </c>
      <c r="O3273" t="n">
        <v>0</v>
      </c>
      <c r="P3273" t="n">
        <v>0</v>
      </c>
      <c r="Q3273" t="n">
        <v>0</v>
      </c>
      <c r="R3273" s="2" t="inlineStr"/>
    </row>
    <row r="3274" ht="15" customHeight="1">
      <c r="A3274" t="inlineStr">
        <is>
          <t>A 49944-2019</t>
        </is>
      </c>
      <c r="B3274" s="1" t="n">
        <v>43733</v>
      </c>
      <c r="C3274" s="1" t="n">
        <v>45212</v>
      </c>
      <c r="D3274" t="inlineStr">
        <is>
          <t>VÄSTRA GÖTALANDS LÄN</t>
        </is>
      </c>
      <c r="E3274" t="inlineStr">
        <is>
          <t>FÄRGELANDA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49730-2019</t>
        </is>
      </c>
      <c r="B3275" s="1" t="n">
        <v>43733</v>
      </c>
      <c r="C3275" s="1" t="n">
        <v>45212</v>
      </c>
      <c r="D3275" t="inlineStr">
        <is>
          <t>VÄSTRA GÖTALANDS LÄN</t>
        </is>
      </c>
      <c r="E3275" t="inlineStr">
        <is>
          <t>SVENLJUNGA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49773-2019</t>
        </is>
      </c>
      <c r="B3276" s="1" t="n">
        <v>43733</v>
      </c>
      <c r="C3276" s="1" t="n">
        <v>45212</v>
      </c>
      <c r="D3276" t="inlineStr">
        <is>
          <t>VÄSTRA GÖTALANDS LÄN</t>
        </is>
      </c>
      <c r="E3276" t="inlineStr">
        <is>
          <t>KARLSBORG</t>
        </is>
      </c>
      <c r="F3276" t="inlineStr">
        <is>
          <t>Sveaskog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49929-2019</t>
        </is>
      </c>
      <c r="B3277" s="1" t="n">
        <v>43733</v>
      </c>
      <c r="C3277" s="1" t="n">
        <v>45212</v>
      </c>
      <c r="D3277" t="inlineStr">
        <is>
          <t>VÄSTRA GÖTALANDS LÄN</t>
        </is>
      </c>
      <c r="E3277" t="inlineStr">
        <is>
          <t>UDDEVALLA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49805-2019</t>
        </is>
      </c>
      <c r="B3278" s="1" t="n">
        <v>43733</v>
      </c>
      <c r="C3278" s="1" t="n">
        <v>45212</v>
      </c>
      <c r="D3278" t="inlineStr">
        <is>
          <t>VÄSTRA GÖTALANDS LÄN</t>
        </is>
      </c>
      <c r="E3278" t="inlineStr">
        <is>
          <t>VARA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49936-2019</t>
        </is>
      </c>
      <c r="B3279" s="1" t="n">
        <v>43733</v>
      </c>
      <c r="C3279" s="1" t="n">
        <v>45212</v>
      </c>
      <c r="D3279" t="inlineStr">
        <is>
          <t>VÄSTRA GÖTALANDS LÄN</t>
        </is>
      </c>
      <c r="E3279" t="inlineStr">
        <is>
          <t>VÄNERSBORG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49787-2019</t>
        </is>
      </c>
      <c r="B3280" s="1" t="n">
        <v>43733</v>
      </c>
      <c r="C3280" s="1" t="n">
        <v>45212</v>
      </c>
      <c r="D3280" t="inlineStr">
        <is>
          <t>VÄSTRA GÖTALANDS LÄN</t>
        </is>
      </c>
      <c r="E3280" t="inlineStr">
        <is>
          <t>ALINGSÅS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49797-2019</t>
        </is>
      </c>
      <c r="B3281" s="1" t="n">
        <v>43733</v>
      </c>
      <c r="C3281" s="1" t="n">
        <v>45212</v>
      </c>
      <c r="D3281" t="inlineStr">
        <is>
          <t>VÄSTRA GÖTALANDS LÄN</t>
        </is>
      </c>
      <c r="E3281" t="inlineStr">
        <is>
          <t>HÄRRYDA</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49862-2019</t>
        </is>
      </c>
      <c r="B3282" s="1" t="n">
        <v>43733</v>
      </c>
      <c r="C3282" s="1" t="n">
        <v>45212</v>
      </c>
      <c r="D3282" t="inlineStr">
        <is>
          <t>VÄSTRA GÖTALANDS LÄN</t>
        </is>
      </c>
      <c r="E3282" t="inlineStr">
        <is>
          <t>MUNKEDAL</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49930-2019</t>
        </is>
      </c>
      <c r="B3283" s="1" t="n">
        <v>43733</v>
      </c>
      <c r="C3283" s="1" t="n">
        <v>45212</v>
      </c>
      <c r="D3283" t="inlineStr">
        <is>
          <t>VÄSTRA GÖTALANDS LÄN</t>
        </is>
      </c>
      <c r="E3283" t="inlineStr">
        <is>
          <t>UDDEVALLA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50078-2019</t>
        </is>
      </c>
      <c r="B3284" s="1" t="n">
        <v>43734</v>
      </c>
      <c r="C3284" s="1" t="n">
        <v>45212</v>
      </c>
      <c r="D3284" t="inlineStr">
        <is>
          <t>VÄSTRA GÖTALANDS LÄN</t>
        </is>
      </c>
      <c r="E3284" t="inlineStr">
        <is>
          <t>HERRLJUNGA</t>
        </is>
      </c>
      <c r="F3284" t="inlineStr">
        <is>
          <t>Kyrkan</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50168-2019</t>
        </is>
      </c>
      <c r="B3285" s="1" t="n">
        <v>43734</v>
      </c>
      <c r="C3285" s="1" t="n">
        <v>45212</v>
      </c>
      <c r="D3285" t="inlineStr">
        <is>
          <t>VÄSTRA GÖTALANDS LÄN</t>
        </is>
      </c>
      <c r="E3285" t="inlineStr">
        <is>
          <t>HÄRRYDA</t>
        </is>
      </c>
      <c r="G3285" t="n">
        <v>3.4</v>
      </c>
      <c r="H3285" t="n">
        <v>0</v>
      </c>
      <c r="I3285" t="n">
        <v>0</v>
      </c>
      <c r="J3285" t="n">
        <v>0</v>
      </c>
      <c r="K3285" t="n">
        <v>0</v>
      </c>
      <c r="L3285" t="n">
        <v>0</v>
      </c>
      <c r="M3285" t="n">
        <v>0</v>
      </c>
      <c r="N3285" t="n">
        <v>0</v>
      </c>
      <c r="O3285" t="n">
        <v>0</v>
      </c>
      <c r="P3285" t="n">
        <v>0</v>
      </c>
      <c r="Q3285" t="n">
        <v>0</v>
      </c>
      <c r="R3285" s="2" t="inlineStr"/>
    </row>
    <row r="3286" ht="15" customHeight="1">
      <c r="A3286" t="inlineStr">
        <is>
          <t>A 50095-2019</t>
        </is>
      </c>
      <c r="B3286" s="1" t="n">
        <v>43734</v>
      </c>
      <c r="C3286" s="1" t="n">
        <v>45212</v>
      </c>
      <c r="D3286" t="inlineStr">
        <is>
          <t>VÄSTRA GÖTALANDS LÄN</t>
        </is>
      </c>
      <c r="E3286" t="inlineStr">
        <is>
          <t>GULLSPÅNG</t>
        </is>
      </c>
      <c r="G3286" t="n">
        <v>12.6</v>
      </c>
      <c r="H3286" t="n">
        <v>0</v>
      </c>
      <c r="I3286" t="n">
        <v>0</v>
      </c>
      <c r="J3286" t="n">
        <v>0</v>
      </c>
      <c r="K3286" t="n">
        <v>0</v>
      </c>
      <c r="L3286" t="n">
        <v>0</v>
      </c>
      <c r="M3286" t="n">
        <v>0</v>
      </c>
      <c r="N3286" t="n">
        <v>0</v>
      </c>
      <c r="O3286" t="n">
        <v>0</v>
      </c>
      <c r="P3286" t="n">
        <v>0</v>
      </c>
      <c r="Q3286" t="n">
        <v>0</v>
      </c>
      <c r="R3286" s="2" t="inlineStr"/>
    </row>
    <row r="3287" ht="15" customHeight="1">
      <c r="A3287" t="inlineStr">
        <is>
          <t>A 51957-2019</t>
        </is>
      </c>
      <c r="B3287" s="1" t="n">
        <v>43734</v>
      </c>
      <c r="C3287" s="1" t="n">
        <v>45212</v>
      </c>
      <c r="D3287" t="inlineStr">
        <is>
          <t>VÄSTRA GÖTALANDS LÄN</t>
        </is>
      </c>
      <c r="E3287" t="inlineStr">
        <is>
          <t>TRANEMO</t>
        </is>
      </c>
      <c r="G3287" t="n">
        <v>5.5</v>
      </c>
      <c r="H3287" t="n">
        <v>0</v>
      </c>
      <c r="I3287" t="n">
        <v>0</v>
      </c>
      <c r="J3287" t="n">
        <v>0</v>
      </c>
      <c r="K3287" t="n">
        <v>0</v>
      </c>
      <c r="L3287" t="n">
        <v>0</v>
      </c>
      <c r="M3287" t="n">
        <v>0</v>
      </c>
      <c r="N3287" t="n">
        <v>0</v>
      </c>
      <c r="O3287" t="n">
        <v>0</v>
      </c>
      <c r="P3287" t="n">
        <v>0</v>
      </c>
      <c r="Q3287" t="n">
        <v>0</v>
      </c>
      <c r="R3287" s="2" t="inlineStr"/>
    </row>
    <row r="3288" ht="15" customHeight="1">
      <c r="A3288" t="inlineStr">
        <is>
          <t>A 50076-2019</t>
        </is>
      </c>
      <c r="B3288" s="1" t="n">
        <v>43734</v>
      </c>
      <c r="C3288" s="1" t="n">
        <v>45212</v>
      </c>
      <c r="D3288" t="inlineStr">
        <is>
          <t>VÄSTRA GÖTALANDS LÄN</t>
        </is>
      </c>
      <c r="E3288" t="inlineStr">
        <is>
          <t>GULLSPÅNG</t>
        </is>
      </c>
      <c r="G3288" t="n">
        <v>10</v>
      </c>
      <c r="H3288" t="n">
        <v>0</v>
      </c>
      <c r="I3288" t="n">
        <v>0</v>
      </c>
      <c r="J3288" t="n">
        <v>0</v>
      </c>
      <c r="K3288" t="n">
        <v>0</v>
      </c>
      <c r="L3288" t="n">
        <v>0</v>
      </c>
      <c r="M3288" t="n">
        <v>0</v>
      </c>
      <c r="N3288" t="n">
        <v>0</v>
      </c>
      <c r="O3288" t="n">
        <v>0</v>
      </c>
      <c r="P3288" t="n">
        <v>0</v>
      </c>
      <c r="Q3288" t="n">
        <v>0</v>
      </c>
      <c r="R3288" s="2" t="inlineStr"/>
    </row>
    <row r="3289" ht="15" customHeight="1">
      <c r="A3289" t="inlineStr">
        <is>
          <t>A 50111-2019</t>
        </is>
      </c>
      <c r="B3289" s="1" t="n">
        <v>43734</v>
      </c>
      <c r="C3289" s="1" t="n">
        <v>45212</v>
      </c>
      <c r="D3289" t="inlineStr">
        <is>
          <t>VÄSTRA GÖTALANDS LÄN</t>
        </is>
      </c>
      <c r="E3289" t="inlineStr">
        <is>
          <t>HERRLJUNGA</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50210-2019</t>
        </is>
      </c>
      <c r="B3290" s="1" t="n">
        <v>43734</v>
      </c>
      <c r="C3290" s="1" t="n">
        <v>45212</v>
      </c>
      <c r="D3290" t="inlineStr">
        <is>
          <t>VÄSTRA GÖTALANDS LÄN</t>
        </is>
      </c>
      <c r="E3290" t="inlineStr">
        <is>
          <t>ALINGSÅS</t>
        </is>
      </c>
      <c r="F3290" t="inlineStr">
        <is>
          <t>Kyrkan</t>
        </is>
      </c>
      <c r="G3290" t="n">
        <v>7.6</v>
      </c>
      <c r="H3290" t="n">
        <v>0</v>
      </c>
      <c r="I3290" t="n">
        <v>0</v>
      </c>
      <c r="J3290" t="n">
        <v>0</v>
      </c>
      <c r="K3290" t="n">
        <v>0</v>
      </c>
      <c r="L3290" t="n">
        <v>0</v>
      </c>
      <c r="M3290" t="n">
        <v>0</v>
      </c>
      <c r="N3290" t="n">
        <v>0</v>
      </c>
      <c r="O3290" t="n">
        <v>0</v>
      </c>
      <c r="P3290" t="n">
        <v>0</v>
      </c>
      <c r="Q3290" t="n">
        <v>0</v>
      </c>
      <c r="R3290" s="2" t="inlineStr"/>
    </row>
    <row r="3291" ht="15" customHeight="1">
      <c r="A3291" t="inlineStr">
        <is>
          <t>A 50236-2019</t>
        </is>
      </c>
      <c r="B3291" s="1" t="n">
        <v>43734</v>
      </c>
      <c r="C3291" s="1" t="n">
        <v>45212</v>
      </c>
      <c r="D3291" t="inlineStr">
        <is>
          <t>VÄSTRA GÖTALANDS LÄN</t>
        </is>
      </c>
      <c r="E3291" t="inlineStr">
        <is>
          <t>ALINGSÅS</t>
        </is>
      </c>
      <c r="F3291" t="inlineStr">
        <is>
          <t>Kyrkan</t>
        </is>
      </c>
      <c r="G3291" t="n">
        <v>13.5</v>
      </c>
      <c r="H3291" t="n">
        <v>0</v>
      </c>
      <c r="I3291" t="n">
        <v>0</v>
      </c>
      <c r="J3291" t="n">
        <v>0</v>
      </c>
      <c r="K3291" t="n">
        <v>0</v>
      </c>
      <c r="L3291" t="n">
        <v>0</v>
      </c>
      <c r="M3291" t="n">
        <v>0</v>
      </c>
      <c r="N3291" t="n">
        <v>0</v>
      </c>
      <c r="O3291" t="n">
        <v>0</v>
      </c>
      <c r="P3291" t="n">
        <v>0</v>
      </c>
      <c r="Q3291" t="n">
        <v>0</v>
      </c>
      <c r="R3291" s="2" t="inlineStr"/>
    </row>
    <row r="3292" ht="15" customHeight="1">
      <c r="A3292" t="inlineStr">
        <is>
          <t>A 50427-2019</t>
        </is>
      </c>
      <c r="B3292" s="1" t="n">
        <v>43735</v>
      </c>
      <c r="C3292" s="1" t="n">
        <v>45212</v>
      </c>
      <c r="D3292" t="inlineStr">
        <is>
          <t>VÄSTRA GÖTALANDS LÄN</t>
        </is>
      </c>
      <c r="E3292" t="inlineStr">
        <is>
          <t>TIBRO</t>
        </is>
      </c>
      <c r="G3292" t="n">
        <v>4.5</v>
      </c>
      <c r="H3292" t="n">
        <v>0</v>
      </c>
      <c r="I3292" t="n">
        <v>0</v>
      </c>
      <c r="J3292" t="n">
        <v>0</v>
      </c>
      <c r="K3292" t="n">
        <v>0</v>
      </c>
      <c r="L3292" t="n">
        <v>0</v>
      </c>
      <c r="M3292" t="n">
        <v>0</v>
      </c>
      <c r="N3292" t="n">
        <v>0</v>
      </c>
      <c r="O3292" t="n">
        <v>0</v>
      </c>
      <c r="P3292" t="n">
        <v>0</v>
      </c>
      <c r="Q3292" t="n">
        <v>0</v>
      </c>
      <c r="R3292" s="2" t="inlineStr"/>
    </row>
    <row r="3293" ht="15" customHeight="1">
      <c r="A3293" t="inlineStr">
        <is>
          <t>A 52198-2019</t>
        </is>
      </c>
      <c r="B3293" s="1" t="n">
        <v>43735</v>
      </c>
      <c r="C3293" s="1" t="n">
        <v>45212</v>
      </c>
      <c r="D3293" t="inlineStr">
        <is>
          <t>VÄSTRA GÖTALANDS LÄN</t>
        </is>
      </c>
      <c r="E3293" t="inlineStr">
        <is>
          <t>UDDEVALLA</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50363-2019</t>
        </is>
      </c>
      <c r="B3294" s="1" t="n">
        <v>43735</v>
      </c>
      <c r="C3294" s="1" t="n">
        <v>45212</v>
      </c>
      <c r="D3294" t="inlineStr">
        <is>
          <t>VÄSTRA GÖTALANDS LÄN</t>
        </is>
      </c>
      <c r="E3294" t="inlineStr">
        <is>
          <t>ALINGSÅS</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50538-2019</t>
        </is>
      </c>
      <c r="B3295" s="1" t="n">
        <v>43735</v>
      </c>
      <c r="C3295" s="1" t="n">
        <v>45212</v>
      </c>
      <c r="D3295" t="inlineStr">
        <is>
          <t>VÄSTRA GÖTALANDS LÄN</t>
        </is>
      </c>
      <c r="E3295" t="inlineStr">
        <is>
          <t>ALE</t>
        </is>
      </c>
      <c r="G3295" t="n">
        <v>10.9</v>
      </c>
      <c r="H3295" t="n">
        <v>0</v>
      </c>
      <c r="I3295" t="n">
        <v>0</v>
      </c>
      <c r="J3295" t="n">
        <v>0</v>
      </c>
      <c r="K3295" t="n">
        <v>0</v>
      </c>
      <c r="L3295" t="n">
        <v>0</v>
      </c>
      <c r="M3295" t="n">
        <v>0</v>
      </c>
      <c r="N3295" t="n">
        <v>0</v>
      </c>
      <c r="O3295" t="n">
        <v>0</v>
      </c>
      <c r="P3295" t="n">
        <v>0</v>
      </c>
      <c r="Q3295" t="n">
        <v>0</v>
      </c>
      <c r="R3295" s="2" t="inlineStr"/>
    </row>
    <row r="3296" ht="15" customHeight="1">
      <c r="A3296" t="inlineStr">
        <is>
          <t>A 50400-2019</t>
        </is>
      </c>
      <c r="B3296" s="1" t="n">
        <v>43735</v>
      </c>
      <c r="C3296" s="1" t="n">
        <v>45212</v>
      </c>
      <c r="D3296" t="inlineStr">
        <is>
          <t>VÄSTRA GÖTALANDS LÄN</t>
        </is>
      </c>
      <c r="E3296" t="inlineStr">
        <is>
          <t>ÅMÅL</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50365-2019</t>
        </is>
      </c>
      <c r="B3297" s="1" t="n">
        <v>43735</v>
      </c>
      <c r="C3297" s="1" t="n">
        <v>45212</v>
      </c>
      <c r="D3297" t="inlineStr">
        <is>
          <t>VÄSTRA GÖTALANDS LÄN</t>
        </is>
      </c>
      <c r="E3297" t="inlineStr">
        <is>
          <t>BENGTSFORS</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50643-2019</t>
        </is>
      </c>
      <c r="B3298" s="1" t="n">
        <v>43737</v>
      </c>
      <c r="C3298" s="1" t="n">
        <v>45212</v>
      </c>
      <c r="D3298" t="inlineStr">
        <is>
          <t>VÄSTRA GÖTALANDS LÄN</t>
        </is>
      </c>
      <c r="E3298" t="inlineStr">
        <is>
          <t>GULLSPÅNG</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50646-2019</t>
        </is>
      </c>
      <c r="B3299" s="1" t="n">
        <v>43737</v>
      </c>
      <c r="C3299" s="1" t="n">
        <v>45212</v>
      </c>
      <c r="D3299" t="inlineStr">
        <is>
          <t>VÄSTRA GÖTALANDS LÄN</t>
        </is>
      </c>
      <c r="E3299" t="inlineStr">
        <is>
          <t>ÅMÅL</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50645-2019</t>
        </is>
      </c>
      <c r="B3300" s="1" t="n">
        <v>43737</v>
      </c>
      <c r="C3300" s="1" t="n">
        <v>45212</v>
      </c>
      <c r="D3300" t="inlineStr">
        <is>
          <t>VÄSTRA GÖTALANDS LÄN</t>
        </is>
      </c>
      <c r="E3300" t="inlineStr">
        <is>
          <t>ÅMÅL</t>
        </is>
      </c>
      <c r="G3300" t="n">
        <v>0.3</v>
      </c>
      <c r="H3300" t="n">
        <v>0</v>
      </c>
      <c r="I3300" t="n">
        <v>0</v>
      </c>
      <c r="J3300" t="n">
        <v>0</v>
      </c>
      <c r="K3300" t="n">
        <v>0</v>
      </c>
      <c r="L3300" t="n">
        <v>0</v>
      </c>
      <c r="M3300" t="n">
        <v>0</v>
      </c>
      <c r="N3300" t="n">
        <v>0</v>
      </c>
      <c r="O3300" t="n">
        <v>0</v>
      </c>
      <c r="P3300" t="n">
        <v>0</v>
      </c>
      <c r="Q3300" t="n">
        <v>0</v>
      </c>
      <c r="R3300" s="2" t="inlineStr"/>
    </row>
    <row r="3301" ht="15" customHeight="1">
      <c r="A3301" t="inlineStr">
        <is>
          <t>A 50648-2019</t>
        </is>
      </c>
      <c r="B3301" s="1" t="n">
        <v>43737</v>
      </c>
      <c r="C3301" s="1" t="n">
        <v>45212</v>
      </c>
      <c r="D3301" t="inlineStr">
        <is>
          <t>VÄSTRA GÖTALANDS LÄN</t>
        </is>
      </c>
      <c r="E3301" t="inlineStr">
        <is>
          <t>ÅMÅL</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50661-2019</t>
        </is>
      </c>
      <c r="B3302" s="1" t="n">
        <v>43737</v>
      </c>
      <c r="C3302" s="1" t="n">
        <v>45212</v>
      </c>
      <c r="D3302" t="inlineStr">
        <is>
          <t>VÄSTRA GÖTALANDS LÄN</t>
        </is>
      </c>
      <c r="E3302" t="inlineStr">
        <is>
          <t>TROLLHÄTTAN</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50715-2019</t>
        </is>
      </c>
      <c r="B3303" s="1" t="n">
        <v>43738</v>
      </c>
      <c r="C3303" s="1" t="n">
        <v>45212</v>
      </c>
      <c r="D3303" t="inlineStr">
        <is>
          <t>VÄSTRA GÖTALANDS LÄN</t>
        </is>
      </c>
      <c r="E3303" t="inlineStr">
        <is>
          <t>MÖLNDAL</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50741-2019</t>
        </is>
      </c>
      <c r="B3304" s="1" t="n">
        <v>43738</v>
      </c>
      <c r="C3304" s="1" t="n">
        <v>45212</v>
      </c>
      <c r="D3304" t="inlineStr">
        <is>
          <t>VÄSTRA GÖTALANDS LÄN</t>
        </is>
      </c>
      <c r="E3304" t="inlineStr">
        <is>
          <t>BENGTSFORS</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50871-2019</t>
        </is>
      </c>
      <c r="B3305" s="1" t="n">
        <v>43738</v>
      </c>
      <c r="C3305" s="1" t="n">
        <v>45212</v>
      </c>
      <c r="D3305" t="inlineStr">
        <is>
          <t>VÄSTRA GÖTALANDS LÄN</t>
        </is>
      </c>
      <c r="E3305" t="inlineStr">
        <is>
          <t>KUNGÄLV</t>
        </is>
      </c>
      <c r="G3305" t="n">
        <v>19.2</v>
      </c>
      <c r="H3305" t="n">
        <v>0</v>
      </c>
      <c r="I3305" t="n">
        <v>0</v>
      </c>
      <c r="J3305" t="n">
        <v>0</v>
      </c>
      <c r="K3305" t="n">
        <v>0</v>
      </c>
      <c r="L3305" t="n">
        <v>0</v>
      </c>
      <c r="M3305" t="n">
        <v>0</v>
      </c>
      <c r="N3305" t="n">
        <v>0</v>
      </c>
      <c r="O3305" t="n">
        <v>0</v>
      </c>
      <c r="P3305" t="n">
        <v>0</v>
      </c>
      <c r="Q3305" t="n">
        <v>0</v>
      </c>
      <c r="R3305" s="2" t="inlineStr"/>
    </row>
    <row r="3306" ht="15" customHeight="1">
      <c r="A3306" t="inlineStr">
        <is>
          <t>A 50832-2019</t>
        </is>
      </c>
      <c r="B3306" s="1" t="n">
        <v>43738</v>
      </c>
      <c r="C3306" s="1" t="n">
        <v>45212</v>
      </c>
      <c r="D3306" t="inlineStr">
        <is>
          <t>VÄSTRA GÖTALANDS LÄN</t>
        </is>
      </c>
      <c r="E3306" t="inlineStr">
        <is>
          <t>ALINGSÅS</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50731-2019</t>
        </is>
      </c>
      <c r="B3307" s="1" t="n">
        <v>43738</v>
      </c>
      <c r="C3307" s="1" t="n">
        <v>45212</v>
      </c>
      <c r="D3307" t="inlineStr">
        <is>
          <t>VÄSTRA GÖTALANDS LÄN</t>
        </is>
      </c>
      <c r="E3307" t="inlineStr">
        <is>
          <t>FÄRGELANDA</t>
        </is>
      </c>
      <c r="G3307" t="n">
        <v>17.2</v>
      </c>
      <c r="H3307" t="n">
        <v>0</v>
      </c>
      <c r="I3307" t="n">
        <v>0</v>
      </c>
      <c r="J3307" t="n">
        <v>0</v>
      </c>
      <c r="K3307" t="n">
        <v>0</v>
      </c>
      <c r="L3307" t="n">
        <v>0</v>
      </c>
      <c r="M3307" t="n">
        <v>0</v>
      </c>
      <c r="N3307" t="n">
        <v>0</v>
      </c>
      <c r="O3307" t="n">
        <v>0</v>
      </c>
      <c r="P3307" t="n">
        <v>0</v>
      </c>
      <c r="Q3307" t="n">
        <v>0</v>
      </c>
      <c r="R3307" s="2" t="inlineStr"/>
    </row>
    <row r="3308" ht="15" customHeight="1">
      <c r="A3308" t="inlineStr">
        <is>
          <t>A 51063-2019</t>
        </is>
      </c>
      <c r="B3308" s="1" t="n">
        <v>43739</v>
      </c>
      <c r="C3308" s="1" t="n">
        <v>45212</v>
      </c>
      <c r="D3308" t="inlineStr">
        <is>
          <t>VÄSTRA GÖTALANDS LÄN</t>
        </is>
      </c>
      <c r="E3308" t="inlineStr">
        <is>
          <t>MARIESTAD</t>
        </is>
      </c>
      <c r="G3308" t="n">
        <v>11.3</v>
      </c>
      <c r="H3308" t="n">
        <v>0</v>
      </c>
      <c r="I3308" t="n">
        <v>0</v>
      </c>
      <c r="J3308" t="n">
        <v>0</v>
      </c>
      <c r="K3308" t="n">
        <v>0</v>
      </c>
      <c r="L3308" t="n">
        <v>0</v>
      </c>
      <c r="M3308" t="n">
        <v>0</v>
      </c>
      <c r="N3308" t="n">
        <v>0</v>
      </c>
      <c r="O3308" t="n">
        <v>0</v>
      </c>
      <c r="P3308" t="n">
        <v>0</v>
      </c>
      <c r="Q3308" t="n">
        <v>0</v>
      </c>
      <c r="R3308" s="2" t="inlineStr"/>
    </row>
    <row r="3309" ht="15" customHeight="1">
      <c r="A3309" t="inlineStr">
        <is>
          <t>A 51148-2019</t>
        </is>
      </c>
      <c r="B3309" s="1" t="n">
        <v>43739</v>
      </c>
      <c r="C3309" s="1" t="n">
        <v>45212</v>
      </c>
      <c r="D3309" t="inlineStr">
        <is>
          <t>VÄSTRA GÖTALANDS LÄN</t>
        </is>
      </c>
      <c r="E3309" t="inlineStr">
        <is>
          <t>BENGTSFORS</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51175-2019</t>
        </is>
      </c>
      <c r="B3310" s="1" t="n">
        <v>43739</v>
      </c>
      <c r="C3310" s="1" t="n">
        <v>45212</v>
      </c>
      <c r="D3310" t="inlineStr">
        <is>
          <t>VÄSTRA GÖTALANDS LÄN</t>
        </is>
      </c>
      <c r="E3310" t="inlineStr">
        <is>
          <t>TIDAHOLM</t>
        </is>
      </c>
      <c r="G3310" t="n">
        <v>12.2</v>
      </c>
      <c r="H3310" t="n">
        <v>0</v>
      </c>
      <c r="I3310" t="n">
        <v>0</v>
      </c>
      <c r="J3310" t="n">
        <v>0</v>
      </c>
      <c r="K3310" t="n">
        <v>0</v>
      </c>
      <c r="L3310" t="n">
        <v>0</v>
      </c>
      <c r="M3310" t="n">
        <v>0</v>
      </c>
      <c r="N3310" t="n">
        <v>0</v>
      </c>
      <c r="O3310" t="n">
        <v>0</v>
      </c>
      <c r="P3310" t="n">
        <v>0</v>
      </c>
      <c r="Q3310" t="n">
        <v>0</v>
      </c>
      <c r="R3310" s="2" t="inlineStr"/>
    </row>
    <row r="3311" ht="15" customHeight="1">
      <c r="A3311" t="inlineStr">
        <is>
          <t>A 51012-2019</t>
        </is>
      </c>
      <c r="B3311" s="1" t="n">
        <v>43739</v>
      </c>
      <c r="C3311" s="1" t="n">
        <v>45212</v>
      </c>
      <c r="D3311" t="inlineStr">
        <is>
          <t>VÄSTRA GÖTALANDS LÄN</t>
        </is>
      </c>
      <c r="E3311" t="inlineStr">
        <is>
          <t>SKARA</t>
        </is>
      </c>
      <c r="F3311" t="inlineStr">
        <is>
          <t>Sveaskog</t>
        </is>
      </c>
      <c r="G3311" t="n">
        <v>2.1</v>
      </c>
      <c r="H3311" t="n">
        <v>0</v>
      </c>
      <c r="I3311" t="n">
        <v>0</v>
      </c>
      <c r="J3311" t="n">
        <v>0</v>
      </c>
      <c r="K3311" t="n">
        <v>0</v>
      </c>
      <c r="L3311" t="n">
        <v>0</v>
      </c>
      <c r="M3311" t="n">
        <v>0</v>
      </c>
      <c r="N3311" t="n">
        <v>0</v>
      </c>
      <c r="O3311" t="n">
        <v>0</v>
      </c>
      <c r="P3311" t="n">
        <v>0</v>
      </c>
      <c r="Q3311" t="n">
        <v>0</v>
      </c>
      <c r="R3311" s="2" t="inlineStr"/>
    </row>
    <row r="3312" ht="15" customHeight="1">
      <c r="A3312" t="inlineStr">
        <is>
          <t>A 51312-2019</t>
        </is>
      </c>
      <c r="B3312" s="1" t="n">
        <v>43739</v>
      </c>
      <c r="C3312" s="1" t="n">
        <v>45212</v>
      </c>
      <c r="D3312" t="inlineStr">
        <is>
          <t>VÄSTRA GÖTALANDS LÄN</t>
        </is>
      </c>
      <c r="E3312" t="inlineStr">
        <is>
          <t>ULRICEHAMN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51014-2019</t>
        </is>
      </c>
      <c r="B3313" s="1" t="n">
        <v>43739</v>
      </c>
      <c r="C3313" s="1" t="n">
        <v>45212</v>
      </c>
      <c r="D3313" t="inlineStr">
        <is>
          <t>VÄSTRA GÖTALANDS LÄN</t>
        </is>
      </c>
      <c r="E3313" t="inlineStr">
        <is>
          <t>SKARA</t>
        </is>
      </c>
      <c r="F3313" t="inlineStr">
        <is>
          <t>Sveaskog</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51157-2019</t>
        </is>
      </c>
      <c r="B3314" s="1" t="n">
        <v>43739</v>
      </c>
      <c r="C3314" s="1" t="n">
        <v>45212</v>
      </c>
      <c r="D3314" t="inlineStr">
        <is>
          <t>VÄSTRA GÖTALANDS LÄN</t>
        </is>
      </c>
      <c r="E3314" t="inlineStr">
        <is>
          <t>TROLLHÄTTAN</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51181-2019</t>
        </is>
      </c>
      <c r="B3315" s="1" t="n">
        <v>43739</v>
      </c>
      <c r="C3315" s="1" t="n">
        <v>45212</v>
      </c>
      <c r="D3315" t="inlineStr">
        <is>
          <t>VÄSTRA GÖTALANDS LÄN</t>
        </is>
      </c>
      <c r="E3315" t="inlineStr">
        <is>
          <t>STRÖMSTAD</t>
        </is>
      </c>
      <c r="G3315" t="n">
        <v>8.5</v>
      </c>
      <c r="H3315" t="n">
        <v>0</v>
      </c>
      <c r="I3315" t="n">
        <v>0</v>
      </c>
      <c r="J3315" t="n">
        <v>0</v>
      </c>
      <c r="K3315" t="n">
        <v>0</v>
      </c>
      <c r="L3315" t="n">
        <v>0</v>
      </c>
      <c r="M3315" t="n">
        <v>0</v>
      </c>
      <c r="N3315" t="n">
        <v>0</v>
      </c>
      <c r="O3315" t="n">
        <v>0</v>
      </c>
      <c r="P3315" t="n">
        <v>0</v>
      </c>
      <c r="Q3315" t="n">
        <v>0</v>
      </c>
      <c r="R3315" s="2" t="inlineStr"/>
    </row>
    <row r="3316" ht="15" customHeight="1">
      <c r="A3316" t="inlineStr">
        <is>
          <t>A 51218-2019</t>
        </is>
      </c>
      <c r="B3316" s="1" t="n">
        <v>43739</v>
      </c>
      <c r="C3316" s="1" t="n">
        <v>45212</v>
      </c>
      <c r="D3316" t="inlineStr">
        <is>
          <t>VÄSTRA GÖTALANDS LÄN</t>
        </is>
      </c>
      <c r="E3316" t="inlineStr">
        <is>
          <t>ULRICEHAMN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52759-2019</t>
        </is>
      </c>
      <c r="B3317" s="1" t="n">
        <v>43739</v>
      </c>
      <c r="C3317" s="1" t="n">
        <v>45212</v>
      </c>
      <c r="D3317" t="inlineStr">
        <is>
          <t>VÄSTRA GÖTALANDS LÄN</t>
        </is>
      </c>
      <c r="E3317" t="inlineStr">
        <is>
          <t>TRANEMO</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52771-2019</t>
        </is>
      </c>
      <c r="B3318" s="1" t="n">
        <v>43739</v>
      </c>
      <c r="C3318" s="1" t="n">
        <v>45212</v>
      </c>
      <c r="D3318" t="inlineStr">
        <is>
          <t>VÄSTRA GÖTALANDS LÄN</t>
        </is>
      </c>
      <c r="E3318" t="inlineStr">
        <is>
          <t>VARA</t>
        </is>
      </c>
      <c r="G3318" t="n">
        <v>2.7</v>
      </c>
      <c r="H3318" t="n">
        <v>0</v>
      </c>
      <c r="I3318" t="n">
        <v>0</v>
      </c>
      <c r="J3318" t="n">
        <v>0</v>
      </c>
      <c r="K3318" t="n">
        <v>0</v>
      </c>
      <c r="L3318" t="n">
        <v>0</v>
      </c>
      <c r="M3318" t="n">
        <v>0</v>
      </c>
      <c r="N3318" t="n">
        <v>0</v>
      </c>
      <c r="O3318" t="n">
        <v>0</v>
      </c>
      <c r="P3318" t="n">
        <v>0</v>
      </c>
      <c r="Q3318" t="n">
        <v>0</v>
      </c>
      <c r="R3318" s="2" t="inlineStr"/>
    </row>
    <row r="3319" ht="15" customHeight="1">
      <c r="A3319" t="inlineStr">
        <is>
          <t>A 51412-2019</t>
        </is>
      </c>
      <c r="B3319" s="1" t="n">
        <v>43740</v>
      </c>
      <c r="C3319" s="1" t="n">
        <v>45212</v>
      </c>
      <c r="D3319" t="inlineStr">
        <is>
          <t>VÄSTRA GÖTALANDS LÄN</t>
        </is>
      </c>
      <c r="E3319" t="inlineStr">
        <is>
          <t>TRANEMO</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51462-2019</t>
        </is>
      </c>
      <c r="B3320" s="1" t="n">
        <v>43740</v>
      </c>
      <c r="C3320" s="1" t="n">
        <v>45212</v>
      </c>
      <c r="D3320" t="inlineStr">
        <is>
          <t>VÄSTRA GÖTALANDS LÄN</t>
        </is>
      </c>
      <c r="E3320" t="inlineStr">
        <is>
          <t>MARIESTAD</t>
        </is>
      </c>
      <c r="F3320" t="inlineStr">
        <is>
          <t>Kommuner</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51477-2019</t>
        </is>
      </c>
      <c r="B3321" s="1" t="n">
        <v>43740</v>
      </c>
      <c r="C3321" s="1" t="n">
        <v>45212</v>
      </c>
      <c r="D3321" t="inlineStr">
        <is>
          <t>VÄSTRA GÖTALANDS LÄN</t>
        </is>
      </c>
      <c r="E3321" t="inlineStr">
        <is>
          <t>MARIESTAD</t>
        </is>
      </c>
      <c r="F3321" t="inlineStr">
        <is>
          <t>Kommuner</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51554-2019</t>
        </is>
      </c>
      <c r="B3322" s="1" t="n">
        <v>43740</v>
      </c>
      <c r="C3322" s="1" t="n">
        <v>45212</v>
      </c>
      <c r="D3322" t="inlineStr">
        <is>
          <t>VÄSTRA GÖTALANDS LÄN</t>
        </is>
      </c>
      <c r="E3322" t="inlineStr">
        <is>
          <t>TIDAHOLM</t>
        </is>
      </c>
      <c r="G3322" t="n">
        <v>2.7</v>
      </c>
      <c r="H3322" t="n">
        <v>0</v>
      </c>
      <c r="I3322" t="n">
        <v>0</v>
      </c>
      <c r="J3322" t="n">
        <v>0</v>
      </c>
      <c r="K3322" t="n">
        <v>0</v>
      </c>
      <c r="L3322" t="n">
        <v>0</v>
      </c>
      <c r="M3322" t="n">
        <v>0</v>
      </c>
      <c r="N3322" t="n">
        <v>0</v>
      </c>
      <c r="O3322" t="n">
        <v>0</v>
      </c>
      <c r="P3322" t="n">
        <v>0</v>
      </c>
      <c r="Q3322" t="n">
        <v>0</v>
      </c>
      <c r="R3322" s="2" t="inlineStr"/>
    </row>
    <row r="3323" ht="15" customHeight="1">
      <c r="A3323" t="inlineStr">
        <is>
          <t>A 51591-2019</t>
        </is>
      </c>
      <c r="B3323" s="1" t="n">
        <v>43740</v>
      </c>
      <c r="C3323" s="1" t="n">
        <v>45212</v>
      </c>
      <c r="D3323" t="inlineStr">
        <is>
          <t>VÄSTRA GÖTALANDS LÄN</t>
        </is>
      </c>
      <c r="E3323" t="inlineStr">
        <is>
          <t>DALS-ED</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53137-2019</t>
        </is>
      </c>
      <c r="B3324" s="1" t="n">
        <v>43740</v>
      </c>
      <c r="C3324" s="1" t="n">
        <v>45212</v>
      </c>
      <c r="D3324" t="inlineStr">
        <is>
          <t>VÄSTRA GÖTALANDS LÄN</t>
        </is>
      </c>
      <c r="E3324" t="inlineStr">
        <is>
          <t>HÄRRYDA</t>
        </is>
      </c>
      <c r="G3324" t="n">
        <v>5.9</v>
      </c>
      <c r="H3324" t="n">
        <v>0</v>
      </c>
      <c r="I3324" t="n">
        <v>0</v>
      </c>
      <c r="J3324" t="n">
        <v>0</v>
      </c>
      <c r="K3324" t="n">
        <v>0</v>
      </c>
      <c r="L3324" t="n">
        <v>0</v>
      </c>
      <c r="M3324" t="n">
        <v>0</v>
      </c>
      <c r="N3324" t="n">
        <v>0</v>
      </c>
      <c r="O3324" t="n">
        <v>0</v>
      </c>
      <c r="P3324" t="n">
        <v>0</v>
      </c>
      <c r="Q3324" t="n">
        <v>0</v>
      </c>
      <c r="R3324" s="2" t="inlineStr"/>
    </row>
    <row r="3325" ht="15" customHeight="1">
      <c r="A3325" t="inlineStr">
        <is>
          <t>A 51418-2019</t>
        </is>
      </c>
      <c r="B3325" s="1" t="n">
        <v>43740</v>
      </c>
      <c r="C3325" s="1" t="n">
        <v>45212</v>
      </c>
      <c r="D3325" t="inlineStr">
        <is>
          <t>VÄSTRA GÖTALANDS LÄN</t>
        </is>
      </c>
      <c r="E3325" t="inlineStr">
        <is>
          <t>MARIESTAD</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51453-2019</t>
        </is>
      </c>
      <c r="B3326" s="1" t="n">
        <v>43740</v>
      </c>
      <c r="C3326" s="1" t="n">
        <v>45212</v>
      </c>
      <c r="D3326" t="inlineStr">
        <is>
          <t>VÄSTRA GÖTALANDS LÄN</t>
        </is>
      </c>
      <c r="E3326" t="inlineStr">
        <is>
          <t>BORÅS</t>
        </is>
      </c>
      <c r="G3326" t="n">
        <v>1.8</v>
      </c>
      <c r="H3326" t="n">
        <v>0</v>
      </c>
      <c r="I3326" t="n">
        <v>0</v>
      </c>
      <c r="J3326" t="n">
        <v>0</v>
      </c>
      <c r="K3326" t="n">
        <v>0</v>
      </c>
      <c r="L3326" t="n">
        <v>0</v>
      </c>
      <c r="M3326" t="n">
        <v>0</v>
      </c>
      <c r="N3326" t="n">
        <v>0</v>
      </c>
      <c r="O3326" t="n">
        <v>0</v>
      </c>
      <c r="P3326" t="n">
        <v>0</v>
      </c>
      <c r="Q3326" t="n">
        <v>0</v>
      </c>
      <c r="R3326" s="2" t="inlineStr"/>
    </row>
    <row r="3327" ht="15" customHeight="1">
      <c r="A3327" t="inlineStr">
        <is>
          <t>A 51472-2019</t>
        </is>
      </c>
      <c r="B3327" s="1" t="n">
        <v>43740</v>
      </c>
      <c r="C3327" s="1" t="n">
        <v>45212</v>
      </c>
      <c r="D3327" t="inlineStr">
        <is>
          <t>VÄSTRA GÖTALANDS LÄN</t>
        </is>
      </c>
      <c r="E3327" t="inlineStr">
        <is>
          <t>MARIESTAD</t>
        </is>
      </c>
      <c r="F3327" t="inlineStr">
        <is>
          <t>Kommuner</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52888-2019</t>
        </is>
      </c>
      <c r="B3328" s="1" t="n">
        <v>43740</v>
      </c>
      <c r="C3328" s="1" t="n">
        <v>45212</v>
      </c>
      <c r="D3328" t="inlineStr">
        <is>
          <t>VÄSTRA GÖTALANDS LÄN</t>
        </is>
      </c>
      <c r="E3328" t="inlineStr">
        <is>
          <t>SKÖVDE</t>
        </is>
      </c>
      <c r="F3328" t="inlineStr">
        <is>
          <t>Kyrkan</t>
        </is>
      </c>
      <c r="G3328" t="n">
        <v>3.5</v>
      </c>
      <c r="H3328" t="n">
        <v>0</v>
      </c>
      <c r="I3328" t="n">
        <v>0</v>
      </c>
      <c r="J3328" t="n">
        <v>0</v>
      </c>
      <c r="K3328" t="n">
        <v>0</v>
      </c>
      <c r="L3328" t="n">
        <v>0</v>
      </c>
      <c r="M3328" t="n">
        <v>0</v>
      </c>
      <c r="N3328" t="n">
        <v>0</v>
      </c>
      <c r="O3328" t="n">
        <v>0</v>
      </c>
      <c r="P3328" t="n">
        <v>0</v>
      </c>
      <c r="Q3328" t="n">
        <v>0</v>
      </c>
      <c r="R3328" s="2" t="inlineStr"/>
    </row>
    <row r="3329" ht="15" customHeight="1">
      <c r="A3329" t="inlineStr">
        <is>
          <t>A 51434-2019</t>
        </is>
      </c>
      <c r="B3329" s="1" t="n">
        <v>43740</v>
      </c>
      <c r="C3329" s="1" t="n">
        <v>45212</v>
      </c>
      <c r="D3329" t="inlineStr">
        <is>
          <t>VÄSTRA GÖTALANDS LÄN</t>
        </is>
      </c>
      <c r="E3329" t="inlineStr">
        <is>
          <t>TRANEMO</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51447-2019</t>
        </is>
      </c>
      <c r="B3330" s="1" t="n">
        <v>43740</v>
      </c>
      <c r="C3330" s="1" t="n">
        <v>45212</v>
      </c>
      <c r="D3330" t="inlineStr">
        <is>
          <t>VÄSTRA GÖTALANDS LÄN</t>
        </is>
      </c>
      <c r="E3330" t="inlineStr">
        <is>
          <t>KARLSBORG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51832-2019</t>
        </is>
      </c>
      <c r="B3331" s="1" t="n">
        <v>43741</v>
      </c>
      <c r="C3331" s="1" t="n">
        <v>45212</v>
      </c>
      <c r="D3331" t="inlineStr">
        <is>
          <t>VÄSTRA GÖTALANDS LÄN</t>
        </is>
      </c>
      <c r="E3331" t="inlineStr">
        <is>
          <t>SKARA</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51920-2019</t>
        </is>
      </c>
      <c r="B3332" s="1" t="n">
        <v>43741</v>
      </c>
      <c r="C3332" s="1" t="n">
        <v>45212</v>
      </c>
      <c r="D3332" t="inlineStr">
        <is>
          <t>VÄSTRA GÖTALANDS LÄN</t>
        </is>
      </c>
      <c r="E3332" t="inlineStr">
        <is>
          <t>MARIESTAD</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53697-2019</t>
        </is>
      </c>
      <c r="B3333" s="1" t="n">
        <v>43741</v>
      </c>
      <c r="C3333" s="1" t="n">
        <v>45212</v>
      </c>
      <c r="D3333" t="inlineStr">
        <is>
          <t>VÄSTRA GÖTALANDS LÄN</t>
        </is>
      </c>
      <c r="E3333" t="inlineStr">
        <is>
          <t>DALS-ED</t>
        </is>
      </c>
      <c r="G3333" t="n">
        <v>6.8</v>
      </c>
      <c r="H3333" t="n">
        <v>0</v>
      </c>
      <c r="I3333" t="n">
        <v>0</v>
      </c>
      <c r="J3333" t="n">
        <v>0</v>
      </c>
      <c r="K3333" t="n">
        <v>0</v>
      </c>
      <c r="L3333" t="n">
        <v>0</v>
      </c>
      <c r="M3333" t="n">
        <v>0</v>
      </c>
      <c r="N3333" t="n">
        <v>0</v>
      </c>
      <c r="O3333" t="n">
        <v>0</v>
      </c>
      <c r="P3333" t="n">
        <v>0</v>
      </c>
      <c r="Q3333" t="n">
        <v>0</v>
      </c>
      <c r="R3333" s="2" t="inlineStr"/>
    </row>
    <row r="3334" ht="15" customHeight="1">
      <c r="A3334" t="inlineStr">
        <is>
          <t>A 51776-2019</t>
        </is>
      </c>
      <c r="B3334" s="1" t="n">
        <v>43741</v>
      </c>
      <c r="C3334" s="1" t="n">
        <v>45212</v>
      </c>
      <c r="D3334" t="inlineStr">
        <is>
          <t>VÄSTRA GÖTALANDS LÄN</t>
        </is>
      </c>
      <c r="E3334" t="inlineStr">
        <is>
          <t>ULRICEHAMN</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53649-2019</t>
        </is>
      </c>
      <c r="B3335" s="1" t="n">
        <v>43741</v>
      </c>
      <c r="C3335" s="1" t="n">
        <v>45212</v>
      </c>
      <c r="D3335" t="inlineStr">
        <is>
          <t>VÄSTRA GÖTALANDS LÄN</t>
        </is>
      </c>
      <c r="E3335" t="inlineStr">
        <is>
          <t>TÖREBODA</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51845-2019</t>
        </is>
      </c>
      <c r="B3336" s="1" t="n">
        <v>43741</v>
      </c>
      <c r="C3336" s="1" t="n">
        <v>45212</v>
      </c>
      <c r="D3336" t="inlineStr">
        <is>
          <t>VÄSTRA GÖTALANDS LÄN</t>
        </is>
      </c>
      <c r="E3336" t="inlineStr">
        <is>
          <t>TIDAHOLM</t>
        </is>
      </c>
      <c r="F3336" t="inlineStr">
        <is>
          <t>Kommuner</t>
        </is>
      </c>
      <c r="G3336" t="n">
        <v>7.4</v>
      </c>
      <c r="H3336" t="n">
        <v>0</v>
      </c>
      <c r="I3336" t="n">
        <v>0</v>
      </c>
      <c r="J3336" t="n">
        <v>0</v>
      </c>
      <c r="K3336" t="n">
        <v>0</v>
      </c>
      <c r="L3336" t="n">
        <v>0</v>
      </c>
      <c r="M3336" t="n">
        <v>0</v>
      </c>
      <c r="N3336" t="n">
        <v>0</v>
      </c>
      <c r="O3336" t="n">
        <v>0</v>
      </c>
      <c r="P3336" t="n">
        <v>0</v>
      </c>
      <c r="Q3336" t="n">
        <v>0</v>
      </c>
      <c r="R3336" s="2" t="inlineStr"/>
    </row>
    <row r="3337" ht="15" customHeight="1">
      <c r="A3337" t="inlineStr">
        <is>
          <t>A 51919-2019</t>
        </is>
      </c>
      <c r="B3337" s="1" t="n">
        <v>43741</v>
      </c>
      <c r="C3337" s="1" t="n">
        <v>45212</v>
      </c>
      <c r="D3337" t="inlineStr">
        <is>
          <t>VÄSTRA GÖTALANDS LÄN</t>
        </is>
      </c>
      <c r="E3337" t="inlineStr">
        <is>
          <t>MARIESTAD</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52064-2019</t>
        </is>
      </c>
      <c r="B3338" s="1" t="n">
        <v>43742</v>
      </c>
      <c r="C3338" s="1" t="n">
        <v>45212</v>
      </c>
      <c r="D3338" t="inlineStr">
        <is>
          <t>VÄSTRA GÖTALANDS LÄN</t>
        </is>
      </c>
      <c r="E3338" t="inlineStr">
        <is>
          <t>TÖREBODA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52062-2019</t>
        </is>
      </c>
      <c r="B3339" s="1" t="n">
        <v>43742</v>
      </c>
      <c r="C3339" s="1" t="n">
        <v>45212</v>
      </c>
      <c r="D3339" t="inlineStr">
        <is>
          <t>VÄSTRA GÖTALANDS LÄN</t>
        </is>
      </c>
      <c r="E3339" t="inlineStr">
        <is>
          <t>TÖREBODA</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52060-2019</t>
        </is>
      </c>
      <c r="B3340" s="1" t="n">
        <v>43742</v>
      </c>
      <c r="C3340" s="1" t="n">
        <v>45212</v>
      </c>
      <c r="D3340" t="inlineStr">
        <is>
          <t>VÄSTRA GÖTALANDS LÄN</t>
        </is>
      </c>
      <c r="E3340" t="inlineStr">
        <is>
          <t>ALINGSÅS</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52112-2019</t>
        </is>
      </c>
      <c r="B3341" s="1" t="n">
        <v>43742</v>
      </c>
      <c r="C3341" s="1" t="n">
        <v>45212</v>
      </c>
      <c r="D3341" t="inlineStr">
        <is>
          <t>VÄSTRA GÖTALANDS LÄN</t>
        </is>
      </c>
      <c r="E3341" t="inlineStr">
        <is>
          <t>BENGTSFORS</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52189-2019</t>
        </is>
      </c>
      <c r="B3342" s="1" t="n">
        <v>43742</v>
      </c>
      <c r="C3342" s="1" t="n">
        <v>45212</v>
      </c>
      <c r="D3342" t="inlineStr">
        <is>
          <t>VÄSTRA GÖTALANDS LÄN</t>
        </is>
      </c>
      <c r="E3342" t="inlineStr">
        <is>
          <t>TIDAHOLM</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52272-2019</t>
        </is>
      </c>
      <c r="B3343" s="1" t="n">
        <v>43743</v>
      </c>
      <c r="C3343" s="1" t="n">
        <v>45212</v>
      </c>
      <c r="D3343" t="inlineStr">
        <is>
          <t>VÄSTRA GÖTALANDS LÄN</t>
        </is>
      </c>
      <c r="E3343" t="inlineStr">
        <is>
          <t>SKÖVDE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52277-2019</t>
        </is>
      </c>
      <c r="B3344" s="1" t="n">
        <v>43744</v>
      </c>
      <c r="C3344" s="1" t="n">
        <v>45212</v>
      </c>
      <c r="D3344" t="inlineStr">
        <is>
          <t>VÄSTRA GÖTALANDS LÄN</t>
        </is>
      </c>
      <c r="E3344" t="inlineStr">
        <is>
          <t>TROLLHÄTTAN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54032-2019</t>
        </is>
      </c>
      <c r="B3345" s="1" t="n">
        <v>43745</v>
      </c>
      <c r="C3345" s="1" t="n">
        <v>45212</v>
      </c>
      <c r="D3345" t="inlineStr">
        <is>
          <t>VÄSTRA GÖTALANDS LÄN</t>
        </is>
      </c>
      <c r="E3345" t="inlineStr">
        <is>
          <t>ÅMÅL</t>
        </is>
      </c>
      <c r="G3345" t="n">
        <v>1.7</v>
      </c>
      <c r="H3345" t="n">
        <v>0</v>
      </c>
      <c r="I3345" t="n">
        <v>0</v>
      </c>
      <c r="J3345" t="n">
        <v>0</v>
      </c>
      <c r="K3345" t="n">
        <v>0</v>
      </c>
      <c r="L3345" t="n">
        <v>0</v>
      </c>
      <c r="M3345" t="n">
        <v>0</v>
      </c>
      <c r="N3345" t="n">
        <v>0</v>
      </c>
      <c r="O3345" t="n">
        <v>0</v>
      </c>
      <c r="P3345" t="n">
        <v>0</v>
      </c>
      <c r="Q3345" t="n">
        <v>0</v>
      </c>
      <c r="R3345" s="2" t="inlineStr"/>
    </row>
    <row r="3346" ht="15" customHeight="1">
      <c r="A3346" t="inlineStr">
        <is>
          <t>A 52565-2019</t>
        </is>
      </c>
      <c r="B3346" s="1" t="n">
        <v>43745</v>
      </c>
      <c r="C3346" s="1" t="n">
        <v>45212</v>
      </c>
      <c r="D3346" t="inlineStr">
        <is>
          <t>VÄSTRA GÖTALANDS LÄN</t>
        </is>
      </c>
      <c r="E3346" t="inlineStr">
        <is>
          <t>TANUM</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54157-2019</t>
        </is>
      </c>
      <c r="B3347" s="1" t="n">
        <v>43745</v>
      </c>
      <c r="C3347" s="1" t="n">
        <v>45212</v>
      </c>
      <c r="D3347" t="inlineStr">
        <is>
          <t>VÄSTRA GÖTALANDS LÄN</t>
        </is>
      </c>
      <c r="E3347" t="inlineStr">
        <is>
          <t>TANUM</t>
        </is>
      </c>
      <c r="G3347" t="n">
        <v>2</v>
      </c>
      <c r="H3347" t="n">
        <v>0</v>
      </c>
      <c r="I3347" t="n">
        <v>0</v>
      </c>
      <c r="J3347" t="n">
        <v>0</v>
      </c>
      <c r="K3347" t="n">
        <v>0</v>
      </c>
      <c r="L3347" t="n">
        <v>0</v>
      </c>
      <c r="M3347" t="n">
        <v>0</v>
      </c>
      <c r="N3347" t="n">
        <v>0</v>
      </c>
      <c r="O3347" t="n">
        <v>0</v>
      </c>
      <c r="P3347" t="n">
        <v>0</v>
      </c>
      <c r="Q3347" t="n">
        <v>0</v>
      </c>
      <c r="R3347" s="2" t="inlineStr"/>
    </row>
    <row r="3348" ht="15" customHeight="1">
      <c r="A3348" t="inlineStr">
        <is>
          <t>A 52321-2019</t>
        </is>
      </c>
      <c r="B3348" s="1" t="n">
        <v>43745</v>
      </c>
      <c r="C3348" s="1" t="n">
        <v>45212</v>
      </c>
      <c r="D3348" t="inlineStr">
        <is>
          <t>VÄSTRA GÖTALANDS LÄN</t>
        </is>
      </c>
      <c r="E3348" t="inlineStr">
        <is>
          <t>ULRICEHAMN</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52548-2019</t>
        </is>
      </c>
      <c r="B3349" s="1" t="n">
        <v>43745</v>
      </c>
      <c r="C3349" s="1" t="n">
        <v>45212</v>
      </c>
      <c r="D3349" t="inlineStr">
        <is>
          <t>VÄSTRA GÖTALANDS LÄN</t>
        </is>
      </c>
      <c r="E3349" t="inlineStr">
        <is>
          <t>SVENLJUNGA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54161-2019</t>
        </is>
      </c>
      <c r="B3350" s="1" t="n">
        <v>43745</v>
      </c>
      <c r="C3350" s="1" t="n">
        <v>45212</v>
      </c>
      <c r="D3350" t="inlineStr">
        <is>
          <t>VÄSTRA GÖTALANDS LÄN</t>
        </is>
      </c>
      <c r="E3350" t="inlineStr">
        <is>
          <t>TANUM</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52916-2019</t>
        </is>
      </c>
      <c r="B3351" s="1" t="n">
        <v>43746</v>
      </c>
      <c r="C3351" s="1" t="n">
        <v>45212</v>
      </c>
      <c r="D3351" t="inlineStr">
        <is>
          <t>VÄSTRA GÖTALANDS LÄN</t>
        </is>
      </c>
      <c r="E3351" t="inlineStr">
        <is>
          <t>VÄNERSBORG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52891-2019</t>
        </is>
      </c>
      <c r="B3352" s="1" t="n">
        <v>43746</v>
      </c>
      <c r="C3352" s="1" t="n">
        <v>45212</v>
      </c>
      <c r="D3352" t="inlineStr">
        <is>
          <t>VÄSTRA GÖTALANDS LÄN</t>
        </is>
      </c>
      <c r="E3352" t="inlineStr">
        <is>
          <t>ESSUNGA</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52911-2019</t>
        </is>
      </c>
      <c r="B3353" s="1" t="n">
        <v>43746</v>
      </c>
      <c r="C3353" s="1" t="n">
        <v>45212</v>
      </c>
      <c r="D3353" t="inlineStr">
        <is>
          <t>VÄSTRA GÖTALANDS LÄN</t>
        </is>
      </c>
      <c r="E3353" t="inlineStr">
        <is>
          <t>VÄNERSBORG</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52807-2019</t>
        </is>
      </c>
      <c r="B3354" s="1" t="n">
        <v>43746</v>
      </c>
      <c r="C3354" s="1" t="n">
        <v>45212</v>
      </c>
      <c r="D3354" t="inlineStr">
        <is>
          <t>VÄSTRA GÖTALANDS LÄN</t>
        </is>
      </c>
      <c r="E3354" t="inlineStr">
        <is>
          <t>VARA</t>
        </is>
      </c>
      <c r="F3354" t="inlineStr">
        <is>
          <t>Kyrkan</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52899-2019</t>
        </is>
      </c>
      <c r="B3355" s="1" t="n">
        <v>43746</v>
      </c>
      <c r="C3355" s="1" t="n">
        <v>45212</v>
      </c>
      <c r="D3355" t="inlineStr">
        <is>
          <t>VÄSTRA GÖTALANDS LÄN</t>
        </is>
      </c>
      <c r="E3355" t="inlineStr">
        <is>
          <t>TROLLHÄTTAN</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52906-2019</t>
        </is>
      </c>
      <c r="B3356" s="1" t="n">
        <v>43746</v>
      </c>
      <c r="C3356" s="1" t="n">
        <v>45212</v>
      </c>
      <c r="D3356" t="inlineStr">
        <is>
          <t>VÄSTRA GÖTALANDS LÄN</t>
        </is>
      </c>
      <c r="E3356" t="inlineStr">
        <is>
          <t>VÅRGÅRDA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52912-2019</t>
        </is>
      </c>
      <c r="B3357" s="1" t="n">
        <v>43746</v>
      </c>
      <c r="C3357" s="1" t="n">
        <v>45212</v>
      </c>
      <c r="D3357" t="inlineStr">
        <is>
          <t>VÄSTRA GÖTALANDS LÄN</t>
        </is>
      </c>
      <c r="E3357" t="inlineStr">
        <is>
          <t>VÄNERSBORG</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53025-2019</t>
        </is>
      </c>
      <c r="B3358" s="1" t="n">
        <v>43747</v>
      </c>
      <c r="C3358" s="1" t="n">
        <v>45212</v>
      </c>
      <c r="D3358" t="inlineStr">
        <is>
          <t>VÄSTRA GÖTALANDS LÄN</t>
        </is>
      </c>
      <c r="E3358" t="inlineStr">
        <is>
          <t>SKÖVDE</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53106-2019</t>
        </is>
      </c>
      <c r="B3359" s="1" t="n">
        <v>43747</v>
      </c>
      <c r="C3359" s="1" t="n">
        <v>45212</v>
      </c>
      <c r="D3359" t="inlineStr">
        <is>
          <t>VÄSTRA GÖTALANDS LÄN</t>
        </is>
      </c>
      <c r="E3359" t="inlineStr">
        <is>
          <t>TIBRO</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53149-2019</t>
        </is>
      </c>
      <c r="B3360" s="1" t="n">
        <v>43747</v>
      </c>
      <c r="C3360" s="1" t="n">
        <v>45212</v>
      </c>
      <c r="D3360" t="inlineStr">
        <is>
          <t>VÄSTRA GÖTALANDS LÄN</t>
        </is>
      </c>
      <c r="E3360" t="inlineStr">
        <is>
          <t>SKÖVDE</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54538-2019</t>
        </is>
      </c>
      <c r="B3361" s="1" t="n">
        <v>43747</v>
      </c>
      <c r="C3361" s="1" t="n">
        <v>45212</v>
      </c>
      <c r="D3361" t="inlineStr">
        <is>
          <t>VÄSTRA GÖTALANDS LÄN</t>
        </is>
      </c>
      <c r="E3361" t="inlineStr">
        <is>
          <t>ÅMÅL</t>
        </is>
      </c>
      <c r="G3361" t="n">
        <v>7.3</v>
      </c>
      <c r="H3361" t="n">
        <v>0</v>
      </c>
      <c r="I3361" t="n">
        <v>0</v>
      </c>
      <c r="J3361" t="n">
        <v>0</v>
      </c>
      <c r="K3361" t="n">
        <v>0</v>
      </c>
      <c r="L3361" t="n">
        <v>0</v>
      </c>
      <c r="M3361" t="n">
        <v>0</v>
      </c>
      <c r="N3361" t="n">
        <v>0</v>
      </c>
      <c r="O3361" t="n">
        <v>0</v>
      </c>
      <c r="P3361" t="n">
        <v>0</v>
      </c>
      <c r="Q3361" t="n">
        <v>0</v>
      </c>
      <c r="R3361" s="2" t="inlineStr"/>
    </row>
    <row r="3362" ht="15" customHeight="1">
      <c r="A3362" t="inlineStr">
        <is>
          <t>A 53042-2019</t>
        </is>
      </c>
      <c r="B3362" s="1" t="n">
        <v>43747</v>
      </c>
      <c r="C3362" s="1" t="n">
        <v>45212</v>
      </c>
      <c r="D3362" t="inlineStr">
        <is>
          <t>VÄSTRA GÖTALANDS LÄN</t>
        </is>
      </c>
      <c r="E3362" t="inlineStr">
        <is>
          <t>TRANEMO</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54545-2019</t>
        </is>
      </c>
      <c r="B3363" s="1" t="n">
        <v>43747</v>
      </c>
      <c r="C3363" s="1" t="n">
        <v>45212</v>
      </c>
      <c r="D3363" t="inlineStr">
        <is>
          <t>VÄSTRA GÖTALANDS LÄN</t>
        </is>
      </c>
      <c r="E3363" t="inlineStr">
        <is>
          <t>ÅMÅL</t>
        </is>
      </c>
      <c r="G3363" t="n">
        <v>6.3</v>
      </c>
      <c r="H3363" t="n">
        <v>0</v>
      </c>
      <c r="I3363" t="n">
        <v>0</v>
      </c>
      <c r="J3363" t="n">
        <v>0</v>
      </c>
      <c r="K3363" t="n">
        <v>0</v>
      </c>
      <c r="L3363" t="n">
        <v>0</v>
      </c>
      <c r="M3363" t="n">
        <v>0</v>
      </c>
      <c r="N3363" t="n">
        <v>0</v>
      </c>
      <c r="O3363" t="n">
        <v>0</v>
      </c>
      <c r="P3363" t="n">
        <v>0</v>
      </c>
      <c r="Q3363" t="n">
        <v>0</v>
      </c>
      <c r="R3363" s="2" t="inlineStr"/>
    </row>
    <row r="3364" ht="15" customHeight="1">
      <c r="A3364" t="inlineStr">
        <is>
          <t>A 53043-2019</t>
        </is>
      </c>
      <c r="B3364" s="1" t="n">
        <v>43747</v>
      </c>
      <c r="C3364" s="1" t="n">
        <v>45212</v>
      </c>
      <c r="D3364" t="inlineStr">
        <is>
          <t>VÄSTRA GÖTALANDS LÄN</t>
        </is>
      </c>
      <c r="E3364" t="inlineStr">
        <is>
          <t>DALS-ED</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53091-2019</t>
        </is>
      </c>
      <c r="B3365" s="1" t="n">
        <v>43747</v>
      </c>
      <c r="C3365" s="1" t="n">
        <v>45212</v>
      </c>
      <c r="D3365" t="inlineStr">
        <is>
          <t>VÄSTRA GÖTALANDS LÄN</t>
        </is>
      </c>
      <c r="E3365" t="inlineStr">
        <is>
          <t>SKARA</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53102-2019</t>
        </is>
      </c>
      <c r="B3366" s="1" t="n">
        <v>43747</v>
      </c>
      <c r="C3366" s="1" t="n">
        <v>45212</v>
      </c>
      <c r="D3366" t="inlineStr">
        <is>
          <t>VÄSTRA GÖTALANDS LÄN</t>
        </is>
      </c>
      <c r="E3366" t="inlineStr">
        <is>
          <t>TIBRO</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53328-2019</t>
        </is>
      </c>
      <c r="B3367" s="1" t="n">
        <v>43748</v>
      </c>
      <c r="C3367" s="1" t="n">
        <v>45212</v>
      </c>
      <c r="D3367" t="inlineStr">
        <is>
          <t>VÄSTRA GÖTALANDS LÄN</t>
        </is>
      </c>
      <c r="E3367" t="inlineStr">
        <is>
          <t>GÖTENE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53463-2019</t>
        </is>
      </c>
      <c r="B3368" s="1" t="n">
        <v>43748</v>
      </c>
      <c r="C3368" s="1" t="n">
        <v>45212</v>
      </c>
      <c r="D3368" t="inlineStr">
        <is>
          <t>VÄSTRA GÖTALANDS LÄN</t>
        </is>
      </c>
      <c r="E3368" t="inlineStr">
        <is>
          <t>FÄRGELANDA</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53259-2019</t>
        </is>
      </c>
      <c r="B3369" s="1" t="n">
        <v>43748</v>
      </c>
      <c r="C3369" s="1" t="n">
        <v>45212</v>
      </c>
      <c r="D3369" t="inlineStr">
        <is>
          <t>VÄSTRA GÖTALANDS LÄN</t>
        </is>
      </c>
      <c r="E3369" t="inlineStr">
        <is>
          <t>BOLLEBYGD</t>
        </is>
      </c>
      <c r="G3369" t="n">
        <v>5.5</v>
      </c>
      <c r="H3369" t="n">
        <v>0</v>
      </c>
      <c r="I3369" t="n">
        <v>0</v>
      </c>
      <c r="J3369" t="n">
        <v>0</v>
      </c>
      <c r="K3369" t="n">
        <v>0</v>
      </c>
      <c r="L3369" t="n">
        <v>0</v>
      </c>
      <c r="M3369" t="n">
        <v>0</v>
      </c>
      <c r="N3369" t="n">
        <v>0</v>
      </c>
      <c r="O3369" t="n">
        <v>0</v>
      </c>
      <c r="P3369" t="n">
        <v>0</v>
      </c>
      <c r="Q3369" t="n">
        <v>0</v>
      </c>
      <c r="R3369" s="2" t="inlineStr"/>
    </row>
    <row r="3370" ht="15" customHeight="1">
      <c r="A3370" t="inlineStr">
        <is>
          <t>A 54619-2019</t>
        </is>
      </c>
      <c r="B3370" s="1" t="n">
        <v>43748</v>
      </c>
      <c r="C3370" s="1" t="n">
        <v>45212</v>
      </c>
      <c r="D3370" t="inlineStr">
        <is>
          <t>VÄSTRA GÖTALANDS LÄN</t>
        </is>
      </c>
      <c r="E3370" t="inlineStr">
        <is>
          <t>TRANEMO</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54647-2019</t>
        </is>
      </c>
      <c r="B3371" s="1" t="n">
        <v>43748</v>
      </c>
      <c r="C3371" s="1" t="n">
        <v>45212</v>
      </c>
      <c r="D3371" t="inlineStr">
        <is>
          <t>VÄSTRA GÖTALANDS LÄN</t>
        </is>
      </c>
      <c r="E3371" t="inlineStr">
        <is>
          <t>KARLSBORG</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53267-2019</t>
        </is>
      </c>
      <c r="B3372" s="1" t="n">
        <v>43748</v>
      </c>
      <c r="C3372" s="1" t="n">
        <v>45212</v>
      </c>
      <c r="D3372" t="inlineStr">
        <is>
          <t>VÄSTRA GÖTALANDS LÄN</t>
        </is>
      </c>
      <c r="E3372" t="inlineStr">
        <is>
          <t>BORÅS</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53293-2019</t>
        </is>
      </c>
      <c r="B3373" s="1" t="n">
        <v>43748</v>
      </c>
      <c r="C3373" s="1" t="n">
        <v>45212</v>
      </c>
      <c r="D3373" t="inlineStr">
        <is>
          <t>VÄSTRA GÖTALANDS LÄN</t>
        </is>
      </c>
      <c r="E3373" t="inlineStr">
        <is>
          <t>ULRICEHAMN</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53512-2019</t>
        </is>
      </c>
      <c r="B3374" s="1" t="n">
        <v>43749</v>
      </c>
      <c r="C3374" s="1" t="n">
        <v>45212</v>
      </c>
      <c r="D3374" t="inlineStr">
        <is>
          <t>VÄSTRA GÖTALANDS LÄN</t>
        </is>
      </c>
      <c r="E3374" t="inlineStr">
        <is>
          <t>TANUM</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53577-2019</t>
        </is>
      </c>
      <c r="B3375" s="1" t="n">
        <v>43749</v>
      </c>
      <c r="C3375" s="1" t="n">
        <v>45212</v>
      </c>
      <c r="D3375" t="inlineStr">
        <is>
          <t>VÄSTRA GÖTALANDS LÄN</t>
        </is>
      </c>
      <c r="E3375" t="inlineStr">
        <is>
          <t>TANUM</t>
        </is>
      </c>
      <c r="G3375" t="n">
        <v>3</v>
      </c>
      <c r="H3375" t="n">
        <v>0</v>
      </c>
      <c r="I3375" t="n">
        <v>0</v>
      </c>
      <c r="J3375" t="n">
        <v>0</v>
      </c>
      <c r="K3375" t="n">
        <v>0</v>
      </c>
      <c r="L3375" t="n">
        <v>0</v>
      </c>
      <c r="M3375" t="n">
        <v>0</v>
      </c>
      <c r="N3375" t="n">
        <v>0</v>
      </c>
      <c r="O3375" t="n">
        <v>0</v>
      </c>
      <c r="P3375" t="n">
        <v>0</v>
      </c>
      <c r="Q3375" t="n">
        <v>0</v>
      </c>
      <c r="R3375" s="2" t="inlineStr"/>
    </row>
    <row r="3376" ht="15" customHeight="1">
      <c r="A3376" t="inlineStr">
        <is>
          <t>A 53808-2019</t>
        </is>
      </c>
      <c r="B3376" s="1" t="n">
        <v>43751</v>
      </c>
      <c r="C3376" s="1" t="n">
        <v>45212</v>
      </c>
      <c r="D3376" t="inlineStr">
        <is>
          <t>VÄSTRA GÖTALANDS LÄN</t>
        </is>
      </c>
      <c r="E3376" t="inlineStr">
        <is>
          <t>VÄNERSBORG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55149-2019</t>
        </is>
      </c>
      <c r="B3377" s="1" t="n">
        <v>43752</v>
      </c>
      <c r="C3377" s="1" t="n">
        <v>45212</v>
      </c>
      <c r="D3377" t="inlineStr">
        <is>
          <t>VÄSTRA GÖTALANDS LÄN</t>
        </is>
      </c>
      <c r="E3377" t="inlineStr">
        <is>
          <t>LYSEKIL</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53997-2019</t>
        </is>
      </c>
      <c r="B3378" s="1" t="n">
        <v>43752</v>
      </c>
      <c r="C3378" s="1" t="n">
        <v>45212</v>
      </c>
      <c r="D3378" t="inlineStr">
        <is>
          <t>VÄSTRA GÖTALANDS LÄN</t>
        </is>
      </c>
      <c r="E3378" t="inlineStr">
        <is>
          <t>MARK</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54109-2019</t>
        </is>
      </c>
      <c r="B3379" s="1" t="n">
        <v>43752</v>
      </c>
      <c r="C3379" s="1" t="n">
        <v>45212</v>
      </c>
      <c r="D3379" t="inlineStr">
        <is>
          <t>VÄSTRA GÖTALANDS LÄN</t>
        </is>
      </c>
      <c r="E3379" t="inlineStr">
        <is>
          <t>TIDAHOLM</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55133-2019</t>
        </is>
      </c>
      <c r="B3380" s="1" t="n">
        <v>43752</v>
      </c>
      <c r="C3380" s="1" t="n">
        <v>45212</v>
      </c>
      <c r="D3380" t="inlineStr">
        <is>
          <t>VÄSTRA GÖTALANDS LÄN</t>
        </is>
      </c>
      <c r="E3380" t="inlineStr">
        <is>
          <t>BORÅS</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54230-2019</t>
        </is>
      </c>
      <c r="B3381" s="1" t="n">
        <v>43753</v>
      </c>
      <c r="C3381" s="1" t="n">
        <v>45212</v>
      </c>
      <c r="D3381" t="inlineStr">
        <is>
          <t>VÄSTRA GÖTALANDS LÄN</t>
        </is>
      </c>
      <c r="E3381" t="inlineStr">
        <is>
          <t>TÖREBODA</t>
        </is>
      </c>
      <c r="F3381" t="inlineStr">
        <is>
          <t>Sveaskog</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54299-2019</t>
        </is>
      </c>
      <c r="B3382" s="1" t="n">
        <v>43753</v>
      </c>
      <c r="C3382" s="1" t="n">
        <v>45212</v>
      </c>
      <c r="D3382" t="inlineStr">
        <is>
          <t>VÄSTRA GÖTALANDS LÄN</t>
        </is>
      </c>
      <c r="E3382" t="inlineStr">
        <is>
          <t>TJÖRN</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54487-2019</t>
        </is>
      </c>
      <c r="B3383" s="1" t="n">
        <v>43754</v>
      </c>
      <c r="C3383" s="1" t="n">
        <v>45212</v>
      </c>
      <c r="D3383" t="inlineStr">
        <is>
          <t>VÄSTRA GÖTALANDS LÄN</t>
        </is>
      </c>
      <c r="E3383" t="inlineStr">
        <is>
          <t>TROLLHÄTTAN</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54531-2019</t>
        </is>
      </c>
      <c r="B3384" s="1" t="n">
        <v>43754</v>
      </c>
      <c r="C3384" s="1" t="n">
        <v>45212</v>
      </c>
      <c r="D3384" t="inlineStr">
        <is>
          <t>VÄSTRA GÖTALANDS LÄN</t>
        </is>
      </c>
      <c r="E3384" t="inlineStr">
        <is>
          <t>TANUM</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54540-2019</t>
        </is>
      </c>
      <c r="B3385" s="1" t="n">
        <v>43754</v>
      </c>
      <c r="C3385" s="1" t="n">
        <v>45212</v>
      </c>
      <c r="D3385" t="inlineStr">
        <is>
          <t>VÄSTRA GÖTALANDS LÄN</t>
        </is>
      </c>
      <c r="E3385" t="inlineStr">
        <is>
          <t>GULLSPÅNG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54446-2019</t>
        </is>
      </c>
      <c r="B3386" s="1" t="n">
        <v>43754</v>
      </c>
      <c r="C3386" s="1" t="n">
        <v>45212</v>
      </c>
      <c r="D3386" t="inlineStr">
        <is>
          <t>VÄSTRA GÖTALANDS LÄN</t>
        </is>
      </c>
      <c r="E3386" t="inlineStr">
        <is>
          <t>TIDAHOLM</t>
        </is>
      </c>
      <c r="F3386" t="inlineStr">
        <is>
          <t>Kyrkan</t>
        </is>
      </c>
      <c r="G3386" t="n">
        <v>8.9</v>
      </c>
      <c r="H3386" t="n">
        <v>0</v>
      </c>
      <c r="I3386" t="n">
        <v>0</v>
      </c>
      <c r="J3386" t="n">
        <v>0</v>
      </c>
      <c r="K3386" t="n">
        <v>0</v>
      </c>
      <c r="L3386" t="n">
        <v>0</v>
      </c>
      <c r="M3386" t="n">
        <v>0</v>
      </c>
      <c r="N3386" t="n">
        <v>0</v>
      </c>
      <c r="O3386" t="n">
        <v>0</v>
      </c>
      <c r="P3386" t="n">
        <v>0</v>
      </c>
      <c r="Q3386" t="n">
        <v>0</v>
      </c>
      <c r="R3386" s="2" t="inlineStr"/>
    </row>
    <row r="3387" ht="15" customHeight="1">
      <c r="A3387" t="inlineStr">
        <is>
          <t>A 54488-2019</t>
        </is>
      </c>
      <c r="B3387" s="1" t="n">
        <v>43754</v>
      </c>
      <c r="C3387" s="1" t="n">
        <v>45212</v>
      </c>
      <c r="D3387" t="inlineStr">
        <is>
          <t>VÄSTRA GÖTALANDS LÄN</t>
        </is>
      </c>
      <c r="E3387" t="inlineStr">
        <is>
          <t>TROLLHÄTTAN</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54850-2019</t>
        </is>
      </c>
      <c r="B3388" s="1" t="n">
        <v>43755</v>
      </c>
      <c r="C3388" s="1" t="n">
        <v>45212</v>
      </c>
      <c r="D3388" t="inlineStr">
        <is>
          <t>VÄSTRA GÖTALANDS LÄN</t>
        </is>
      </c>
      <c r="E3388" t="inlineStr">
        <is>
          <t>MARK</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55636-2019</t>
        </is>
      </c>
      <c r="B3389" s="1" t="n">
        <v>43755</v>
      </c>
      <c r="C3389" s="1" t="n">
        <v>45212</v>
      </c>
      <c r="D3389" t="inlineStr">
        <is>
          <t>VÄSTRA GÖTALANDS LÄN</t>
        </is>
      </c>
      <c r="E3389" t="inlineStr">
        <is>
          <t>SOTENÄS</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56086-2019</t>
        </is>
      </c>
      <c r="B3390" s="1" t="n">
        <v>43755</v>
      </c>
      <c r="C3390" s="1" t="n">
        <v>45212</v>
      </c>
      <c r="D3390" t="inlineStr">
        <is>
          <t>VÄSTRA GÖTALANDS LÄN</t>
        </is>
      </c>
      <c r="E3390" t="inlineStr">
        <is>
          <t>TANUM</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56123-2019</t>
        </is>
      </c>
      <c r="B3391" s="1" t="n">
        <v>43755</v>
      </c>
      <c r="C3391" s="1" t="n">
        <v>45212</v>
      </c>
      <c r="D3391" t="inlineStr">
        <is>
          <t>VÄSTRA GÖTALANDS LÄN</t>
        </is>
      </c>
      <c r="E3391" t="inlineStr">
        <is>
          <t>VARA</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56078-2019</t>
        </is>
      </c>
      <c r="B3392" s="1" t="n">
        <v>43755</v>
      </c>
      <c r="C3392" s="1" t="n">
        <v>45212</v>
      </c>
      <c r="D3392" t="inlineStr">
        <is>
          <t>VÄSTRA GÖTALANDS LÄN</t>
        </is>
      </c>
      <c r="E3392" t="inlineStr">
        <is>
          <t>SOTENÄS</t>
        </is>
      </c>
      <c r="G3392" t="n">
        <v>4.7</v>
      </c>
      <c r="H3392" t="n">
        <v>0</v>
      </c>
      <c r="I3392" t="n">
        <v>0</v>
      </c>
      <c r="J3392" t="n">
        <v>0</v>
      </c>
      <c r="K3392" t="n">
        <v>0</v>
      </c>
      <c r="L3392" t="n">
        <v>0</v>
      </c>
      <c r="M3392" t="n">
        <v>0</v>
      </c>
      <c r="N3392" t="n">
        <v>0</v>
      </c>
      <c r="O3392" t="n">
        <v>0</v>
      </c>
      <c r="P3392" t="n">
        <v>0</v>
      </c>
      <c r="Q3392" t="n">
        <v>0</v>
      </c>
      <c r="R3392" s="2" t="inlineStr"/>
    </row>
    <row r="3393" ht="15" customHeight="1">
      <c r="A3393" t="inlineStr">
        <is>
          <t>A 54841-2019</t>
        </is>
      </c>
      <c r="B3393" s="1" t="n">
        <v>43755</v>
      </c>
      <c r="C3393" s="1" t="n">
        <v>45212</v>
      </c>
      <c r="D3393" t="inlineStr">
        <is>
          <t>VÄSTRA GÖTALANDS LÄN</t>
        </is>
      </c>
      <c r="E3393" t="inlineStr">
        <is>
          <t>MARK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55226-2019</t>
        </is>
      </c>
      <c r="B3394" s="1" t="n">
        <v>43756</v>
      </c>
      <c r="C3394" s="1" t="n">
        <v>45212</v>
      </c>
      <c r="D3394" t="inlineStr">
        <is>
          <t>VÄSTRA GÖTALANDS LÄN</t>
        </is>
      </c>
      <c r="E3394" t="inlineStr">
        <is>
          <t>TROLLHÄTTAN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55094-2019</t>
        </is>
      </c>
      <c r="B3395" s="1" t="n">
        <v>43756</v>
      </c>
      <c r="C3395" s="1" t="n">
        <v>45212</v>
      </c>
      <c r="D3395" t="inlineStr">
        <is>
          <t>VÄSTRA GÖTALANDS LÄN</t>
        </is>
      </c>
      <c r="E3395" t="inlineStr">
        <is>
          <t>SKÖVDE</t>
        </is>
      </c>
      <c r="G3395" t="n">
        <v>2.1</v>
      </c>
      <c r="H3395" t="n">
        <v>0</v>
      </c>
      <c r="I3395" t="n">
        <v>0</v>
      </c>
      <c r="J3395" t="n">
        <v>0</v>
      </c>
      <c r="K3395" t="n">
        <v>0</v>
      </c>
      <c r="L3395" t="n">
        <v>0</v>
      </c>
      <c r="M3395" t="n">
        <v>0</v>
      </c>
      <c r="N3395" t="n">
        <v>0</v>
      </c>
      <c r="O3395" t="n">
        <v>0</v>
      </c>
      <c r="P3395" t="n">
        <v>0</v>
      </c>
      <c r="Q3395" t="n">
        <v>0</v>
      </c>
      <c r="R3395" s="2" t="inlineStr"/>
    </row>
    <row r="3396" ht="15" customHeight="1">
      <c r="A3396" t="inlineStr">
        <is>
          <t>A 55224-2019</t>
        </is>
      </c>
      <c r="B3396" s="1" t="n">
        <v>43756</v>
      </c>
      <c r="C3396" s="1" t="n">
        <v>45212</v>
      </c>
      <c r="D3396" t="inlineStr">
        <is>
          <t>VÄSTRA GÖTALANDS LÄN</t>
        </is>
      </c>
      <c r="E3396" t="inlineStr">
        <is>
          <t>TROLLHÄTTAN</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55299-2019</t>
        </is>
      </c>
      <c r="B3397" s="1" t="n">
        <v>43756</v>
      </c>
      <c r="C3397" s="1" t="n">
        <v>45212</v>
      </c>
      <c r="D3397" t="inlineStr">
        <is>
          <t>VÄSTRA GÖTALANDS LÄN</t>
        </is>
      </c>
      <c r="E3397" t="inlineStr">
        <is>
          <t>BORÅS</t>
        </is>
      </c>
      <c r="G3397" t="n">
        <v>3.1</v>
      </c>
      <c r="H3397" t="n">
        <v>0</v>
      </c>
      <c r="I3397" t="n">
        <v>0</v>
      </c>
      <c r="J3397" t="n">
        <v>0</v>
      </c>
      <c r="K3397" t="n">
        <v>0</v>
      </c>
      <c r="L3397" t="n">
        <v>0</v>
      </c>
      <c r="M3397" t="n">
        <v>0</v>
      </c>
      <c r="N3397" t="n">
        <v>0</v>
      </c>
      <c r="O3397" t="n">
        <v>0</v>
      </c>
      <c r="P3397" t="n">
        <v>0</v>
      </c>
      <c r="Q3397" t="n">
        <v>0</v>
      </c>
      <c r="R3397" s="2" t="inlineStr"/>
    </row>
    <row r="3398" ht="15" customHeight="1">
      <c r="A3398" t="inlineStr">
        <is>
          <t>A 55126-2019</t>
        </is>
      </c>
      <c r="B3398" s="1" t="n">
        <v>43756</v>
      </c>
      <c r="C3398" s="1" t="n">
        <v>45212</v>
      </c>
      <c r="D3398" t="inlineStr">
        <is>
          <t>VÄSTRA GÖTALANDS LÄN</t>
        </is>
      </c>
      <c r="E3398" t="inlineStr">
        <is>
          <t>VÅRGÅRDA</t>
        </is>
      </c>
      <c r="G3398" t="n">
        <v>2.5</v>
      </c>
      <c r="H3398" t="n">
        <v>0</v>
      </c>
      <c r="I3398" t="n">
        <v>0</v>
      </c>
      <c r="J3398" t="n">
        <v>0</v>
      </c>
      <c r="K3398" t="n">
        <v>0</v>
      </c>
      <c r="L3398" t="n">
        <v>0</v>
      </c>
      <c r="M3398" t="n">
        <v>0</v>
      </c>
      <c r="N3398" t="n">
        <v>0</v>
      </c>
      <c r="O3398" t="n">
        <v>0</v>
      </c>
      <c r="P3398" t="n">
        <v>0</v>
      </c>
      <c r="Q3398" t="n">
        <v>0</v>
      </c>
      <c r="R3398" s="2" t="inlineStr"/>
    </row>
    <row r="3399" ht="15" customHeight="1">
      <c r="A3399" t="inlineStr">
        <is>
          <t>A 55315-2019</t>
        </is>
      </c>
      <c r="B3399" s="1" t="n">
        <v>43756</v>
      </c>
      <c r="C3399" s="1" t="n">
        <v>45212</v>
      </c>
      <c r="D3399" t="inlineStr">
        <is>
          <t>VÄSTRA GÖTALANDS LÄN</t>
        </is>
      </c>
      <c r="E3399" t="inlineStr">
        <is>
          <t>UDDEVALLA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56602-2019</t>
        </is>
      </c>
      <c r="B3400" s="1" t="n">
        <v>43757</v>
      </c>
      <c r="C3400" s="1" t="n">
        <v>45212</v>
      </c>
      <c r="D3400" t="inlineStr">
        <is>
          <t>VÄSTRA GÖTALANDS LÄN</t>
        </is>
      </c>
      <c r="E3400" t="inlineStr">
        <is>
          <t>TANUM</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55402-2019</t>
        </is>
      </c>
      <c r="B3401" s="1" t="n">
        <v>43758</v>
      </c>
      <c r="C3401" s="1" t="n">
        <v>45212</v>
      </c>
      <c r="D3401" t="inlineStr">
        <is>
          <t>VÄSTRA GÖTALANDS LÄN</t>
        </is>
      </c>
      <c r="E3401" t="inlineStr">
        <is>
          <t>BORÅS</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55413-2019</t>
        </is>
      </c>
      <c r="B3402" s="1" t="n">
        <v>43758</v>
      </c>
      <c r="C3402" s="1" t="n">
        <v>45212</v>
      </c>
      <c r="D3402" t="inlineStr">
        <is>
          <t>VÄSTRA GÖTALANDS LÄN</t>
        </is>
      </c>
      <c r="E3402" t="inlineStr">
        <is>
          <t>MARK</t>
        </is>
      </c>
      <c r="G3402" t="n">
        <v>2.9</v>
      </c>
      <c r="H3402" t="n">
        <v>0</v>
      </c>
      <c r="I3402" t="n">
        <v>0</v>
      </c>
      <c r="J3402" t="n">
        <v>0</v>
      </c>
      <c r="K3402" t="n">
        <v>0</v>
      </c>
      <c r="L3402" t="n">
        <v>0</v>
      </c>
      <c r="M3402" t="n">
        <v>0</v>
      </c>
      <c r="N3402" t="n">
        <v>0</v>
      </c>
      <c r="O3402" t="n">
        <v>0</v>
      </c>
      <c r="P3402" t="n">
        <v>0</v>
      </c>
      <c r="Q3402" t="n">
        <v>0</v>
      </c>
      <c r="R3402" s="2" t="inlineStr"/>
    </row>
    <row r="3403" ht="15" customHeight="1">
      <c r="A3403" t="inlineStr">
        <is>
          <t>A 55406-2019</t>
        </is>
      </c>
      <c r="B3403" s="1" t="n">
        <v>43758</v>
      </c>
      <c r="C3403" s="1" t="n">
        <v>45212</v>
      </c>
      <c r="D3403" t="inlineStr">
        <is>
          <t>VÄSTRA GÖTALANDS LÄN</t>
        </is>
      </c>
      <c r="E3403" t="inlineStr">
        <is>
          <t>SVENLJUNGA</t>
        </is>
      </c>
      <c r="G3403" t="n">
        <v>10</v>
      </c>
      <c r="H3403" t="n">
        <v>0</v>
      </c>
      <c r="I3403" t="n">
        <v>0</v>
      </c>
      <c r="J3403" t="n">
        <v>0</v>
      </c>
      <c r="K3403" t="n">
        <v>0</v>
      </c>
      <c r="L3403" t="n">
        <v>0</v>
      </c>
      <c r="M3403" t="n">
        <v>0</v>
      </c>
      <c r="N3403" t="n">
        <v>0</v>
      </c>
      <c r="O3403" t="n">
        <v>0</v>
      </c>
      <c r="P3403" t="n">
        <v>0</v>
      </c>
      <c r="Q3403" t="n">
        <v>0</v>
      </c>
      <c r="R3403" s="2" t="inlineStr"/>
    </row>
    <row r="3404" ht="15" customHeight="1">
      <c r="A3404" t="inlineStr">
        <is>
          <t>A 55557-2019</t>
        </is>
      </c>
      <c r="B3404" s="1" t="n">
        <v>43759</v>
      </c>
      <c r="C3404" s="1" t="n">
        <v>45212</v>
      </c>
      <c r="D3404" t="inlineStr">
        <is>
          <t>VÄSTRA GÖTALANDS LÄN</t>
        </is>
      </c>
      <c r="E3404" t="inlineStr">
        <is>
          <t>VÅRGÅRDA</t>
        </is>
      </c>
      <c r="F3404" t="inlineStr">
        <is>
          <t>Sveaskog</t>
        </is>
      </c>
      <c r="G3404" t="n">
        <v>9.9</v>
      </c>
      <c r="H3404" t="n">
        <v>0</v>
      </c>
      <c r="I3404" t="n">
        <v>0</v>
      </c>
      <c r="J3404" t="n">
        <v>0</v>
      </c>
      <c r="K3404" t="n">
        <v>0</v>
      </c>
      <c r="L3404" t="n">
        <v>0</v>
      </c>
      <c r="M3404" t="n">
        <v>0</v>
      </c>
      <c r="N3404" t="n">
        <v>0</v>
      </c>
      <c r="O3404" t="n">
        <v>0</v>
      </c>
      <c r="P3404" t="n">
        <v>0</v>
      </c>
      <c r="Q3404" t="n">
        <v>0</v>
      </c>
      <c r="R3404" s="2" t="inlineStr"/>
    </row>
    <row r="3405" ht="15" customHeight="1">
      <c r="A3405" t="inlineStr">
        <is>
          <t>A 55482-2019</t>
        </is>
      </c>
      <c r="B3405" s="1" t="n">
        <v>43759</v>
      </c>
      <c r="C3405" s="1" t="n">
        <v>45212</v>
      </c>
      <c r="D3405" t="inlineStr">
        <is>
          <t>VÄSTRA GÖTALANDS LÄN</t>
        </is>
      </c>
      <c r="E3405" t="inlineStr">
        <is>
          <t>TRANEMO</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55526-2019</t>
        </is>
      </c>
      <c r="B3406" s="1" t="n">
        <v>43759</v>
      </c>
      <c r="C3406" s="1" t="n">
        <v>45212</v>
      </c>
      <c r="D3406" t="inlineStr">
        <is>
          <t>VÄSTRA GÖTALANDS LÄN</t>
        </is>
      </c>
      <c r="E3406" t="inlineStr">
        <is>
          <t>VÅRGÅRDA</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57300-2019</t>
        </is>
      </c>
      <c r="B3407" s="1" t="n">
        <v>43760</v>
      </c>
      <c r="C3407" s="1" t="n">
        <v>45212</v>
      </c>
      <c r="D3407" t="inlineStr">
        <is>
          <t>VÄSTRA GÖTALANDS LÄN</t>
        </is>
      </c>
      <c r="E3407" t="inlineStr">
        <is>
          <t>GÖTENE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55570-2019</t>
        </is>
      </c>
      <c r="B3408" s="1" t="n">
        <v>43760</v>
      </c>
      <c r="C3408" s="1" t="n">
        <v>45212</v>
      </c>
      <c r="D3408" t="inlineStr">
        <is>
          <t>VÄSTRA GÖTALANDS LÄN</t>
        </is>
      </c>
      <c r="E3408" t="inlineStr">
        <is>
          <t>ÅMÅL</t>
        </is>
      </c>
      <c r="G3408" t="n">
        <v>0</v>
      </c>
      <c r="H3408" t="n">
        <v>0</v>
      </c>
      <c r="I3408" t="n">
        <v>0</v>
      </c>
      <c r="J3408" t="n">
        <v>0</v>
      </c>
      <c r="K3408" t="n">
        <v>0</v>
      </c>
      <c r="L3408" t="n">
        <v>0</v>
      </c>
      <c r="M3408" t="n">
        <v>0</v>
      </c>
      <c r="N3408" t="n">
        <v>0</v>
      </c>
      <c r="O3408" t="n">
        <v>0</v>
      </c>
      <c r="P3408" t="n">
        <v>0</v>
      </c>
      <c r="Q3408" t="n">
        <v>0</v>
      </c>
      <c r="R3408" s="2" t="inlineStr"/>
    </row>
    <row r="3409" ht="15" customHeight="1">
      <c r="A3409" t="inlineStr">
        <is>
          <t>A 55454-2019</t>
        </is>
      </c>
      <c r="B3409" s="1" t="n">
        <v>43760</v>
      </c>
      <c r="C3409" s="1" t="n">
        <v>45212</v>
      </c>
      <c r="D3409" t="inlineStr">
        <is>
          <t>VÄSTRA GÖTALANDS LÄN</t>
        </is>
      </c>
      <c r="E3409" t="inlineStr">
        <is>
          <t>SVENLJUNGA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55579-2019</t>
        </is>
      </c>
      <c r="B3410" s="1" t="n">
        <v>43760</v>
      </c>
      <c r="C3410" s="1" t="n">
        <v>45212</v>
      </c>
      <c r="D3410" t="inlineStr">
        <is>
          <t>VÄSTRA GÖTALANDS LÄN</t>
        </is>
      </c>
      <c r="E3410" t="inlineStr">
        <is>
          <t>TRANEMO</t>
        </is>
      </c>
      <c r="G3410" t="n">
        <v>5</v>
      </c>
      <c r="H3410" t="n">
        <v>0</v>
      </c>
      <c r="I3410" t="n">
        <v>0</v>
      </c>
      <c r="J3410" t="n">
        <v>0</v>
      </c>
      <c r="K3410" t="n">
        <v>0</v>
      </c>
      <c r="L3410" t="n">
        <v>0</v>
      </c>
      <c r="M3410" t="n">
        <v>0</v>
      </c>
      <c r="N3410" t="n">
        <v>0</v>
      </c>
      <c r="O3410" t="n">
        <v>0</v>
      </c>
      <c r="P3410" t="n">
        <v>0</v>
      </c>
      <c r="Q3410" t="n">
        <v>0</v>
      </c>
      <c r="R3410" s="2" t="inlineStr"/>
    </row>
    <row r="3411" ht="15" customHeight="1">
      <c r="A3411" t="inlineStr">
        <is>
          <t>A 55639-2019</t>
        </is>
      </c>
      <c r="B3411" s="1" t="n">
        <v>43760</v>
      </c>
      <c r="C3411" s="1" t="n">
        <v>45212</v>
      </c>
      <c r="D3411" t="inlineStr">
        <is>
          <t>VÄSTRA GÖTALANDS LÄN</t>
        </is>
      </c>
      <c r="E3411" t="inlineStr">
        <is>
          <t>FÄRGELANDA</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56128-2019</t>
        </is>
      </c>
      <c r="B3412" s="1" t="n">
        <v>43761</v>
      </c>
      <c r="C3412" s="1" t="n">
        <v>45212</v>
      </c>
      <c r="D3412" t="inlineStr">
        <is>
          <t>VÄSTRA GÖTALANDS LÄN</t>
        </is>
      </c>
      <c r="E3412" t="inlineStr">
        <is>
          <t>ULRICEHAMN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55836-2019</t>
        </is>
      </c>
      <c r="B3413" s="1" t="n">
        <v>43761</v>
      </c>
      <c r="C3413" s="1" t="n">
        <v>45212</v>
      </c>
      <c r="D3413" t="inlineStr">
        <is>
          <t>VÄSTRA GÖTALANDS LÄN</t>
        </is>
      </c>
      <c r="E3413" t="inlineStr">
        <is>
          <t>TRANEMO</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56134-2019</t>
        </is>
      </c>
      <c r="B3414" s="1" t="n">
        <v>43761</v>
      </c>
      <c r="C3414" s="1" t="n">
        <v>45212</v>
      </c>
      <c r="D3414" t="inlineStr">
        <is>
          <t>VÄSTRA GÖTALANDS LÄN</t>
        </is>
      </c>
      <c r="E3414" t="inlineStr">
        <is>
          <t>VARA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55907-2019</t>
        </is>
      </c>
      <c r="B3415" s="1" t="n">
        <v>43761</v>
      </c>
      <c r="C3415" s="1" t="n">
        <v>45212</v>
      </c>
      <c r="D3415" t="inlineStr">
        <is>
          <t>VÄSTRA GÖTALANDS LÄN</t>
        </is>
      </c>
      <c r="E3415" t="inlineStr">
        <is>
          <t>SVENLJUNGA</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56317-2019</t>
        </is>
      </c>
      <c r="B3416" s="1" t="n">
        <v>43762</v>
      </c>
      <c r="C3416" s="1" t="n">
        <v>45212</v>
      </c>
      <c r="D3416" t="inlineStr">
        <is>
          <t>VÄSTRA GÖTALANDS LÄN</t>
        </is>
      </c>
      <c r="E3416" t="inlineStr">
        <is>
          <t>TIDAHOLM</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56388-2019</t>
        </is>
      </c>
      <c r="B3417" s="1" t="n">
        <v>43762</v>
      </c>
      <c r="C3417" s="1" t="n">
        <v>45212</v>
      </c>
      <c r="D3417" t="inlineStr">
        <is>
          <t>VÄSTRA GÖTALANDS LÄN</t>
        </is>
      </c>
      <c r="E3417" t="inlineStr">
        <is>
          <t>HJO</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56402-2019</t>
        </is>
      </c>
      <c r="B3418" s="1" t="n">
        <v>43762</v>
      </c>
      <c r="C3418" s="1" t="n">
        <v>45212</v>
      </c>
      <c r="D3418" t="inlineStr">
        <is>
          <t>VÄSTRA GÖTALANDS LÄN</t>
        </is>
      </c>
      <c r="E3418" t="inlineStr">
        <is>
          <t>FALKÖPING</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56416-2019</t>
        </is>
      </c>
      <c r="B3419" s="1" t="n">
        <v>43762</v>
      </c>
      <c r="C3419" s="1" t="n">
        <v>45212</v>
      </c>
      <c r="D3419" t="inlineStr">
        <is>
          <t>VÄSTRA GÖTALANDS LÄN</t>
        </is>
      </c>
      <c r="E3419" t="inlineStr">
        <is>
          <t>FALKÖPING</t>
        </is>
      </c>
      <c r="G3419" t="n">
        <v>2.3</v>
      </c>
      <c r="H3419" t="n">
        <v>0</v>
      </c>
      <c r="I3419" t="n">
        <v>0</v>
      </c>
      <c r="J3419" t="n">
        <v>0</v>
      </c>
      <c r="K3419" t="n">
        <v>0</v>
      </c>
      <c r="L3419" t="n">
        <v>0</v>
      </c>
      <c r="M3419" t="n">
        <v>0</v>
      </c>
      <c r="N3419" t="n">
        <v>0</v>
      </c>
      <c r="O3419" t="n">
        <v>0</v>
      </c>
      <c r="P3419" t="n">
        <v>0</v>
      </c>
      <c r="Q3419" t="n">
        <v>0</v>
      </c>
      <c r="R3419" s="2" t="inlineStr"/>
    </row>
    <row r="3420" ht="15" customHeight="1">
      <c r="A3420" t="inlineStr">
        <is>
          <t>A 56574-2019</t>
        </is>
      </c>
      <c r="B3420" s="1" t="n">
        <v>43762</v>
      </c>
      <c r="C3420" s="1" t="n">
        <v>45212</v>
      </c>
      <c r="D3420" t="inlineStr">
        <is>
          <t>VÄSTRA GÖTALANDS LÄN</t>
        </is>
      </c>
      <c r="E3420" t="inlineStr">
        <is>
          <t>TIBRO</t>
        </is>
      </c>
      <c r="G3420" t="n">
        <v>2.2</v>
      </c>
      <c r="H3420" t="n">
        <v>0</v>
      </c>
      <c r="I3420" t="n">
        <v>0</v>
      </c>
      <c r="J3420" t="n">
        <v>0</v>
      </c>
      <c r="K3420" t="n">
        <v>0</v>
      </c>
      <c r="L3420" t="n">
        <v>0</v>
      </c>
      <c r="M3420" t="n">
        <v>0</v>
      </c>
      <c r="N3420" t="n">
        <v>0</v>
      </c>
      <c r="O3420" t="n">
        <v>0</v>
      </c>
      <c r="P3420" t="n">
        <v>0</v>
      </c>
      <c r="Q3420" t="n">
        <v>0</v>
      </c>
      <c r="R3420" s="2" t="inlineStr"/>
    </row>
    <row r="3421" ht="15" customHeight="1">
      <c r="A3421" t="inlineStr">
        <is>
          <t>A 58069-2019</t>
        </is>
      </c>
      <c r="B3421" s="1" t="n">
        <v>43762</v>
      </c>
      <c r="C3421" s="1" t="n">
        <v>45212</v>
      </c>
      <c r="D3421" t="inlineStr">
        <is>
          <t>VÄSTRA GÖTALANDS LÄN</t>
        </is>
      </c>
      <c r="E3421" t="inlineStr">
        <is>
          <t>KARLSBORG</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56294-2019</t>
        </is>
      </c>
      <c r="B3422" s="1" t="n">
        <v>43762</v>
      </c>
      <c r="C3422" s="1" t="n">
        <v>45212</v>
      </c>
      <c r="D3422" t="inlineStr">
        <is>
          <t>VÄSTRA GÖTALANDS LÄN</t>
        </is>
      </c>
      <c r="E3422" t="inlineStr">
        <is>
          <t>KARLSBORG</t>
        </is>
      </c>
      <c r="G3422" t="n">
        <v>0.6</v>
      </c>
      <c r="H3422" t="n">
        <v>0</v>
      </c>
      <c r="I3422" t="n">
        <v>0</v>
      </c>
      <c r="J3422" t="n">
        <v>0</v>
      </c>
      <c r="K3422" t="n">
        <v>0</v>
      </c>
      <c r="L3422" t="n">
        <v>0</v>
      </c>
      <c r="M3422" t="n">
        <v>0</v>
      </c>
      <c r="N3422" t="n">
        <v>0</v>
      </c>
      <c r="O3422" t="n">
        <v>0</v>
      </c>
      <c r="P3422" t="n">
        <v>0</v>
      </c>
      <c r="Q3422" t="n">
        <v>0</v>
      </c>
      <c r="R3422" s="2" t="inlineStr"/>
    </row>
    <row r="3423" ht="15" customHeight="1">
      <c r="A3423" t="inlineStr">
        <is>
          <t>A 56411-2019</t>
        </is>
      </c>
      <c r="B3423" s="1" t="n">
        <v>43762</v>
      </c>
      <c r="C3423" s="1" t="n">
        <v>45212</v>
      </c>
      <c r="D3423" t="inlineStr">
        <is>
          <t>VÄSTRA GÖTALANDS LÄN</t>
        </is>
      </c>
      <c r="E3423" t="inlineStr">
        <is>
          <t>FALKÖPING</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58065-2019</t>
        </is>
      </c>
      <c r="B3424" s="1" t="n">
        <v>43762</v>
      </c>
      <c r="C3424" s="1" t="n">
        <v>45212</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56381-2019</t>
        </is>
      </c>
      <c r="B3425" s="1" t="n">
        <v>43762</v>
      </c>
      <c r="C3425" s="1" t="n">
        <v>45212</v>
      </c>
      <c r="D3425" t="inlineStr">
        <is>
          <t>VÄSTRA GÖTALANDS LÄN</t>
        </is>
      </c>
      <c r="E3425" t="inlineStr">
        <is>
          <t>HJO</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56406-2019</t>
        </is>
      </c>
      <c r="B3426" s="1" t="n">
        <v>43762</v>
      </c>
      <c r="C3426" s="1" t="n">
        <v>45212</v>
      </c>
      <c r="D3426" t="inlineStr">
        <is>
          <t>VÄSTRA GÖTALANDS LÄN</t>
        </is>
      </c>
      <c r="E3426" t="inlineStr">
        <is>
          <t>FALKÖPING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56683-2019</t>
        </is>
      </c>
      <c r="B3427" s="1" t="n">
        <v>43763</v>
      </c>
      <c r="C3427" s="1" t="n">
        <v>45212</v>
      </c>
      <c r="D3427" t="inlineStr">
        <is>
          <t>VÄSTRA GÖTALANDS LÄN</t>
        </is>
      </c>
      <c r="E3427" t="inlineStr">
        <is>
          <t>LIDKÖPING</t>
        </is>
      </c>
      <c r="G3427" t="n">
        <v>2.6</v>
      </c>
      <c r="H3427" t="n">
        <v>0</v>
      </c>
      <c r="I3427" t="n">
        <v>0</v>
      </c>
      <c r="J3427" t="n">
        <v>0</v>
      </c>
      <c r="K3427" t="n">
        <v>0</v>
      </c>
      <c r="L3427" t="n">
        <v>0</v>
      </c>
      <c r="M3427" t="n">
        <v>0</v>
      </c>
      <c r="N3427" t="n">
        <v>0</v>
      </c>
      <c r="O3427" t="n">
        <v>0</v>
      </c>
      <c r="P3427" t="n">
        <v>0</v>
      </c>
      <c r="Q3427" t="n">
        <v>0</v>
      </c>
      <c r="R3427" s="2" t="inlineStr"/>
    </row>
    <row r="3428" ht="15" customHeight="1">
      <c r="A3428" t="inlineStr">
        <is>
          <t>A 56777-2019</t>
        </is>
      </c>
      <c r="B3428" s="1" t="n">
        <v>43763</v>
      </c>
      <c r="C3428" s="1" t="n">
        <v>45212</v>
      </c>
      <c r="D3428" t="inlineStr">
        <is>
          <t>VÄSTRA GÖTALANDS LÄN</t>
        </is>
      </c>
      <c r="E3428" t="inlineStr">
        <is>
          <t>SKÖVDE</t>
        </is>
      </c>
      <c r="G3428" t="n">
        <v>4.7</v>
      </c>
      <c r="H3428" t="n">
        <v>0</v>
      </c>
      <c r="I3428" t="n">
        <v>0</v>
      </c>
      <c r="J3428" t="n">
        <v>0</v>
      </c>
      <c r="K3428" t="n">
        <v>0</v>
      </c>
      <c r="L3428" t="n">
        <v>0</v>
      </c>
      <c r="M3428" t="n">
        <v>0</v>
      </c>
      <c r="N3428" t="n">
        <v>0</v>
      </c>
      <c r="O3428" t="n">
        <v>0</v>
      </c>
      <c r="P3428" t="n">
        <v>0</v>
      </c>
      <c r="Q3428" t="n">
        <v>0</v>
      </c>
      <c r="R3428" s="2" t="inlineStr"/>
    </row>
    <row r="3429" ht="15" customHeight="1">
      <c r="A3429" t="inlineStr">
        <is>
          <t>A 56752-2019</t>
        </is>
      </c>
      <c r="B3429" s="1" t="n">
        <v>43763</v>
      </c>
      <c r="C3429" s="1" t="n">
        <v>45212</v>
      </c>
      <c r="D3429" t="inlineStr">
        <is>
          <t>VÄSTRA GÖTALANDS LÄN</t>
        </is>
      </c>
      <c r="E3429" t="inlineStr">
        <is>
          <t>HERRLJUNGA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56755-2019</t>
        </is>
      </c>
      <c r="B3430" s="1" t="n">
        <v>43763</v>
      </c>
      <c r="C3430" s="1" t="n">
        <v>45212</v>
      </c>
      <c r="D3430" t="inlineStr">
        <is>
          <t>VÄSTRA GÖTALANDS LÄN</t>
        </is>
      </c>
      <c r="E3430" t="inlineStr">
        <is>
          <t>HERRLJUNGA</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56846-2019</t>
        </is>
      </c>
      <c r="B3431" s="1" t="n">
        <v>43765</v>
      </c>
      <c r="C3431" s="1" t="n">
        <v>45212</v>
      </c>
      <c r="D3431" t="inlineStr">
        <is>
          <t>VÄSTRA GÖTALANDS LÄN</t>
        </is>
      </c>
      <c r="E3431" t="inlineStr">
        <is>
          <t>ULRICEHAMN</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56840-2019</t>
        </is>
      </c>
      <c r="B3432" s="1" t="n">
        <v>43765</v>
      </c>
      <c r="C3432" s="1" t="n">
        <v>45212</v>
      </c>
      <c r="D3432" t="inlineStr">
        <is>
          <t>VÄSTRA GÖTALANDS LÄN</t>
        </is>
      </c>
      <c r="E3432" t="inlineStr">
        <is>
          <t>FÄRGELANDA</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58112-2019</t>
        </is>
      </c>
      <c r="B3433" s="1" t="n">
        <v>43766</v>
      </c>
      <c r="C3433" s="1" t="n">
        <v>45212</v>
      </c>
      <c r="D3433" t="inlineStr">
        <is>
          <t>VÄSTRA GÖTALANDS LÄN</t>
        </is>
      </c>
      <c r="E3433" t="inlineStr">
        <is>
          <t>MUNKEDAL</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56927-2019</t>
        </is>
      </c>
      <c r="B3434" s="1" t="n">
        <v>43766</v>
      </c>
      <c r="C3434" s="1" t="n">
        <v>45212</v>
      </c>
      <c r="D3434" t="inlineStr">
        <is>
          <t>VÄSTRA GÖTALANDS LÄN</t>
        </is>
      </c>
      <c r="E3434" t="inlineStr">
        <is>
          <t>GULLSPÅNG</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56997-2019</t>
        </is>
      </c>
      <c r="B3435" s="1" t="n">
        <v>43766</v>
      </c>
      <c r="C3435" s="1" t="n">
        <v>45212</v>
      </c>
      <c r="D3435" t="inlineStr">
        <is>
          <t>VÄSTRA GÖTALANDS LÄN</t>
        </is>
      </c>
      <c r="E3435" t="inlineStr">
        <is>
          <t>BENGTSFORS</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57033-2019</t>
        </is>
      </c>
      <c r="B3436" s="1" t="n">
        <v>43766</v>
      </c>
      <c r="C3436" s="1" t="n">
        <v>45212</v>
      </c>
      <c r="D3436" t="inlineStr">
        <is>
          <t>VÄSTRA GÖTALANDS LÄN</t>
        </is>
      </c>
      <c r="E3436" t="inlineStr">
        <is>
          <t>LILLA EDET</t>
        </is>
      </c>
      <c r="G3436" t="n">
        <v>9.9</v>
      </c>
      <c r="H3436" t="n">
        <v>0</v>
      </c>
      <c r="I3436" t="n">
        <v>0</v>
      </c>
      <c r="J3436" t="n">
        <v>0</v>
      </c>
      <c r="K3436" t="n">
        <v>0</v>
      </c>
      <c r="L3436" t="n">
        <v>0</v>
      </c>
      <c r="M3436" t="n">
        <v>0</v>
      </c>
      <c r="N3436" t="n">
        <v>0</v>
      </c>
      <c r="O3436" t="n">
        <v>0</v>
      </c>
      <c r="P3436" t="n">
        <v>0</v>
      </c>
      <c r="Q3436" t="n">
        <v>0</v>
      </c>
      <c r="R3436" s="2" t="inlineStr"/>
    </row>
    <row r="3437" ht="15" customHeight="1">
      <c r="A3437" t="inlineStr">
        <is>
          <t>A 58451-2019</t>
        </is>
      </c>
      <c r="B3437" s="1" t="n">
        <v>43766</v>
      </c>
      <c r="C3437" s="1" t="n">
        <v>45212</v>
      </c>
      <c r="D3437" t="inlineStr">
        <is>
          <t>VÄSTRA GÖTALANDS LÄN</t>
        </is>
      </c>
      <c r="E3437" t="inlineStr">
        <is>
          <t>GÖTENE</t>
        </is>
      </c>
      <c r="G3437" t="n">
        <v>4</v>
      </c>
      <c r="H3437" t="n">
        <v>0</v>
      </c>
      <c r="I3437" t="n">
        <v>0</v>
      </c>
      <c r="J3437" t="n">
        <v>0</v>
      </c>
      <c r="K3437" t="n">
        <v>0</v>
      </c>
      <c r="L3437" t="n">
        <v>0</v>
      </c>
      <c r="M3437" t="n">
        <v>0</v>
      </c>
      <c r="N3437" t="n">
        <v>0</v>
      </c>
      <c r="O3437" t="n">
        <v>0</v>
      </c>
      <c r="P3437" t="n">
        <v>0</v>
      </c>
      <c r="Q3437" t="n">
        <v>0</v>
      </c>
      <c r="R3437" s="2" t="inlineStr"/>
    </row>
    <row r="3438" ht="15" customHeight="1">
      <c r="A3438" t="inlineStr">
        <is>
          <t>A 56887-2019</t>
        </is>
      </c>
      <c r="B3438" s="1" t="n">
        <v>43766</v>
      </c>
      <c r="C3438" s="1" t="n">
        <v>45212</v>
      </c>
      <c r="D3438" t="inlineStr">
        <is>
          <t>VÄSTRA GÖTALANDS LÄN</t>
        </is>
      </c>
      <c r="E3438" t="inlineStr">
        <is>
          <t>BORÅS</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56957-2019</t>
        </is>
      </c>
      <c r="B3439" s="1" t="n">
        <v>43766</v>
      </c>
      <c r="C3439" s="1" t="n">
        <v>45212</v>
      </c>
      <c r="D3439" t="inlineStr">
        <is>
          <t>VÄSTRA GÖTALANDS LÄN</t>
        </is>
      </c>
      <c r="E3439" t="inlineStr">
        <is>
          <t>DALS-ED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57019-2019</t>
        </is>
      </c>
      <c r="B3440" s="1" t="n">
        <v>43766</v>
      </c>
      <c r="C3440" s="1" t="n">
        <v>45212</v>
      </c>
      <c r="D3440" t="inlineStr">
        <is>
          <t>VÄSTRA GÖTALANDS LÄN</t>
        </is>
      </c>
      <c r="E3440" t="inlineStr">
        <is>
          <t>VARA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57094-2019</t>
        </is>
      </c>
      <c r="B3441" s="1" t="n">
        <v>43766</v>
      </c>
      <c r="C3441" s="1" t="n">
        <v>45212</v>
      </c>
      <c r="D3441" t="inlineStr">
        <is>
          <t>VÄSTRA GÖTALANDS LÄN</t>
        </is>
      </c>
      <c r="E3441" t="inlineStr">
        <is>
          <t>BENGTSFORS</t>
        </is>
      </c>
      <c r="G3441" t="n">
        <v>4.2</v>
      </c>
      <c r="H3441" t="n">
        <v>0</v>
      </c>
      <c r="I3441" t="n">
        <v>0</v>
      </c>
      <c r="J3441" t="n">
        <v>0</v>
      </c>
      <c r="K3441" t="n">
        <v>0</v>
      </c>
      <c r="L3441" t="n">
        <v>0</v>
      </c>
      <c r="M3441" t="n">
        <v>0</v>
      </c>
      <c r="N3441" t="n">
        <v>0</v>
      </c>
      <c r="O3441" t="n">
        <v>0</v>
      </c>
      <c r="P3441" t="n">
        <v>0</v>
      </c>
      <c r="Q3441" t="n">
        <v>0</v>
      </c>
      <c r="R3441" s="2" t="inlineStr"/>
    </row>
    <row r="3442" ht="15" customHeight="1">
      <c r="A3442" t="inlineStr">
        <is>
          <t>A 58120-2019</t>
        </is>
      </c>
      <c r="B3442" s="1" t="n">
        <v>43766</v>
      </c>
      <c r="C3442" s="1" t="n">
        <v>45212</v>
      </c>
      <c r="D3442" t="inlineStr">
        <is>
          <t>VÄSTRA GÖTALANDS LÄN</t>
        </is>
      </c>
      <c r="E3442" t="inlineStr">
        <is>
          <t>DALS-ED</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56953-2019</t>
        </is>
      </c>
      <c r="B3443" s="1" t="n">
        <v>43766</v>
      </c>
      <c r="C3443" s="1" t="n">
        <v>45212</v>
      </c>
      <c r="D3443" t="inlineStr">
        <is>
          <t>VÄSTRA GÖTALANDS LÄN</t>
        </is>
      </c>
      <c r="E3443" t="inlineStr">
        <is>
          <t>ALINGSÅS</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57036-2019</t>
        </is>
      </c>
      <c r="B3444" s="1" t="n">
        <v>43766</v>
      </c>
      <c r="C3444" s="1" t="n">
        <v>45212</v>
      </c>
      <c r="D3444" t="inlineStr">
        <is>
          <t>VÄSTRA GÖTALANDS LÄN</t>
        </is>
      </c>
      <c r="E3444" t="inlineStr">
        <is>
          <t>LILLA EDET</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56944-2019</t>
        </is>
      </c>
      <c r="B3445" s="1" t="n">
        <v>43766</v>
      </c>
      <c r="C3445" s="1" t="n">
        <v>45212</v>
      </c>
      <c r="D3445" t="inlineStr">
        <is>
          <t>VÄSTRA GÖTALANDS LÄN</t>
        </is>
      </c>
      <c r="E3445" t="inlineStr">
        <is>
          <t>BENGTSFORS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57327-2019</t>
        </is>
      </c>
      <c r="B3446" s="1" t="n">
        <v>43767</v>
      </c>
      <c r="C3446" s="1" t="n">
        <v>45212</v>
      </c>
      <c r="D3446" t="inlineStr">
        <is>
          <t>VÄSTRA GÖTALANDS LÄN</t>
        </is>
      </c>
      <c r="E3446" t="inlineStr">
        <is>
          <t>BORÅS</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57455-2019</t>
        </is>
      </c>
      <c r="B3447" s="1" t="n">
        <v>43767</v>
      </c>
      <c r="C3447" s="1" t="n">
        <v>45212</v>
      </c>
      <c r="D3447" t="inlineStr">
        <is>
          <t>VÄSTRA GÖTALANDS LÄN</t>
        </is>
      </c>
      <c r="E3447" t="inlineStr">
        <is>
          <t>STRÖMSTAD</t>
        </is>
      </c>
      <c r="G3447" t="n">
        <v>3.9</v>
      </c>
      <c r="H3447" t="n">
        <v>0</v>
      </c>
      <c r="I3447" t="n">
        <v>0</v>
      </c>
      <c r="J3447" t="n">
        <v>0</v>
      </c>
      <c r="K3447" t="n">
        <v>0</v>
      </c>
      <c r="L3447" t="n">
        <v>0</v>
      </c>
      <c r="M3447" t="n">
        <v>0</v>
      </c>
      <c r="N3447" t="n">
        <v>0</v>
      </c>
      <c r="O3447" t="n">
        <v>0</v>
      </c>
      <c r="P3447" t="n">
        <v>0</v>
      </c>
      <c r="Q3447" t="n">
        <v>0</v>
      </c>
      <c r="R3447" s="2" t="inlineStr"/>
      <c r="U3447">
        <f>HYPERLINK("https://klasma.github.io/Logging_1486/knärot/A 57455-2019 knärot.png", "A 57455-2019")</f>
        <v/>
      </c>
      <c r="V3447">
        <f>HYPERLINK("https://klasma.github.io/Logging_1486/klagomål/A 57455-2019 klagomål.docx", "A 57455-2019")</f>
        <v/>
      </c>
      <c r="W3447">
        <f>HYPERLINK("https://klasma.github.io/Logging_1486/klagomålsmail/A 57455-2019 klagomålsmail.docx", "A 57455-2019")</f>
        <v/>
      </c>
      <c r="X3447">
        <f>HYPERLINK("https://klasma.github.io/Logging_1486/tillsyn/A 57455-2019 tillsyn.docx", "A 57455-2019")</f>
        <v/>
      </c>
      <c r="Y3447">
        <f>HYPERLINK("https://klasma.github.io/Logging_1486/tillsynsmail/A 57455-2019 tillsynsmail.docx", "A 57455-2019")</f>
        <v/>
      </c>
    </row>
    <row r="3448" ht="15" customHeight="1">
      <c r="A3448" t="inlineStr">
        <is>
          <t>A 57528-2019</t>
        </is>
      </c>
      <c r="B3448" s="1" t="n">
        <v>43767</v>
      </c>
      <c r="C3448" s="1" t="n">
        <v>45212</v>
      </c>
      <c r="D3448" t="inlineStr">
        <is>
          <t>VÄSTRA GÖTALANDS LÄN</t>
        </is>
      </c>
      <c r="E3448" t="inlineStr">
        <is>
          <t>TIDAHOLM</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57536-2019</t>
        </is>
      </c>
      <c r="B3449" s="1" t="n">
        <v>43767</v>
      </c>
      <c r="C3449" s="1" t="n">
        <v>45212</v>
      </c>
      <c r="D3449" t="inlineStr">
        <is>
          <t>VÄSTRA GÖTALANDS LÄN</t>
        </is>
      </c>
      <c r="E3449" t="inlineStr">
        <is>
          <t>LERUM</t>
        </is>
      </c>
      <c r="F3449" t="inlineStr">
        <is>
          <t>Kommuner</t>
        </is>
      </c>
      <c r="G3449" t="n">
        <v>6.9</v>
      </c>
      <c r="H3449" t="n">
        <v>0</v>
      </c>
      <c r="I3449" t="n">
        <v>0</v>
      </c>
      <c r="J3449" t="n">
        <v>0</v>
      </c>
      <c r="K3449" t="n">
        <v>0</v>
      </c>
      <c r="L3449" t="n">
        <v>0</v>
      </c>
      <c r="M3449" t="n">
        <v>0</v>
      </c>
      <c r="N3449" t="n">
        <v>0</v>
      </c>
      <c r="O3449" t="n">
        <v>0</v>
      </c>
      <c r="P3449" t="n">
        <v>0</v>
      </c>
      <c r="Q3449" t="n">
        <v>0</v>
      </c>
      <c r="R3449" s="2" t="inlineStr"/>
    </row>
    <row r="3450" ht="15" customHeight="1">
      <c r="A3450" t="inlineStr">
        <is>
          <t>A 57225-2019</t>
        </is>
      </c>
      <c r="B3450" s="1" t="n">
        <v>43767</v>
      </c>
      <c r="C3450" s="1" t="n">
        <v>45212</v>
      </c>
      <c r="D3450" t="inlineStr">
        <is>
          <t>VÄSTRA GÖTALANDS LÄN</t>
        </is>
      </c>
      <c r="E3450" t="inlineStr">
        <is>
          <t>BORÅS</t>
        </is>
      </c>
      <c r="F3450" t="inlineStr">
        <is>
          <t>Sveaskog</t>
        </is>
      </c>
      <c r="G3450" t="n">
        <v>6.1</v>
      </c>
      <c r="H3450" t="n">
        <v>0</v>
      </c>
      <c r="I3450" t="n">
        <v>0</v>
      </c>
      <c r="J3450" t="n">
        <v>0</v>
      </c>
      <c r="K3450" t="n">
        <v>0</v>
      </c>
      <c r="L3450" t="n">
        <v>0</v>
      </c>
      <c r="M3450" t="n">
        <v>0</v>
      </c>
      <c r="N3450" t="n">
        <v>0</v>
      </c>
      <c r="O3450" t="n">
        <v>0</v>
      </c>
      <c r="P3450" t="n">
        <v>0</v>
      </c>
      <c r="Q3450" t="n">
        <v>0</v>
      </c>
      <c r="R3450" s="2" t="inlineStr"/>
    </row>
    <row r="3451" ht="15" customHeight="1">
      <c r="A3451" t="inlineStr">
        <is>
          <t>A 57192-2019</t>
        </is>
      </c>
      <c r="B3451" s="1" t="n">
        <v>43767</v>
      </c>
      <c r="C3451" s="1" t="n">
        <v>45212</v>
      </c>
      <c r="D3451" t="inlineStr">
        <is>
          <t>VÄSTRA GÖTALANDS LÄN</t>
        </is>
      </c>
      <c r="E3451" t="inlineStr">
        <is>
          <t>SKARA</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57436-2019</t>
        </is>
      </c>
      <c r="B3452" s="1" t="n">
        <v>43767</v>
      </c>
      <c r="C3452" s="1" t="n">
        <v>45212</v>
      </c>
      <c r="D3452" t="inlineStr">
        <is>
          <t>VÄSTRA GÖTALANDS LÄN</t>
        </is>
      </c>
      <c r="E3452" t="inlineStr">
        <is>
          <t>BENGTSFORS</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57447-2019</t>
        </is>
      </c>
      <c r="B3453" s="1" t="n">
        <v>43767</v>
      </c>
      <c r="C3453" s="1" t="n">
        <v>45212</v>
      </c>
      <c r="D3453" t="inlineStr">
        <is>
          <t>VÄSTRA GÖTALANDS LÄN</t>
        </is>
      </c>
      <c r="E3453" t="inlineStr">
        <is>
          <t>STRÖMSTAD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57678-2019</t>
        </is>
      </c>
      <c r="B3454" s="1" t="n">
        <v>43768</v>
      </c>
      <c r="C3454" s="1" t="n">
        <v>45212</v>
      </c>
      <c r="D3454" t="inlineStr">
        <is>
          <t>VÄSTRA GÖTALANDS LÄN</t>
        </is>
      </c>
      <c r="E3454" t="inlineStr">
        <is>
          <t>FÄRGELANDA</t>
        </is>
      </c>
      <c r="G3454" t="n">
        <v>1.6</v>
      </c>
      <c r="H3454" t="n">
        <v>0</v>
      </c>
      <c r="I3454" t="n">
        <v>0</v>
      </c>
      <c r="J3454" t="n">
        <v>0</v>
      </c>
      <c r="K3454" t="n">
        <v>0</v>
      </c>
      <c r="L3454" t="n">
        <v>0</v>
      </c>
      <c r="M3454" t="n">
        <v>0</v>
      </c>
      <c r="N3454" t="n">
        <v>0</v>
      </c>
      <c r="O3454" t="n">
        <v>0</v>
      </c>
      <c r="P3454" t="n">
        <v>0</v>
      </c>
      <c r="Q3454" t="n">
        <v>0</v>
      </c>
      <c r="R3454" s="2" t="inlineStr"/>
    </row>
    <row r="3455" ht="15" customHeight="1">
      <c r="A3455" t="inlineStr">
        <is>
          <t>A 57789-2019</t>
        </is>
      </c>
      <c r="B3455" s="1" t="n">
        <v>43768</v>
      </c>
      <c r="C3455" s="1" t="n">
        <v>45212</v>
      </c>
      <c r="D3455" t="inlineStr">
        <is>
          <t>VÄSTRA GÖTALANDS LÄN</t>
        </is>
      </c>
      <c r="E3455" t="inlineStr">
        <is>
          <t>TIDAHOLM</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57778-2019</t>
        </is>
      </c>
      <c r="B3456" s="1" t="n">
        <v>43768</v>
      </c>
      <c r="C3456" s="1" t="n">
        <v>45212</v>
      </c>
      <c r="D3456" t="inlineStr">
        <is>
          <t>VÄSTRA GÖTALANDS LÄN</t>
        </is>
      </c>
      <c r="E3456" t="inlineStr">
        <is>
          <t>MUNKEDAL</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58607-2019</t>
        </is>
      </c>
      <c r="B3457" s="1" t="n">
        <v>43768</v>
      </c>
      <c r="C3457" s="1" t="n">
        <v>45212</v>
      </c>
      <c r="D3457" t="inlineStr">
        <is>
          <t>VÄSTRA GÖTALANDS LÄN</t>
        </is>
      </c>
      <c r="E3457" t="inlineStr">
        <is>
          <t>ÅMÅL</t>
        </is>
      </c>
      <c r="G3457" t="n">
        <v>0.5</v>
      </c>
      <c r="H3457" t="n">
        <v>0</v>
      </c>
      <c r="I3457" t="n">
        <v>0</v>
      </c>
      <c r="J3457" t="n">
        <v>0</v>
      </c>
      <c r="K3457" t="n">
        <v>0</v>
      </c>
      <c r="L3457" t="n">
        <v>0</v>
      </c>
      <c r="M3457" t="n">
        <v>0</v>
      </c>
      <c r="N3457" t="n">
        <v>0</v>
      </c>
      <c r="O3457" t="n">
        <v>0</v>
      </c>
      <c r="P3457" t="n">
        <v>0</v>
      </c>
      <c r="Q3457" t="n">
        <v>0</v>
      </c>
      <c r="R3457" s="2" t="inlineStr"/>
    </row>
    <row r="3458" ht="15" customHeight="1">
      <c r="A3458" t="inlineStr">
        <is>
          <t>A 57954-2019</t>
        </is>
      </c>
      <c r="B3458" s="1" t="n">
        <v>43769</v>
      </c>
      <c r="C3458" s="1" t="n">
        <v>45212</v>
      </c>
      <c r="D3458" t="inlineStr">
        <is>
          <t>VÄSTRA GÖTALANDS LÄN</t>
        </is>
      </c>
      <c r="E3458" t="inlineStr">
        <is>
          <t>DALS-ED</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58045-2019</t>
        </is>
      </c>
      <c r="B3459" s="1" t="n">
        <v>43769</v>
      </c>
      <c r="C3459" s="1" t="n">
        <v>45212</v>
      </c>
      <c r="D3459" t="inlineStr">
        <is>
          <t>VÄSTRA GÖTALANDS LÄN</t>
        </is>
      </c>
      <c r="E3459" t="inlineStr">
        <is>
          <t>HERRLJUNGA</t>
        </is>
      </c>
      <c r="G3459" t="n">
        <v>8</v>
      </c>
      <c r="H3459" t="n">
        <v>0</v>
      </c>
      <c r="I3459" t="n">
        <v>0</v>
      </c>
      <c r="J3459" t="n">
        <v>0</v>
      </c>
      <c r="K3459" t="n">
        <v>0</v>
      </c>
      <c r="L3459" t="n">
        <v>0</v>
      </c>
      <c r="M3459" t="n">
        <v>0</v>
      </c>
      <c r="N3459" t="n">
        <v>0</v>
      </c>
      <c r="O3459" t="n">
        <v>0</v>
      </c>
      <c r="P3459" t="n">
        <v>0</v>
      </c>
      <c r="Q3459" t="n">
        <v>0</v>
      </c>
      <c r="R3459" s="2" t="inlineStr"/>
    </row>
    <row r="3460" ht="15" customHeight="1">
      <c r="A3460" t="inlineStr">
        <is>
          <t>A 58142-2019</t>
        </is>
      </c>
      <c r="B3460" s="1" t="n">
        <v>43769</v>
      </c>
      <c r="C3460" s="1" t="n">
        <v>45212</v>
      </c>
      <c r="D3460" t="inlineStr">
        <is>
          <t>VÄSTRA GÖTALANDS LÄN</t>
        </is>
      </c>
      <c r="E3460" t="inlineStr">
        <is>
          <t>BENGTSFORS</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58156-2019</t>
        </is>
      </c>
      <c r="B3461" s="1" t="n">
        <v>43769</v>
      </c>
      <c r="C3461" s="1" t="n">
        <v>45212</v>
      </c>
      <c r="D3461" t="inlineStr">
        <is>
          <t>VÄSTRA GÖTALANDS LÄN</t>
        </is>
      </c>
      <c r="E3461" t="inlineStr">
        <is>
          <t>VARA</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57925-2019</t>
        </is>
      </c>
      <c r="B3462" s="1" t="n">
        <v>43769</v>
      </c>
      <c r="C3462" s="1" t="n">
        <v>45212</v>
      </c>
      <c r="D3462" t="inlineStr">
        <is>
          <t>VÄSTRA GÖTALANDS LÄN</t>
        </is>
      </c>
      <c r="E3462" t="inlineStr">
        <is>
          <t>ESSUNGA</t>
        </is>
      </c>
      <c r="F3462" t="inlineStr">
        <is>
          <t>Kyrkan</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57957-2019</t>
        </is>
      </c>
      <c r="B3463" s="1" t="n">
        <v>43769</v>
      </c>
      <c r="C3463" s="1" t="n">
        <v>45212</v>
      </c>
      <c r="D3463" t="inlineStr">
        <is>
          <t>VÄSTRA GÖTALANDS LÄN</t>
        </is>
      </c>
      <c r="E3463" t="inlineStr">
        <is>
          <t>LIDKÖPING</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59131-2019</t>
        </is>
      </c>
      <c r="B3464" s="1" t="n">
        <v>43769</v>
      </c>
      <c r="C3464" s="1" t="n">
        <v>45212</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58160-2019</t>
        </is>
      </c>
      <c r="B3465" s="1" t="n">
        <v>43769</v>
      </c>
      <c r="C3465" s="1" t="n">
        <v>45212</v>
      </c>
      <c r="D3465" t="inlineStr">
        <is>
          <t>VÄSTRA GÖTALANDS LÄN</t>
        </is>
      </c>
      <c r="E3465" t="inlineStr">
        <is>
          <t>KUNGÄLV</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58992-2019</t>
        </is>
      </c>
      <c r="B3466" s="1" t="n">
        <v>43769</v>
      </c>
      <c r="C3466" s="1" t="n">
        <v>45212</v>
      </c>
      <c r="D3466" t="inlineStr">
        <is>
          <t>VÄSTRA GÖTALANDS LÄN</t>
        </is>
      </c>
      <c r="E3466" t="inlineStr">
        <is>
          <t>FÄRGELANDA</t>
        </is>
      </c>
      <c r="G3466" t="n">
        <v>7</v>
      </c>
      <c r="H3466" t="n">
        <v>0</v>
      </c>
      <c r="I3466" t="n">
        <v>0</v>
      </c>
      <c r="J3466" t="n">
        <v>0</v>
      </c>
      <c r="K3466" t="n">
        <v>0</v>
      </c>
      <c r="L3466" t="n">
        <v>0</v>
      </c>
      <c r="M3466" t="n">
        <v>0</v>
      </c>
      <c r="N3466" t="n">
        <v>0</v>
      </c>
      <c r="O3466" t="n">
        <v>0</v>
      </c>
      <c r="P3466" t="n">
        <v>0</v>
      </c>
      <c r="Q3466" t="n">
        <v>0</v>
      </c>
      <c r="R3466" s="2" t="inlineStr"/>
    </row>
    <row r="3467" ht="15" customHeight="1">
      <c r="A3467" t="inlineStr">
        <is>
          <t>A 57953-2019</t>
        </is>
      </c>
      <c r="B3467" s="1" t="n">
        <v>43769</v>
      </c>
      <c r="C3467" s="1" t="n">
        <v>45212</v>
      </c>
      <c r="D3467" t="inlineStr">
        <is>
          <t>VÄSTRA GÖTALANDS LÄN</t>
        </is>
      </c>
      <c r="E3467" t="inlineStr">
        <is>
          <t>DALS-ED</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58931-2019</t>
        </is>
      </c>
      <c r="B3468" s="1" t="n">
        <v>43769</v>
      </c>
      <c r="C3468" s="1" t="n">
        <v>45212</v>
      </c>
      <c r="D3468" t="inlineStr">
        <is>
          <t>VÄSTRA GÖTALANDS LÄN</t>
        </is>
      </c>
      <c r="E3468" t="inlineStr">
        <is>
          <t>MARK</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59126-2019</t>
        </is>
      </c>
      <c r="B3469" s="1" t="n">
        <v>43769</v>
      </c>
      <c r="C3469" s="1" t="n">
        <v>45212</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58244-2019</t>
        </is>
      </c>
      <c r="B3470" s="1" t="n">
        <v>43770</v>
      </c>
      <c r="C3470" s="1" t="n">
        <v>45212</v>
      </c>
      <c r="D3470" t="inlineStr">
        <is>
          <t>VÄSTRA GÖTALANDS LÄN</t>
        </is>
      </c>
      <c r="E3470" t="inlineStr">
        <is>
          <t>SKARA</t>
        </is>
      </c>
      <c r="F3470" t="inlineStr">
        <is>
          <t>Sveaskog</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59140-2019</t>
        </is>
      </c>
      <c r="B3471" s="1" t="n">
        <v>43770</v>
      </c>
      <c r="C3471" s="1" t="n">
        <v>45212</v>
      </c>
      <c r="D3471" t="inlineStr">
        <is>
          <t>VÄSTRA GÖTALANDS LÄN</t>
        </is>
      </c>
      <c r="E3471" t="inlineStr">
        <is>
          <t>ULRICEHAMN</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59237-2019</t>
        </is>
      </c>
      <c r="B3472" s="1" t="n">
        <v>43770</v>
      </c>
      <c r="C3472" s="1" t="n">
        <v>45212</v>
      </c>
      <c r="D3472" t="inlineStr">
        <is>
          <t>VÄSTRA GÖTALANDS LÄN</t>
        </is>
      </c>
      <c r="E3472" t="inlineStr">
        <is>
          <t>VARA</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58337-2019</t>
        </is>
      </c>
      <c r="B3473" s="1" t="n">
        <v>43770</v>
      </c>
      <c r="C3473" s="1" t="n">
        <v>45212</v>
      </c>
      <c r="D3473" t="inlineStr">
        <is>
          <t>VÄSTRA GÖTALANDS LÄN</t>
        </is>
      </c>
      <c r="E3473" t="inlineStr">
        <is>
          <t>TRANEMO</t>
        </is>
      </c>
      <c r="F3473" t="inlineStr">
        <is>
          <t>Sveaskog</t>
        </is>
      </c>
      <c r="G3473" t="n">
        <v>5.8</v>
      </c>
      <c r="H3473" t="n">
        <v>0</v>
      </c>
      <c r="I3473" t="n">
        <v>0</v>
      </c>
      <c r="J3473" t="n">
        <v>0</v>
      </c>
      <c r="K3473" t="n">
        <v>0</v>
      </c>
      <c r="L3473" t="n">
        <v>0</v>
      </c>
      <c r="M3473" t="n">
        <v>0</v>
      </c>
      <c r="N3473" t="n">
        <v>0</v>
      </c>
      <c r="O3473" t="n">
        <v>0</v>
      </c>
      <c r="P3473" t="n">
        <v>0</v>
      </c>
      <c r="Q3473" t="n">
        <v>0</v>
      </c>
      <c r="R3473" s="2" t="inlineStr"/>
    </row>
    <row r="3474" ht="15" customHeight="1">
      <c r="A3474" t="inlineStr">
        <is>
          <t>A 58211-2019</t>
        </is>
      </c>
      <c r="B3474" s="1" t="n">
        <v>43770</v>
      </c>
      <c r="C3474" s="1" t="n">
        <v>45212</v>
      </c>
      <c r="D3474" t="inlineStr">
        <is>
          <t>VÄSTRA GÖTALANDS LÄN</t>
        </is>
      </c>
      <c r="E3474" t="inlineStr">
        <is>
          <t>MARIESTAD</t>
        </is>
      </c>
      <c r="G3474" t="n">
        <v>11.6</v>
      </c>
      <c r="H3474" t="n">
        <v>0</v>
      </c>
      <c r="I3474" t="n">
        <v>0</v>
      </c>
      <c r="J3474" t="n">
        <v>0</v>
      </c>
      <c r="K3474" t="n">
        <v>0</v>
      </c>
      <c r="L3474" t="n">
        <v>0</v>
      </c>
      <c r="M3474" t="n">
        <v>0</v>
      </c>
      <c r="N3474" t="n">
        <v>0</v>
      </c>
      <c r="O3474" t="n">
        <v>0</v>
      </c>
      <c r="P3474" t="n">
        <v>0</v>
      </c>
      <c r="Q3474" t="n">
        <v>0</v>
      </c>
      <c r="R3474" s="2" t="inlineStr"/>
    </row>
    <row r="3475" ht="15" customHeight="1">
      <c r="A3475" t="inlineStr">
        <is>
          <t>A 58300-2019</t>
        </is>
      </c>
      <c r="B3475" s="1" t="n">
        <v>43770</v>
      </c>
      <c r="C3475" s="1" t="n">
        <v>45212</v>
      </c>
      <c r="D3475" t="inlineStr">
        <is>
          <t>VÄSTRA GÖTALANDS LÄN</t>
        </is>
      </c>
      <c r="E3475" t="inlineStr">
        <is>
          <t>VARA</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58200-2019</t>
        </is>
      </c>
      <c r="B3476" s="1" t="n">
        <v>43770</v>
      </c>
      <c r="C3476" s="1" t="n">
        <v>45212</v>
      </c>
      <c r="D3476" t="inlineStr">
        <is>
          <t>VÄSTRA GÖTALANDS LÄN</t>
        </is>
      </c>
      <c r="E3476" t="inlineStr">
        <is>
          <t>SVENLJUNGA</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58207-2019</t>
        </is>
      </c>
      <c r="B3477" s="1" t="n">
        <v>43770</v>
      </c>
      <c r="C3477" s="1" t="n">
        <v>45212</v>
      </c>
      <c r="D3477" t="inlineStr">
        <is>
          <t>VÄSTRA GÖTALANDS LÄN</t>
        </is>
      </c>
      <c r="E3477" t="inlineStr">
        <is>
          <t>MARIESTAD</t>
        </is>
      </c>
      <c r="G3477" t="n">
        <v>14.6</v>
      </c>
      <c r="H3477" t="n">
        <v>0</v>
      </c>
      <c r="I3477" t="n">
        <v>0</v>
      </c>
      <c r="J3477" t="n">
        <v>0</v>
      </c>
      <c r="K3477" t="n">
        <v>0</v>
      </c>
      <c r="L3477" t="n">
        <v>0</v>
      </c>
      <c r="M3477" t="n">
        <v>0</v>
      </c>
      <c r="N3477" t="n">
        <v>0</v>
      </c>
      <c r="O3477" t="n">
        <v>0</v>
      </c>
      <c r="P3477" t="n">
        <v>0</v>
      </c>
      <c r="Q3477" t="n">
        <v>0</v>
      </c>
      <c r="R3477" s="2" t="inlineStr"/>
    </row>
    <row r="3478" ht="15" customHeight="1">
      <c r="A3478" t="inlineStr">
        <is>
          <t>A 58223-2019</t>
        </is>
      </c>
      <c r="B3478" s="1" t="n">
        <v>43770</v>
      </c>
      <c r="C3478" s="1" t="n">
        <v>45212</v>
      </c>
      <c r="D3478" t="inlineStr">
        <is>
          <t>VÄSTRA GÖTALANDS LÄN</t>
        </is>
      </c>
      <c r="E3478" t="inlineStr">
        <is>
          <t>MARIESTAD</t>
        </is>
      </c>
      <c r="G3478" t="n">
        <v>21.2</v>
      </c>
      <c r="H3478" t="n">
        <v>0</v>
      </c>
      <c r="I3478" t="n">
        <v>0</v>
      </c>
      <c r="J3478" t="n">
        <v>0</v>
      </c>
      <c r="K3478" t="n">
        <v>0</v>
      </c>
      <c r="L3478" t="n">
        <v>0</v>
      </c>
      <c r="M3478" t="n">
        <v>0</v>
      </c>
      <c r="N3478" t="n">
        <v>0</v>
      </c>
      <c r="O3478" t="n">
        <v>0</v>
      </c>
      <c r="P3478" t="n">
        <v>0</v>
      </c>
      <c r="Q3478" t="n">
        <v>0</v>
      </c>
      <c r="R3478" s="2" t="inlineStr"/>
    </row>
    <row r="3479" ht="15" customHeight="1">
      <c r="A3479" t="inlineStr">
        <is>
          <t>A 58315-2019</t>
        </is>
      </c>
      <c r="B3479" s="1" t="n">
        <v>43770</v>
      </c>
      <c r="C3479" s="1" t="n">
        <v>45212</v>
      </c>
      <c r="D3479" t="inlineStr">
        <is>
          <t>VÄSTRA GÖTALANDS LÄN</t>
        </is>
      </c>
      <c r="E3479" t="inlineStr">
        <is>
          <t>MÖLNDAL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59235-2019</t>
        </is>
      </c>
      <c r="B3480" s="1" t="n">
        <v>43770</v>
      </c>
      <c r="C3480" s="1" t="n">
        <v>45212</v>
      </c>
      <c r="D3480" t="inlineStr">
        <is>
          <t>VÄSTRA GÖTALANDS LÄN</t>
        </is>
      </c>
      <c r="E3480" t="inlineStr">
        <is>
          <t>VARA</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58384-2019</t>
        </is>
      </c>
      <c r="B3481" s="1" t="n">
        <v>43771</v>
      </c>
      <c r="C3481" s="1" t="n">
        <v>45212</v>
      </c>
      <c r="D3481" t="inlineStr">
        <is>
          <t>VÄSTRA GÖTALANDS LÄN</t>
        </is>
      </c>
      <c r="E3481" t="inlineStr">
        <is>
          <t>MÖLNDAL</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58385-2019</t>
        </is>
      </c>
      <c r="B3482" s="1" t="n">
        <v>43771</v>
      </c>
      <c r="C3482" s="1" t="n">
        <v>45212</v>
      </c>
      <c r="D3482" t="inlineStr">
        <is>
          <t>VÄSTRA GÖTALANDS LÄN</t>
        </is>
      </c>
      <c r="E3482" t="inlineStr">
        <is>
          <t>SVENLJUNGA</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58401-2019</t>
        </is>
      </c>
      <c r="B3483" s="1" t="n">
        <v>43772</v>
      </c>
      <c r="C3483" s="1" t="n">
        <v>45212</v>
      </c>
      <c r="D3483" t="inlineStr">
        <is>
          <t>VÄSTRA GÖTALANDS LÄN</t>
        </is>
      </c>
      <c r="E3483" t="inlineStr">
        <is>
          <t>SKÖVDE</t>
        </is>
      </c>
      <c r="F3483" t="inlineStr">
        <is>
          <t>Övriga statliga verk och myndigheter</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58413-2019</t>
        </is>
      </c>
      <c r="B3484" s="1" t="n">
        <v>43772</v>
      </c>
      <c r="C3484" s="1" t="n">
        <v>45212</v>
      </c>
      <c r="D3484" t="inlineStr">
        <is>
          <t>VÄSTRA GÖTALANDS LÄN</t>
        </is>
      </c>
      <c r="E3484" t="inlineStr">
        <is>
          <t>GULLSPÅNG</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58402-2019</t>
        </is>
      </c>
      <c r="B3485" s="1" t="n">
        <v>43772</v>
      </c>
      <c r="C3485" s="1" t="n">
        <v>45212</v>
      </c>
      <c r="D3485" t="inlineStr">
        <is>
          <t>VÄSTRA GÖTALANDS LÄN</t>
        </is>
      </c>
      <c r="E3485" t="inlineStr">
        <is>
          <t>SKÖVDE</t>
        </is>
      </c>
      <c r="F3485" t="inlineStr">
        <is>
          <t>Övriga statliga verk och myndigheter</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58692-2019</t>
        </is>
      </c>
      <c r="B3486" s="1" t="n">
        <v>43773</v>
      </c>
      <c r="C3486" s="1" t="n">
        <v>45212</v>
      </c>
      <c r="D3486" t="inlineStr">
        <is>
          <t>VÄSTRA GÖTALANDS LÄN</t>
        </is>
      </c>
      <c r="E3486" t="inlineStr">
        <is>
          <t>LIDKÖPING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58766-2019</t>
        </is>
      </c>
      <c r="B3487" s="1" t="n">
        <v>43773</v>
      </c>
      <c r="C3487" s="1" t="n">
        <v>45212</v>
      </c>
      <c r="D3487" t="inlineStr">
        <is>
          <t>VÄSTRA GÖTALANDS LÄN</t>
        </is>
      </c>
      <c r="E3487" t="inlineStr">
        <is>
          <t>LIDKÖPING</t>
        </is>
      </c>
      <c r="G3487" t="n">
        <v>0.3</v>
      </c>
      <c r="H3487" t="n">
        <v>0</v>
      </c>
      <c r="I3487" t="n">
        <v>0</v>
      </c>
      <c r="J3487" t="n">
        <v>0</v>
      </c>
      <c r="K3487" t="n">
        <v>0</v>
      </c>
      <c r="L3487" t="n">
        <v>0</v>
      </c>
      <c r="M3487" t="n">
        <v>0</v>
      </c>
      <c r="N3487" t="n">
        <v>0</v>
      </c>
      <c r="O3487" t="n">
        <v>0</v>
      </c>
      <c r="P3487" t="n">
        <v>0</v>
      </c>
      <c r="Q3487" t="n">
        <v>0</v>
      </c>
      <c r="R3487" s="2" t="inlineStr"/>
    </row>
    <row r="3488" ht="15" customHeight="1">
      <c r="A3488" t="inlineStr">
        <is>
          <t>A 59265-2019</t>
        </is>
      </c>
      <c r="B3488" s="1" t="n">
        <v>43773</v>
      </c>
      <c r="C3488" s="1" t="n">
        <v>45212</v>
      </c>
      <c r="D3488" t="inlineStr">
        <is>
          <t>VÄSTRA GÖTALANDS LÄN</t>
        </is>
      </c>
      <c r="E3488" t="inlineStr">
        <is>
          <t>TRANEMO</t>
        </is>
      </c>
      <c r="G3488" t="n">
        <v>6.9</v>
      </c>
      <c r="H3488" t="n">
        <v>0</v>
      </c>
      <c r="I3488" t="n">
        <v>0</v>
      </c>
      <c r="J3488" t="n">
        <v>0</v>
      </c>
      <c r="K3488" t="n">
        <v>0</v>
      </c>
      <c r="L3488" t="n">
        <v>0</v>
      </c>
      <c r="M3488" t="n">
        <v>0</v>
      </c>
      <c r="N3488" t="n">
        <v>0</v>
      </c>
      <c r="O3488" t="n">
        <v>0</v>
      </c>
      <c r="P3488" t="n">
        <v>0</v>
      </c>
      <c r="Q3488" t="n">
        <v>0</v>
      </c>
      <c r="R3488" s="2" t="inlineStr"/>
    </row>
    <row r="3489" ht="15" customHeight="1">
      <c r="A3489" t="inlineStr">
        <is>
          <t>A 58638-2019</t>
        </is>
      </c>
      <c r="B3489" s="1" t="n">
        <v>43773</v>
      </c>
      <c r="C3489" s="1" t="n">
        <v>45212</v>
      </c>
      <c r="D3489" t="inlineStr">
        <is>
          <t>VÄSTRA GÖTALANDS LÄN</t>
        </is>
      </c>
      <c r="E3489" t="inlineStr">
        <is>
          <t>LIDKÖPING</t>
        </is>
      </c>
      <c r="G3489" t="n">
        <v>8.300000000000001</v>
      </c>
      <c r="H3489" t="n">
        <v>0</v>
      </c>
      <c r="I3489" t="n">
        <v>0</v>
      </c>
      <c r="J3489" t="n">
        <v>0</v>
      </c>
      <c r="K3489" t="n">
        <v>0</v>
      </c>
      <c r="L3489" t="n">
        <v>0</v>
      </c>
      <c r="M3489" t="n">
        <v>0</v>
      </c>
      <c r="N3489" t="n">
        <v>0</v>
      </c>
      <c r="O3489" t="n">
        <v>0</v>
      </c>
      <c r="P3489" t="n">
        <v>0</v>
      </c>
      <c r="Q3489" t="n">
        <v>0</v>
      </c>
      <c r="R3489" s="2" t="inlineStr"/>
    </row>
    <row r="3490" ht="15" customHeight="1">
      <c r="A3490" t="inlineStr">
        <is>
          <t>A 58696-2019</t>
        </is>
      </c>
      <c r="B3490" s="1" t="n">
        <v>43773</v>
      </c>
      <c r="C3490" s="1" t="n">
        <v>45212</v>
      </c>
      <c r="D3490" t="inlineStr">
        <is>
          <t>VÄSTRA GÖTALANDS LÄN</t>
        </is>
      </c>
      <c r="E3490" t="inlineStr">
        <is>
          <t>LIDKÖPING</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59507-2019</t>
        </is>
      </c>
      <c r="B3491" s="1" t="n">
        <v>43773</v>
      </c>
      <c r="C3491" s="1" t="n">
        <v>45212</v>
      </c>
      <c r="D3491" t="inlineStr">
        <is>
          <t>VÄSTRA GÖTALANDS LÄN</t>
        </is>
      </c>
      <c r="E3491" t="inlineStr">
        <is>
          <t>LILLA EDET</t>
        </is>
      </c>
      <c r="F3491" t="inlineStr">
        <is>
          <t>Kyrkan</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58469-2019</t>
        </is>
      </c>
      <c r="B3492" s="1" t="n">
        <v>43773</v>
      </c>
      <c r="C3492" s="1" t="n">
        <v>45212</v>
      </c>
      <c r="D3492" t="inlineStr">
        <is>
          <t>VÄSTRA GÖTALANDS LÄN</t>
        </is>
      </c>
      <c r="E3492" t="inlineStr">
        <is>
          <t>SVENLJUNGA</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58498-2019</t>
        </is>
      </c>
      <c r="B3493" s="1" t="n">
        <v>43773</v>
      </c>
      <c r="C3493" s="1" t="n">
        <v>45212</v>
      </c>
      <c r="D3493" t="inlineStr">
        <is>
          <t>VÄSTRA GÖTALANDS LÄN</t>
        </is>
      </c>
      <c r="E3493" t="inlineStr">
        <is>
          <t>SKÖVDE</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58611-2019</t>
        </is>
      </c>
      <c r="B3494" s="1" t="n">
        <v>43773</v>
      </c>
      <c r="C3494" s="1" t="n">
        <v>45212</v>
      </c>
      <c r="D3494" t="inlineStr">
        <is>
          <t>VÄSTRA GÖTALANDS LÄN</t>
        </is>
      </c>
      <c r="E3494" t="inlineStr">
        <is>
          <t>BORÅS</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58691-2019</t>
        </is>
      </c>
      <c r="B3495" s="1" t="n">
        <v>43773</v>
      </c>
      <c r="C3495" s="1" t="n">
        <v>45212</v>
      </c>
      <c r="D3495" t="inlineStr">
        <is>
          <t>VÄSTRA GÖTALANDS LÄN</t>
        </is>
      </c>
      <c r="E3495" t="inlineStr">
        <is>
          <t>HJO</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58698-2019</t>
        </is>
      </c>
      <c r="B3496" s="1" t="n">
        <v>43773</v>
      </c>
      <c r="C3496" s="1" t="n">
        <v>45212</v>
      </c>
      <c r="D3496" t="inlineStr">
        <is>
          <t>VÄSTRA GÖTALANDS LÄN</t>
        </is>
      </c>
      <c r="E3496" t="inlineStr">
        <is>
          <t>LIDKÖPING</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58763-2019</t>
        </is>
      </c>
      <c r="B3497" s="1" t="n">
        <v>43773</v>
      </c>
      <c r="C3497" s="1" t="n">
        <v>45212</v>
      </c>
      <c r="D3497" t="inlineStr">
        <is>
          <t>VÄSTRA GÖTALANDS LÄN</t>
        </is>
      </c>
      <c r="E3497" t="inlineStr">
        <is>
          <t>TRANEMO</t>
        </is>
      </c>
      <c r="F3497" t="inlineStr">
        <is>
          <t>Kyrkan</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58462-2019</t>
        </is>
      </c>
      <c r="B3498" s="1" t="n">
        <v>43773</v>
      </c>
      <c r="C3498" s="1" t="n">
        <v>45212</v>
      </c>
      <c r="D3498" t="inlineStr">
        <is>
          <t>VÄSTRA GÖTALANDS LÄN</t>
        </is>
      </c>
      <c r="E3498" t="inlineStr">
        <is>
          <t>TROLLHÄTTAN</t>
        </is>
      </c>
      <c r="G3498" t="n">
        <v>6.7</v>
      </c>
      <c r="H3498" t="n">
        <v>0</v>
      </c>
      <c r="I3498" t="n">
        <v>0</v>
      </c>
      <c r="J3498" t="n">
        <v>0</v>
      </c>
      <c r="K3498" t="n">
        <v>0</v>
      </c>
      <c r="L3498" t="n">
        <v>0</v>
      </c>
      <c r="M3498" t="n">
        <v>0</v>
      </c>
      <c r="N3498" t="n">
        <v>0</v>
      </c>
      <c r="O3498" t="n">
        <v>0</v>
      </c>
      <c r="P3498" t="n">
        <v>0</v>
      </c>
      <c r="Q3498" t="n">
        <v>0</v>
      </c>
      <c r="R3498" s="2" t="inlineStr"/>
    </row>
    <row r="3499" ht="15" customHeight="1">
      <c r="A3499" t="inlineStr">
        <is>
          <t>A 58853-2019</t>
        </is>
      </c>
      <c r="B3499" s="1" t="n">
        <v>43774</v>
      </c>
      <c r="C3499" s="1" t="n">
        <v>45212</v>
      </c>
      <c r="D3499" t="inlineStr">
        <is>
          <t>VÄSTRA GÖTALANDS LÄN</t>
        </is>
      </c>
      <c r="E3499" t="inlineStr">
        <is>
          <t>HJO</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58871-2019</t>
        </is>
      </c>
      <c r="B3500" s="1" t="n">
        <v>43774</v>
      </c>
      <c r="C3500" s="1" t="n">
        <v>45212</v>
      </c>
      <c r="D3500" t="inlineStr">
        <is>
          <t>VÄSTRA GÖTALANDS LÄN</t>
        </is>
      </c>
      <c r="E3500" t="inlineStr">
        <is>
          <t>SKARA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58972-2019</t>
        </is>
      </c>
      <c r="B3501" s="1" t="n">
        <v>43774</v>
      </c>
      <c r="C3501" s="1" t="n">
        <v>45212</v>
      </c>
      <c r="D3501" t="inlineStr">
        <is>
          <t>VÄSTRA GÖTALANDS LÄN</t>
        </is>
      </c>
      <c r="E3501" t="inlineStr">
        <is>
          <t>BENGTSFORS</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59800-2019</t>
        </is>
      </c>
      <c r="B3502" s="1" t="n">
        <v>43774</v>
      </c>
      <c r="C3502" s="1" t="n">
        <v>45212</v>
      </c>
      <c r="D3502" t="inlineStr">
        <is>
          <t>VÄSTRA GÖTALANDS LÄN</t>
        </is>
      </c>
      <c r="E3502" t="inlineStr">
        <is>
          <t>FALKÖPING</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59836-2019</t>
        </is>
      </c>
      <c r="B3503" s="1" t="n">
        <v>43774</v>
      </c>
      <c r="C3503" s="1" t="n">
        <v>45212</v>
      </c>
      <c r="D3503" t="inlineStr">
        <is>
          <t>VÄSTRA GÖTALANDS LÄN</t>
        </is>
      </c>
      <c r="E3503" t="inlineStr">
        <is>
          <t>ULRICEHAMN</t>
        </is>
      </c>
      <c r="G3503" t="n">
        <v>4.4</v>
      </c>
      <c r="H3503" t="n">
        <v>0</v>
      </c>
      <c r="I3503" t="n">
        <v>0</v>
      </c>
      <c r="J3503" t="n">
        <v>0</v>
      </c>
      <c r="K3503" t="n">
        <v>0</v>
      </c>
      <c r="L3503" t="n">
        <v>0</v>
      </c>
      <c r="M3503" t="n">
        <v>0</v>
      </c>
      <c r="N3503" t="n">
        <v>0</v>
      </c>
      <c r="O3503" t="n">
        <v>0</v>
      </c>
      <c r="P3503" t="n">
        <v>0</v>
      </c>
      <c r="Q3503" t="n">
        <v>0</v>
      </c>
      <c r="R3503" s="2" t="inlineStr"/>
    </row>
    <row r="3504" ht="15" customHeight="1">
      <c r="A3504" t="inlineStr">
        <is>
          <t>A 58976-2019</t>
        </is>
      </c>
      <c r="B3504" s="1" t="n">
        <v>43774</v>
      </c>
      <c r="C3504" s="1" t="n">
        <v>45212</v>
      </c>
      <c r="D3504" t="inlineStr">
        <is>
          <t>VÄSTRA GÖTALANDS LÄN</t>
        </is>
      </c>
      <c r="E3504" t="inlineStr">
        <is>
          <t>FÄRGELANDA</t>
        </is>
      </c>
      <c r="G3504" t="n">
        <v>25.8</v>
      </c>
      <c r="H3504" t="n">
        <v>0</v>
      </c>
      <c r="I3504" t="n">
        <v>0</v>
      </c>
      <c r="J3504" t="n">
        <v>0</v>
      </c>
      <c r="K3504" t="n">
        <v>0</v>
      </c>
      <c r="L3504" t="n">
        <v>0</v>
      </c>
      <c r="M3504" t="n">
        <v>0</v>
      </c>
      <c r="N3504" t="n">
        <v>0</v>
      </c>
      <c r="O3504" t="n">
        <v>0</v>
      </c>
      <c r="P3504" t="n">
        <v>0</v>
      </c>
      <c r="Q3504" t="n">
        <v>0</v>
      </c>
      <c r="R3504" s="2" t="inlineStr"/>
    </row>
    <row r="3505" ht="15" customHeight="1">
      <c r="A3505" t="inlineStr">
        <is>
          <t>A 59888-2019</t>
        </is>
      </c>
      <c r="B3505" s="1" t="n">
        <v>43774</v>
      </c>
      <c r="C3505" s="1" t="n">
        <v>45212</v>
      </c>
      <c r="D3505" t="inlineStr">
        <is>
          <t>VÄSTRA GÖTALANDS LÄN</t>
        </is>
      </c>
      <c r="E3505" t="inlineStr">
        <is>
          <t>SKÖVDE</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58964-2019</t>
        </is>
      </c>
      <c r="B3506" s="1" t="n">
        <v>43774</v>
      </c>
      <c r="C3506" s="1" t="n">
        <v>45212</v>
      </c>
      <c r="D3506" t="inlineStr">
        <is>
          <t>VÄSTRA GÖTALANDS LÄN</t>
        </is>
      </c>
      <c r="E3506" t="inlineStr">
        <is>
          <t>BENGTSFORS</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58907-2019</t>
        </is>
      </c>
      <c r="B3507" s="1" t="n">
        <v>43774</v>
      </c>
      <c r="C3507" s="1" t="n">
        <v>45212</v>
      </c>
      <c r="D3507" t="inlineStr">
        <is>
          <t>VÄSTRA GÖTALANDS LÄN</t>
        </is>
      </c>
      <c r="E3507" t="inlineStr">
        <is>
          <t>ALINGSÅS</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58998-2019</t>
        </is>
      </c>
      <c r="B3508" s="1" t="n">
        <v>43774</v>
      </c>
      <c r="C3508" s="1" t="n">
        <v>45212</v>
      </c>
      <c r="D3508" t="inlineStr">
        <is>
          <t>VÄSTRA GÖTALANDS LÄN</t>
        </is>
      </c>
      <c r="E3508" t="inlineStr">
        <is>
          <t>TROLLHÄTTAN</t>
        </is>
      </c>
      <c r="G3508" t="n">
        <v>10.4</v>
      </c>
      <c r="H3508" t="n">
        <v>0</v>
      </c>
      <c r="I3508" t="n">
        <v>0</v>
      </c>
      <c r="J3508" t="n">
        <v>0</v>
      </c>
      <c r="K3508" t="n">
        <v>0</v>
      </c>
      <c r="L3508" t="n">
        <v>0</v>
      </c>
      <c r="M3508" t="n">
        <v>0</v>
      </c>
      <c r="N3508" t="n">
        <v>0</v>
      </c>
      <c r="O3508" t="n">
        <v>0</v>
      </c>
      <c r="P3508" t="n">
        <v>0</v>
      </c>
      <c r="Q3508" t="n">
        <v>0</v>
      </c>
      <c r="R3508" s="2" t="inlineStr"/>
    </row>
    <row r="3509" ht="15" customHeight="1">
      <c r="A3509" t="inlineStr">
        <is>
          <t>A 59799-2019</t>
        </is>
      </c>
      <c r="B3509" s="1" t="n">
        <v>43774</v>
      </c>
      <c r="C3509" s="1" t="n">
        <v>45212</v>
      </c>
      <c r="D3509" t="inlineStr">
        <is>
          <t>VÄSTRA GÖTALANDS LÄN</t>
        </is>
      </c>
      <c r="E3509" t="inlineStr">
        <is>
          <t>ULRICEHAMN</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59829-2019</t>
        </is>
      </c>
      <c r="B3510" s="1" t="n">
        <v>43774</v>
      </c>
      <c r="C3510" s="1" t="n">
        <v>45212</v>
      </c>
      <c r="D3510" t="inlineStr">
        <is>
          <t>VÄSTRA GÖTALANDS LÄN</t>
        </is>
      </c>
      <c r="E3510" t="inlineStr">
        <is>
          <t>SKARA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59215-2019</t>
        </is>
      </c>
      <c r="B3511" s="1" t="n">
        <v>43775</v>
      </c>
      <c r="C3511" s="1" t="n">
        <v>45212</v>
      </c>
      <c r="D3511" t="inlineStr">
        <is>
          <t>VÄSTRA GÖTALANDS LÄN</t>
        </is>
      </c>
      <c r="E3511" t="inlineStr">
        <is>
          <t>BENGTSFORS</t>
        </is>
      </c>
      <c r="F3511" t="inlineStr">
        <is>
          <t>Övriga Aktiebolag</t>
        </is>
      </c>
      <c r="G3511" t="n">
        <v>9.1</v>
      </c>
      <c r="H3511" t="n">
        <v>0</v>
      </c>
      <c r="I3511" t="n">
        <v>0</v>
      </c>
      <c r="J3511" t="n">
        <v>0</v>
      </c>
      <c r="K3511" t="n">
        <v>0</v>
      </c>
      <c r="L3511" t="n">
        <v>0</v>
      </c>
      <c r="M3511" t="n">
        <v>0</v>
      </c>
      <c r="N3511" t="n">
        <v>0</v>
      </c>
      <c r="O3511" t="n">
        <v>0</v>
      </c>
      <c r="P3511" t="n">
        <v>0</v>
      </c>
      <c r="Q3511" t="n">
        <v>0</v>
      </c>
      <c r="R3511" s="2" t="inlineStr"/>
    </row>
    <row r="3512" ht="15" customHeight="1">
      <c r="A3512" t="inlineStr">
        <is>
          <t>A 59233-2019</t>
        </is>
      </c>
      <c r="B3512" s="1" t="n">
        <v>43775</v>
      </c>
      <c r="C3512" s="1" t="n">
        <v>45212</v>
      </c>
      <c r="D3512" t="inlineStr">
        <is>
          <t>VÄSTRA GÖTALANDS LÄN</t>
        </is>
      </c>
      <c r="E3512" t="inlineStr">
        <is>
          <t>BOLLEBYGD</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59390-2019</t>
        </is>
      </c>
      <c r="B3513" s="1" t="n">
        <v>43775</v>
      </c>
      <c r="C3513" s="1" t="n">
        <v>45212</v>
      </c>
      <c r="D3513" t="inlineStr">
        <is>
          <t>VÄSTRA GÖTALANDS LÄN</t>
        </is>
      </c>
      <c r="E3513" t="inlineStr">
        <is>
          <t>KUNGÄLV</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59941-2019</t>
        </is>
      </c>
      <c r="B3514" s="1" t="n">
        <v>43775</v>
      </c>
      <c r="C3514" s="1" t="n">
        <v>45212</v>
      </c>
      <c r="D3514" t="inlineStr">
        <is>
          <t>VÄSTRA GÖTALANDS LÄN</t>
        </is>
      </c>
      <c r="E3514" t="inlineStr">
        <is>
          <t>STENUNGSUND</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59963-2019</t>
        </is>
      </c>
      <c r="B3515" s="1" t="n">
        <v>43775</v>
      </c>
      <c r="C3515" s="1" t="n">
        <v>45212</v>
      </c>
      <c r="D3515" t="inlineStr">
        <is>
          <t>VÄSTRA GÖTALANDS LÄN</t>
        </is>
      </c>
      <c r="E3515" t="inlineStr">
        <is>
          <t>TÖREBODA</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60293-2019</t>
        </is>
      </c>
      <c r="B3516" s="1" t="n">
        <v>43776</v>
      </c>
      <c r="C3516" s="1" t="n">
        <v>45212</v>
      </c>
      <c r="D3516" t="inlineStr">
        <is>
          <t>VÄSTRA GÖTALANDS LÄN</t>
        </is>
      </c>
      <c r="E3516" t="inlineStr">
        <is>
          <t>ÅMÅL</t>
        </is>
      </c>
      <c r="F3516" t="inlineStr">
        <is>
          <t>Bergvik skog väst AB</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60205-2019</t>
        </is>
      </c>
      <c r="B3517" s="1" t="n">
        <v>43776</v>
      </c>
      <c r="C3517" s="1" t="n">
        <v>45212</v>
      </c>
      <c r="D3517" t="inlineStr">
        <is>
          <t>VÄSTRA GÖTALANDS LÄN</t>
        </is>
      </c>
      <c r="E3517" t="inlineStr">
        <is>
          <t>TÖREBODA</t>
        </is>
      </c>
      <c r="G3517" t="n">
        <v>5.5</v>
      </c>
      <c r="H3517" t="n">
        <v>0</v>
      </c>
      <c r="I3517" t="n">
        <v>0</v>
      </c>
      <c r="J3517" t="n">
        <v>0</v>
      </c>
      <c r="K3517" t="n">
        <v>0</v>
      </c>
      <c r="L3517" t="n">
        <v>0</v>
      </c>
      <c r="M3517" t="n">
        <v>0</v>
      </c>
      <c r="N3517" t="n">
        <v>0</v>
      </c>
      <c r="O3517" t="n">
        <v>0</v>
      </c>
      <c r="P3517" t="n">
        <v>0</v>
      </c>
      <c r="Q3517" t="n">
        <v>0</v>
      </c>
      <c r="R3517" s="2" t="inlineStr"/>
    </row>
    <row r="3518" ht="15" customHeight="1">
      <c r="A3518" t="inlineStr">
        <is>
          <t>A 60276-2019</t>
        </is>
      </c>
      <c r="B3518" s="1" t="n">
        <v>43776</v>
      </c>
      <c r="C3518" s="1" t="n">
        <v>45212</v>
      </c>
      <c r="D3518" t="inlineStr">
        <is>
          <t>VÄSTRA GÖTALANDS LÄN</t>
        </is>
      </c>
      <c r="E3518" t="inlineStr">
        <is>
          <t>DALS-ED</t>
        </is>
      </c>
      <c r="F3518" t="inlineStr">
        <is>
          <t>Kyrkan</t>
        </is>
      </c>
      <c r="G3518" t="n">
        <v>4.9</v>
      </c>
      <c r="H3518" t="n">
        <v>0</v>
      </c>
      <c r="I3518" t="n">
        <v>0</v>
      </c>
      <c r="J3518" t="n">
        <v>0</v>
      </c>
      <c r="K3518" t="n">
        <v>0</v>
      </c>
      <c r="L3518" t="n">
        <v>0</v>
      </c>
      <c r="M3518" t="n">
        <v>0</v>
      </c>
      <c r="N3518" t="n">
        <v>0</v>
      </c>
      <c r="O3518" t="n">
        <v>0</v>
      </c>
      <c r="P3518" t="n">
        <v>0</v>
      </c>
      <c r="Q3518" t="n">
        <v>0</v>
      </c>
      <c r="R3518" s="2" t="inlineStr"/>
    </row>
    <row r="3519" ht="15" customHeight="1">
      <c r="A3519" t="inlineStr">
        <is>
          <t>A 59548-2019</t>
        </is>
      </c>
      <c r="B3519" s="1" t="n">
        <v>43776</v>
      </c>
      <c r="C3519" s="1" t="n">
        <v>45212</v>
      </c>
      <c r="D3519" t="inlineStr">
        <is>
          <t>VÄSTRA GÖTALANDS LÄN</t>
        </is>
      </c>
      <c r="E3519" t="inlineStr">
        <is>
          <t>BENGTSFORS</t>
        </is>
      </c>
      <c r="G3519" t="n">
        <v>5.2</v>
      </c>
      <c r="H3519" t="n">
        <v>0</v>
      </c>
      <c r="I3519" t="n">
        <v>0</v>
      </c>
      <c r="J3519" t="n">
        <v>0</v>
      </c>
      <c r="K3519" t="n">
        <v>0</v>
      </c>
      <c r="L3519" t="n">
        <v>0</v>
      </c>
      <c r="M3519" t="n">
        <v>0</v>
      </c>
      <c r="N3519" t="n">
        <v>0</v>
      </c>
      <c r="O3519" t="n">
        <v>0</v>
      </c>
      <c r="P3519" t="n">
        <v>0</v>
      </c>
      <c r="Q3519" t="n">
        <v>0</v>
      </c>
      <c r="R3519" s="2" t="inlineStr"/>
    </row>
    <row r="3520" ht="15" customHeight="1">
      <c r="A3520" t="inlineStr">
        <is>
          <t>A 59735-2019</t>
        </is>
      </c>
      <c r="B3520" s="1" t="n">
        <v>43776</v>
      </c>
      <c r="C3520" s="1" t="n">
        <v>45212</v>
      </c>
      <c r="D3520" t="inlineStr">
        <is>
          <t>VÄSTRA GÖTALANDS LÄN</t>
        </is>
      </c>
      <c r="E3520" t="inlineStr">
        <is>
          <t>ALE</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60286-2019</t>
        </is>
      </c>
      <c r="B3521" s="1" t="n">
        <v>43776</v>
      </c>
      <c r="C3521" s="1" t="n">
        <v>45212</v>
      </c>
      <c r="D3521" t="inlineStr">
        <is>
          <t>VÄSTRA GÖTALANDS LÄN</t>
        </is>
      </c>
      <c r="E3521" t="inlineStr">
        <is>
          <t>LYSEKIL</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60096-2019</t>
        </is>
      </c>
      <c r="B3522" s="1" t="n">
        <v>43777</v>
      </c>
      <c r="C3522" s="1" t="n">
        <v>45212</v>
      </c>
      <c r="D3522" t="inlineStr">
        <is>
          <t>VÄSTRA GÖTALANDS LÄN</t>
        </is>
      </c>
      <c r="E3522" t="inlineStr">
        <is>
          <t>SKÖVDE</t>
        </is>
      </c>
      <c r="F3522" t="inlineStr">
        <is>
          <t>Övriga statliga verk och myndigheter</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59796-2019</t>
        </is>
      </c>
      <c r="B3523" s="1" t="n">
        <v>43777</v>
      </c>
      <c r="C3523" s="1" t="n">
        <v>45212</v>
      </c>
      <c r="D3523" t="inlineStr">
        <is>
          <t>VÄSTRA GÖTALANDS LÄN</t>
        </is>
      </c>
      <c r="E3523" t="inlineStr">
        <is>
          <t>LIDKÖPING</t>
        </is>
      </c>
      <c r="F3523" t="inlineStr">
        <is>
          <t>Kyrkan</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59952-2019</t>
        </is>
      </c>
      <c r="B3524" s="1" t="n">
        <v>43777</v>
      </c>
      <c r="C3524" s="1" t="n">
        <v>45212</v>
      </c>
      <c r="D3524" t="inlineStr">
        <is>
          <t>VÄSTRA GÖTALANDS LÄN</t>
        </is>
      </c>
      <c r="E3524" t="inlineStr">
        <is>
          <t>BENGTSFORS</t>
        </is>
      </c>
      <c r="G3524" t="n">
        <v>6.1</v>
      </c>
      <c r="H3524" t="n">
        <v>0</v>
      </c>
      <c r="I3524" t="n">
        <v>0</v>
      </c>
      <c r="J3524" t="n">
        <v>0</v>
      </c>
      <c r="K3524" t="n">
        <v>0</v>
      </c>
      <c r="L3524" t="n">
        <v>0</v>
      </c>
      <c r="M3524" t="n">
        <v>0</v>
      </c>
      <c r="N3524" t="n">
        <v>0</v>
      </c>
      <c r="O3524" t="n">
        <v>0</v>
      </c>
      <c r="P3524" t="n">
        <v>0</v>
      </c>
      <c r="Q3524" t="n">
        <v>0</v>
      </c>
      <c r="R3524" s="2" t="inlineStr"/>
    </row>
    <row r="3525" ht="15" customHeight="1">
      <c r="A3525" t="inlineStr">
        <is>
          <t>A 60098-2019</t>
        </is>
      </c>
      <c r="B3525" s="1" t="n">
        <v>43777</v>
      </c>
      <c r="C3525" s="1" t="n">
        <v>45212</v>
      </c>
      <c r="D3525" t="inlineStr">
        <is>
          <t>VÄSTRA GÖTALANDS LÄN</t>
        </is>
      </c>
      <c r="E3525" t="inlineStr">
        <is>
          <t>SKÖVDE</t>
        </is>
      </c>
      <c r="F3525" t="inlineStr">
        <is>
          <t>Övriga statliga verk och myndigheter</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60027-2019</t>
        </is>
      </c>
      <c r="B3526" s="1" t="n">
        <v>43777</v>
      </c>
      <c r="C3526" s="1" t="n">
        <v>45212</v>
      </c>
      <c r="D3526" t="inlineStr">
        <is>
          <t>VÄSTRA GÖTALANDS LÄN</t>
        </is>
      </c>
      <c r="E3526" t="inlineStr">
        <is>
          <t>MELLERUD</t>
        </is>
      </c>
      <c r="G3526" t="n">
        <v>3.6</v>
      </c>
      <c r="H3526" t="n">
        <v>0</v>
      </c>
      <c r="I3526" t="n">
        <v>0</v>
      </c>
      <c r="J3526" t="n">
        <v>0</v>
      </c>
      <c r="K3526" t="n">
        <v>0</v>
      </c>
      <c r="L3526" t="n">
        <v>0</v>
      </c>
      <c r="M3526" t="n">
        <v>0</v>
      </c>
      <c r="N3526" t="n">
        <v>0</v>
      </c>
      <c r="O3526" t="n">
        <v>0</v>
      </c>
      <c r="P3526" t="n">
        <v>0</v>
      </c>
      <c r="Q3526" t="n">
        <v>0</v>
      </c>
      <c r="R3526" s="2" t="inlineStr"/>
    </row>
    <row r="3527" ht="15" customHeight="1">
      <c r="A3527" t="inlineStr">
        <is>
          <t>A 59802-2019</t>
        </is>
      </c>
      <c r="B3527" s="1" t="n">
        <v>43777</v>
      </c>
      <c r="C3527" s="1" t="n">
        <v>45212</v>
      </c>
      <c r="D3527" t="inlineStr">
        <is>
          <t>VÄSTRA GÖTALANDS LÄN</t>
        </is>
      </c>
      <c r="E3527" t="inlineStr">
        <is>
          <t>MARIESTAD</t>
        </is>
      </c>
      <c r="F3527" t="inlineStr">
        <is>
          <t>Kyrkan</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60100-2019</t>
        </is>
      </c>
      <c r="B3528" s="1" t="n">
        <v>43777</v>
      </c>
      <c r="C3528" s="1" t="n">
        <v>45212</v>
      </c>
      <c r="D3528" t="inlineStr">
        <is>
          <t>VÄSTRA GÖTALANDS LÄN</t>
        </is>
      </c>
      <c r="E3528" t="inlineStr">
        <is>
          <t>SKÖVDE</t>
        </is>
      </c>
      <c r="F3528" t="inlineStr">
        <is>
          <t>Övriga statliga verk och myndigheter</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60494-2019</t>
        </is>
      </c>
      <c r="B3529" s="1" t="n">
        <v>43780</v>
      </c>
      <c r="C3529" s="1" t="n">
        <v>45212</v>
      </c>
      <c r="D3529" t="inlineStr">
        <is>
          <t>VÄSTRA GÖTALANDS LÄN</t>
        </is>
      </c>
      <c r="E3529" t="inlineStr">
        <is>
          <t>ÅMÅL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60927-2019</t>
        </is>
      </c>
      <c r="B3530" s="1" t="n">
        <v>43780</v>
      </c>
      <c r="C3530" s="1" t="n">
        <v>45212</v>
      </c>
      <c r="D3530" t="inlineStr">
        <is>
          <t>VÄSTRA GÖTALANDS LÄN</t>
        </is>
      </c>
      <c r="E3530" t="inlineStr">
        <is>
          <t>SVENLJUNGA</t>
        </is>
      </c>
      <c r="G3530" t="n">
        <v>6.6</v>
      </c>
      <c r="H3530" t="n">
        <v>0</v>
      </c>
      <c r="I3530" t="n">
        <v>0</v>
      </c>
      <c r="J3530" t="n">
        <v>0</v>
      </c>
      <c r="K3530" t="n">
        <v>0</v>
      </c>
      <c r="L3530" t="n">
        <v>0</v>
      </c>
      <c r="M3530" t="n">
        <v>0</v>
      </c>
      <c r="N3530" t="n">
        <v>0</v>
      </c>
      <c r="O3530" t="n">
        <v>0</v>
      </c>
      <c r="P3530" t="n">
        <v>0</v>
      </c>
      <c r="Q3530" t="n">
        <v>0</v>
      </c>
      <c r="R3530" s="2" t="inlineStr"/>
    </row>
    <row r="3531" ht="15" customHeight="1">
      <c r="A3531" t="inlineStr">
        <is>
          <t>A 60348-2019</t>
        </is>
      </c>
      <c r="B3531" s="1" t="n">
        <v>43780</v>
      </c>
      <c r="C3531" s="1" t="n">
        <v>45212</v>
      </c>
      <c r="D3531" t="inlineStr">
        <is>
          <t>VÄSTRA GÖTALANDS LÄN</t>
        </is>
      </c>
      <c r="E3531" t="inlineStr">
        <is>
          <t>KUNGÄLV</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60271-2019</t>
        </is>
      </c>
      <c r="B3532" s="1" t="n">
        <v>43780</v>
      </c>
      <c r="C3532" s="1" t="n">
        <v>45212</v>
      </c>
      <c r="D3532" t="inlineStr">
        <is>
          <t>VÄSTRA GÖTALANDS LÄN</t>
        </is>
      </c>
      <c r="E3532" t="inlineStr">
        <is>
          <t>SVENLJUNGA</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60395-2019</t>
        </is>
      </c>
      <c r="B3533" s="1" t="n">
        <v>43780</v>
      </c>
      <c r="C3533" s="1" t="n">
        <v>45212</v>
      </c>
      <c r="D3533" t="inlineStr">
        <is>
          <t>VÄSTRA GÖTALANDS LÄN</t>
        </is>
      </c>
      <c r="E3533" t="inlineStr">
        <is>
          <t>ALE</t>
        </is>
      </c>
      <c r="F3533" t="inlineStr">
        <is>
          <t>Kommuner</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60624-2019</t>
        </is>
      </c>
      <c r="B3534" s="1" t="n">
        <v>43781</v>
      </c>
      <c r="C3534" s="1" t="n">
        <v>45212</v>
      </c>
      <c r="D3534" t="inlineStr">
        <is>
          <t>VÄSTRA GÖTALANDS LÄN</t>
        </is>
      </c>
      <c r="E3534" t="inlineStr">
        <is>
          <t>LIDKÖPING</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60796-2019</t>
        </is>
      </c>
      <c r="B3535" s="1" t="n">
        <v>43781</v>
      </c>
      <c r="C3535" s="1" t="n">
        <v>45212</v>
      </c>
      <c r="D3535" t="inlineStr">
        <is>
          <t>VÄSTRA GÖTALANDS LÄN</t>
        </is>
      </c>
      <c r="E3535" t="inlineStr">
        <is>
          <t>TÖREBODA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60832-2019</t>
        </is>
      </c>
      <c r="B3536" s="1" t="n">
        <v>43781</v>
      </c>
      <c r="C3536" s="1" t="n">
        <v>45212</v>
      </c>
      <c r="D3536" t="inlineStr">
        <is>
          <t>VÄSTRA GÖTALANDS LÄN</t>
        </is>
      </c>
      <c r="E3536" t="inlineStr">
        <is>
          <t>MÖLNDAL</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60666-2019</t>
        </is>
      </c>
      <c r="B3537" s="1" t="n">
        <v>43781</v>
      </c>
      <c r="C3537" s="1" t="n">
        <v>45212</v>
      </c>
      <c r="D3537" t="inlineStr">
        <is>
          <t>VÄSTRA GÖTALANDS LÄN</t>
        </is>
      </c>
      <c r="E3537" t="inlineStr">
        <is>
          <t>BENGTSFORS</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60701-2019</t>
        </is>
      </c>
      <c r="B3538" s="1" t="n">
        <v>43781</v>
      </c>
      <c r="C3538" s="1" t="n">
        <v>45212</v>
      </c>
      <c r="D3538" t="inlineStr">
        <is>
          <t>VÄSTRA GÖTALANDS LÄN</t>
        </is>
      </c>
      <c r="E3538" t="inlineStr">
        <is>
          <t>GRÄSTORP</t>
        </is>
      </c>
      <c r="G3538" t="n">
        <v>3.9</v>
      </c>
      <c r="H3538" t="n">
        <v>0</v>
      </c>
      <c r="I3538" t="n">
        <v>0</v>
      </c>
      <c r="J3538" t="n">
        <v>0</v>
      </c>
      <c r="K3538" t="n">
        <v>0</v>
      </c>
      <c r="L3538" t="n">
        <v>0</v>
      </c>
      <c r="M3538" t="n">
        <v>0</v>
      </c>
      <c r="N3538" t="n">
        <v>0</v>
      </c>
      <c r="O3538" t="n">
        <v>0</v>
      </c>
      <c r="P3538" t="n">
        <v>0</v>
      </c>
      <c r="Q3538" t="n">
        <v>0</v>
      </c>
      <c r="R3538" s="2" t="inlineStr"/>
    </row>
    <row r="3539" ht="15" customHeight="1">
      <c r="A3539" t="inlineStr">
        <is>
          <t>A 60762-2019</t>
        </is>
      </c>
      <c r="B3539" s="1" t="n">
        <v>43781</v>
      </c>
      <c r="C3539" s="1" t="n">
        <v>45212</v>
      </c>
      <c r="D3539" t="inlineStr">
        <is>
          <t>VÄSTRA GÖTALANDS LÄN</t>
        </is>
      </c>
      <c r="E3539" t="inlineStr">
        <is>
          <t>KUNGÄLV</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60797-2019</t>
        </is>
      </c>
      <c r="B3540" s="1" t="n">
        <v>43781</v>
      </c>
      <c r="C3540" s="1" t="n">
        <v>45212</v>
      </c>
      <c r="D3540" t="inlineStr">
        <is>
          <t>VÄSTRA GÖTALANDS LÄN</t>
        </is>
      </c>
      <c r="E3540" t="inlineStr">
        <is>
          <t>MUNKEDAL</t>
        </is>
      </c>
      <c r="G3540" t="n">
        <v>4.8</v>
      </c>
      <c r="H3540" t="n">
        <v>0</v>
      </c>
      <c r="I3540" t="n">
        <v>0</v>
      </c>
      <c r="J3540" t="n">
        <v>0</v>
      </c>
      <c r="K3540" t="n">
        <v>0</v>
      </c>
      <c r="L3540" t="n">
        <v>0</v>
      </c>
      <c r="M3540" t="n">
        <v>0</v>
      </c>
      <c r="N3540" t="n">
        <v>0</v>
      </c>
      <c r="O3540" t="n">
        <v>0</v>
      </c>
      <c r="P3540" t="n">
        <v>0</v>
      </c>
      <c r="Q3540" t="n">
        <v>0</v>
      </c>
      <c r="R3540" s="2" t="inlineStr"/>
    </row>
    <row r="3541" ht="15" customHeight="1">
      <c r="A3541" t="inlineStr">
        <is>
          <t>A 60866-2019</t>
        </is>
      </c>
      <c r="B3541" s="1" t="n">
        <v>43781</v>
      </c>
      <c r="C3541" s="1" t="n">
        <v>45212</v>
      </c>
      <c r="D3541" t="inlineStr">
        <is>
          <t>VÄSTRA GÖTALANDS LÄN</t>
        </is>
      </c>
      <c r="E3541" t="inlineStr">
        <is>
          <t>GULLSPÅNG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60689-2019</t>
        </is>
      </c>
      <c r="B3542" s="1" t="n">
        <v>43781</v>
      </c>
      <c r="C3542" s="1" t="n">
        <v>45212</v>
      </c>
      <c r="D3542" t="inlineStr">
        <is>
          <t>VÄSTRA GÖTALANDS LÄN</t>
        </is>
      </c>
      <c r="E3542" t="inlineStr">
        <is>
          <t>FÄRGELANDA</t>
        </is>
      </c>
      <c r="G3542" t="n">
        <v>1.9</v>
      </c>
      <c r="H3542" t="n">
        <v>0</v>
      </c>
      <c r="I3542" t="n">
        <v>0</v>
      </c>
      <c r="J3542" t="n">
        <v>0</v>
      </c>
      <c r="K3542" t="n">
        <v>0</v>
      </c>
      <c r="L3542" t="n">
        <v>0</v>
      </c>
      <c r="M3542" t="n">
        <v>0</v>
      </c>
      <c r="N3542" t="n">
        <v>0</v>
      </c>
      <c r="O3542" t="n">
        <v>0</v>
      </c>
      <c r="P3542" t="n">
        <v>0</v>
      </c>
      <c r="Q3542" t="n">
        <v>0</v>
      </c>
      <c r="R3542" s="2" t="inlineStr"/>
    </row>
    <row r="3543" ht="15" customHeight="1">
      <c r="A3543" t="inlineStr">
        <is>
          <t>A 60705-2019</t>
        </is>
      </c>
      <c r="B3543" s="1" t="n">
        <v>43781</v>
      </c>
      <c r="C3543" s="1" t="n">
        <v>45212</v>
      </c>
      <c r="D3543" t="inlineStr">
        <is>
          <t>VÄSTRA GÖTALANDS LÄN</t>
        </is>
      </c>
      <c r="E3543" t="inlineStr">
        <is>
          <t>GRÄSTORP</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60801-2019</t>
        </is>
      </c>
      <c r="B3544" s="1" t="n">
        <v>43781</v>
      </c>
      <c r="C3544" s="1" t="n">
        <v>45212</v>
      </c>
      <c r="D3544" t="inlineStr">
        <is>
          <t>VÄSTRA GÖTALANDS LÄN</t>
        </is>
      </c>
      <c r="E3544" t="inlineStr">
        <is>
          <t>HERRLJUNGA</t>
        </is>
      </c>
      <c r="G3544" t="n">
        <v>0.8</v>
      </c>
      <c r="H3544" t="n">
        <v>0</v>
      </c>
      <c r="I3544" t="n">
        <v>0</v>
      </c>
      <c r="J3544" t="n">
        <v>0</v>
      </c>
      <c r="K3544" t="n">
        <v>0</v>
      </c>
      <c r="L3544" t="n">
        <v>0</v>
      </c>
      <c r="M3544" t="n">
        <v>0</v>
      </c>
      <c r="N3544" t="n">
        <v>0</v>
      </c>
      <c r="O3544" t="n">
        <v>0</v>
      </c>
      <c r="P3544" t="n">
        <v>0</v>
      </c>
      <c r="Q3544" t="n">
        <v>0</v>
      </c>
      <c r="R3544" s="2" t="inlineStr"/>
    </row>
    <row r="3545" ht="15" customHeight="1">
      <c r="A3545" t="inlineStr">
        <is>
          <t>A 61886-2019</t>
        </is>
      </c>
      <c r="B3545" s="1" t="n">
        <v>43781</v>
      </c>
      <c r="C3545" s="1" t="n">
        <v>45212</v>
      </c>
      <c r="D3545" t="inlineStr">
        <is>
          <t>VÄSTRA GÖTALANDS LÄN</t>
        </is>
      </c>
      <c r="E3545" t="inlineStr">
        <is>
          <t>ESSUNGA</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61991-2019</t>
        </is>
      </c>
      <c r="B3546" s="1" t="n">
        <v>43781</v>
      </c>
      <c r="C3546" s="1" t="n">
        <v>45212</v>
      </c>
      <c r="D3546" t="inlineStr">
        <is>
          <t>VÄSTRA GÖTALANDS LÄN</t>
        </is>
      </c>
      <c r="E3546" t="inlineStr">
        <is>
          <t>TIBRO</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60759-2019</t>
        </is>
      </c>
      <c r="B3547" s="1" t="n">
        <v>43781</v>
      </c>
      <c r="C3547" s="1" t="n">
        <v>45212</v>
      </c>
      <c r="D3547" t="inlineStr">
        <is>
          <t>VÄSTRA GÖTALANDS LÄN</t>
        </is>
      </c>
      <c r="E3547" t="inlineStr">
        <is>
          <t>BOLLEBYGD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60779-2019</t>
        </is>
      </c>
      <c r="B3548" s="1" t="n">
        <v>43781</v>
      </c>
      <c r="C3548" s="1" t="n">
        <v>45212</v>
      </c>
      <c r="D3548" t="inlineStr">
        <is>
          <t>VÄSTRA GÖTALANDS LÄN</t>
        </is>
      </c>
      <c r="E3548" t="inlineStr">
        <is>
          <t>KARLSBORG</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60908-2019</t>
        </is>
      </c>
      <c r="B3549" s="1" t="n">
        <v>43782</v>
      </c>
      <c r="C3549" s="1" t="n">
        <v>45212</v>
      </c>
      <c r="D3549" t="inlineStr">
        <is>
          <t>VÄSTRA GÖTALANDS LÄN</t>
        </is>
      </c>
      <c r="E3549" t="inlineStr">
        <is>
          <t>TÖREBODA</t>
        </is>
      </c>
      <c r="F3549" t="inlineStr">
        <is>
          <t>Sveaskog</t>
        </is>
      </c>
      <c r="G3549" t="n">
        <v>0.9</v>
      </c>
      <c r="H3549" t="n">
        <v>0</v>
      </c>
      <c r="I3549" t="n">
        <v>0</v>
      </c>
      <c r="J3549" t="n">
        <v>0</v>
      </c>
      <c r="K3549" t="n">
        <v>0</v>
      </c>
      <c r="L3549" t="n">
        <v>0</v>
      </c>
      <c r="M3549" t="n">
        <v>0</v>
      </c>
      <c r="N3549" t="n">
        <v>0</v>
      </c>
      <c r="O3549" t="n">
        <v>0</v>
      </c>
      <c r="P3549" t="n">
        <v>0</v>
      </c>
      <c r="Q3549" t="n">
        <v>0</v>
      </c>
      <c r="R3549" s="2" t="inlineStr"/>
    </row>
    <row r="3550" ht="15" customHeight="1">
      <c r="A3550" t="inlineStr">
        <is>
          <t>A 61140-2019</t>
        </is>
      </c>
      <c r="B3550" s="1" t="n">
        <v>43782</v>
      </c>
      <c r="C3550" s="1" t="n">
        <v>45212</v>
      </c>
      <c r="D3550" t="inlineStr">
        <is>
          <t>VÄSTRA GÖTALANDS LÄN</t>
        </is>
      </c>
      <c r="E3550" t="inlineStr">
        <is>
          <t>LIDKÖPING</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62057-2019</t>
        </is>
      </c>
      <c r="B3551" s="1" t="n">
        <v>43782</v>
      </c>
      <c r="C3551" s="1" t="n">
        <v>45212</v>
      </c>
      <c r="D3551" t="inlineStr">
        <is>
          <t>VÄSTRA GÖTALANDS LÄN</t>
        </is>
      </c>
      <c r="E3551" t="inlineStr">
        <is>
          <t>GULLSPÅNG</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60970-2019</t>
        </is>
      </c>
      <c r="B3552" s="1" t="n">
        <v>43782</v>
      </c>
      <c r="C3552" s="1" t="n">
        <v>45212</v>
      </c>
      <c r="D3552" t="inlineStr">
        <is>
          <t>VÄSTRA GÖTALANDS LÄN</t>
        </is>
      </c>
      <c r="E3552" t="inlineStr">
        <is>
          <t>SVENLJUNGA</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62053-2019</t>
        </is>
      </c>
      <c r="B3553" s="1" t="n">
        <v>43782</v>
      </c>
      <c r="C3553" s="1" t="n">
        <v>45212</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62372-2019</t>
        </is>
      </c>
      <c r="B3554" s="1" t="n">
        <v>43782</v>
      </c>
      <c r="C3554" s="1" t="n">
        <v>45212</v>
      </c>
      <c r="D3554" t="inlineStr">
        <is>
          <t>VÄSTRA GÖTALANDS LÄN</t>
        </is>
      </c>
      <c r="E3554" t="inlineStr">
        <is>
          <t>STRÖMSTAD</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61134-2019</t>
        </is>
      </c>
      <c r="B3555" s="1" t="n">
        <v>43782</v>
      </c>
      <c r="C3555" s="1" t="n">
        <v>45212</v>
      </c>
      <c r="D3555" t="inlineStr">
        <is>
          <t>VÄSTRA GÖTALANDS LÄN</t>
        </is>
      </c>
      <c r="E3555" t="inlineStr">
        <is>
          <t>TIDAHOLM</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60909-2019</t>
        </is>
      </c>
      <c r="B3556" s="1" t="n">
        <v>43782</v>
      </c>
      <c r="C3556" s="1" t="n">
        <v>45212</v>
      </c>
      <c r="D3556" t="inlineStr">
        <is>
          <t>VÄSTRA GÖTALANDS LÄN</t>
        </is>
      </c>
      <c r="E3556" t="inlineStr">
        <is>
          <t>TÖREBODA</t>
        </is>
      </c>
      <c r="F3556" t="inlineStr">
        <is>
          <t>Sveaskog</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61017-2019</t>
        </is>
      </c>
      <c r="B3557" s="1" t="n">
        <v>43782</v>
      </c>
      <c r="C3557" s="1" t="n">
        <v>45212</v>
      </c>
      <c r="D3557" t="inlineStr">
        <is>
          <t>VÄSTRA GÖTALANDS LÄN</t>
        </is>
      </c>
      <c r="E3557" t="inlineStr">
        <is>
          <t>SKARA</t>
        </is>
      </c>
      <c r="G3557" t="n">
        <v>4.9</v>
      </c>
      <c r="H3557" t="n">
        <v>0</v>
      </c>
      <c r="I3557" t="n">
        <v>0</v>
      </c>
      <c r="J3557" t="n">
        <v>0</v>
      </c>
      <c r="K3557" t="n">
        <v>0</v>
      </c>
      <c r="L3557" t="n">
        <v>0</v>
      </c>
      <c r="M3557" t="n">
        <v>0</v>
      </c>
      <c r="N3557" t="n">
        <v>0</v>
      </c>
      <c r="O3557" t="n">
        <v>0</v>
      </c>
      <c r="P3557" t="n">
        <v>0</v>
      </c>
      <c r="Q3557" t="n">
        <v>0</v>
      </c>
      <c r="R3557" s="2" t="inlineStr"/>
    </row>
    <row r="3558" ht="15" customHeight="1">
      <c r="A3558" t="inlineStr">
        <is>
          <t>A 61029-2019</t>
        </is>
      </c>
      <c r="B3558" s="1" t="n">
        <v>43782</v>
      </c>
      <c r="C3558" s="1" t="n">
        <v>45212</v>
      </c>
      <c r="D3558" t="inlineStr">
        <is>
          <t>VÄSTRA GÖTALANDS LÄN</t>
        </is>
      </c>
      <c r="E3558" t="inlineStr">
        <is>
          <t>MARK</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61121-2019</t>
        </is>
      </c>
      <c r="B3559" s="1" t="n">
        <v>43782</v>
      </c>
      <c r="C3559" s="1" t="n">
        <v>45212</v>
      </c>
      <c r="D3559" t="inlineStr">
        <is>
          <t>VÄSTRA GÖTALANDS LÄN</t>
        </is>
      </c>
      <c r="E3559" t="inlineStr">
        <is>
          <t>SVENLJUNGA</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61154-2019</t>
        </is>
      </c>
      <c r="B3560" s="1" t="n">
        <v>43782</v>
      </c>
      <c r="C3560" s="1" t="n">
        <v>45212</v>
      </c>
      <c r="D3560" t="inlineStr">
        <is>
          <t>VÄSTRA GÖTALANDS LÄN</t>
        </is>
      </c>
      <c r="E3560" t="inlineStr">
        <is>
          <t>LIDKÖPING</t>
        </is>
      </c>
      <c r="G3560" t="n">
        <v>5.4</v>
      </c>
      <c r="H3560" t="n">
        <v>0</v>
      </c>
      <c r="I3560" t="n">
        <v>0</v>
      </c>
      <c r="J3560" t="n">
        <v>0</v>
      </c>
      <c r="K3560" t="n">
        <v>0</v>
      </c>
      <c r="L3560" t="n">
        <v>0</v>
      </c>
      <c r="M3560" t="n">
        <v>0</v>
      </c>
      <c r="N3560" t="n">
        <v>0</v>
      </c>
      <c r="O3560" t="n">
        <v>0</v>
      </c>
      <c r="P3560" t="n">
        <v>0</v>
      </c>
      <c r="Q3560" t="n">
        <v>0</v>
      </c>
      <c r="R3560" s="2" t="inlineStr"/>
    </row>
    <row r="3561" ht="15" customHeight="1">
      <c r="A3561" t="inlineStr">
        <is>
          <t>A 62061-2019</t>
        </is>
      </c>
      <c r="B3561" s="1" t="n">
        <v>43782</v>
      </c>
      <c r="C3561" s="1" t="n">
        <v>45212</v>
      </c>
      <c r="D3561" t="inlineStr">
        <is>
          <t>VÄSTRA GÖTALANDS LÄN</t>
        </is>
      </c>
      <c r="E3561" t="inlineStr">
        <is>
          <t>VARA</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62082-2019</t>
        </is>
      </c>
      <c r="B3562" s="1" t="n">
        <v>43782</v>
      </c>
      <c r="C3562" s="1" t="n">
        <v>45212</v>
      </c>
      <c r="D3562" t="inlineStr">
        <is>
          <t>VÄSTRA GÖTALANDS LÄN</t>
        </is>
      </c>
      <c r="E3562" t="inlineStr">
        <is>
          <t>FALKÖPING</t>
        </is>
      </c>
      <c r="G3562" t="n">
        <v>2.8</v>
      </c>
      <c r="H3562" t="n">
        <v>0</v>
      </c>
      <c r="I3562" t="n">
        <v>0</v>
      </c>
      <c r="J3562" t="n">
        <v>0</v>
      </c>
      <c r="K3562" t="n">
        <v>0</v>
      </c>
      <c r="L3562" t="n">
        <v>0</v>
      </c>
      <c r="M3562" t="n">
        <v>0</v>
      </c>
      <c r="N3562" t="n">
        <v>0</v>
      </c>
      <c r="O3562" t="n">
        <v>0</v>
      </c>
      <c r="P3562" t="n">
        <v>0</v>
      </c>
      <c r="Q3562" t="n">
        <v>0</v>
      </c>
      <c r="R3562" s="2" t="inlineStr"/>
    </row>
    <row r="3563" ht="15" customHeight="1">
      <c r="A3563" t="inlineStr">
        <is>
          <t>A 61286-2019</t>
        </is>
      </c>
      <c r="B3563" s="1" t="n">
        <v>43783</v>
      </c>
      <c r="C3563" s="1" t="n">
        <v>45212</v>
      </c>
      <c r="D3563" t="inlineStr">
        <is>
          <t>VÄSTRA GÖTALANDS LÄN</t>
        </is>
      </c>
      <c r="E3563" t="inlineStr">
        <is>
          <t>TRANEMO</t>
        </is>
      </c>
      <c r="G3563" t="n">
        <v>5.9</v>
      </c>
      <c r="H3563" t="n">
        <v>0</v>
      </c>
      <c r="I3563" t="n">
        <v>0</v>
      </c>
      <c r="J3563" t="n">
        <v>0</v>
      </c>
      <c r="K3563" t="n">
        <v>0</v>
      </c>
      <c r="L3563" t="n">
        <v>0</v>
      </c>
      <c r="M3563" t="n">
        <v>0</v>
      </c>
      <c r="N3563" t="n">
        <v>0</v>
      </c>
      <c r="O3563" t="n">
        <v>0</v>
      </c>
      <c r="P3563" t="n">
        <v>0</v>
      </c>
      <c r="Q3563" t="n">
        <v>0</v>
      </c>
      <c r="R3563" s="2" t="inlineStr"/>
    </row>
    <row r="3564" ht="15" customHeight="1">
      <c r="A3564" t="inlineStr">
        <is>
          <t>A 61348-2019</t>
        </is>
      </c>
      <c r="B3564" s="1" t="n">
        <v>43783</v>
      </c>
      <c r="C3564" s="1" t="n">
        <v>45212</v>
      </c>
      <c r="D3564" t="inlineStr">
        <is>
          <t>VÄSTRA GÖTALANDS LÄN</t>
        </is>
      </c>
      <c r="E3564" t="inlineStr">
        <is>
          <t>VARA</t>
        </is>
      </c>
      <c r="G3564" t="n">
        <v>4.7</v>
      </c>
      <c r="H3564" t="n">
        <v>0</v>
      </c>
      <c r="I3564" t="n">
        <v>0</v>
      </c>
      <c r="J3564" t="n">
        <v>0</v>
      </c>
      <c r="K3564" t="n">
        <v>0</v>
      </c>
      <c r="L3564" t="n">
        <v>0</v>
      </c>
      <c r="M3564" t="n">
        <v>0</v>
      </c>
      <c r="N3564" t="n">
        <v>0</v>
      </c>
      <c r="O3564" t="n">
        <v>0</v>
      </c>
      <c r="P3564" t="n">
        <v>0</v>
      </c>
      <c r="Q3564" t="n">
        <v>0</v>
      </c>
      <c r="R3564" s="2" t="inlineStr"/>
    </row>
    <row r="3565" ht="15" customHeight="1">
      <c r="A3565" t="inlineStr">
        <is>
          <t>A 61415-2019</t>
        </is>
      </c>
      <c r="B3565" s="1" t="n">
        <v>43783</v>
      </c>
      <c r="C3565" s="1" t="n">
        <v>45212</v>
      </c>
      <c r="D3565" t="inlineStr">
        <is>
          <t>VÄSTRA GÖTALANDS LÄN</t>
        </is>
      </c>
      <c r="E3565" t="inlineStr">
        <is>
          <t>BOLLEBYGD</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61457-2019</t>
        </is>
      </c>
      <c r="B3566" s="1" t="n">
        <v>43783</v>
      </c>
      <c r="C3566" s="1" t="n">
        <v>45212</v>
      </c>
      <c r="D3566" t="inlineStr">
        <is>
          <t>VÄSTRA GÖTALANDS LÄN</t>
        </is>
      </c>
      <c r="E3566" t="inlineStr">
        <is>
          <t>MARK</t>
        </is>
      </c>
      <c r="F3566" t="inlineStr">
        <is>
          <t>Kommuner</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61475-2019</t>
        </is>
      </c>
      <c r="B3567" s="1" t="n">
        <v>43783</v>
      </c>
      <c r="C3567" s="1" t="n">
        <v>45212</v>
      </c>
      <c r="D3567" t="inlineStr">
        <is>
          <t>VÄSTRA GÖTALANDS LÄN</t>
        </is>
      </c>
      <c r="E3567" t="inlineStr">
        <is>
          <t>MARK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62557-2019</t>
        </is>
      </c>
      <c r="B3568" s="1" t="n">
        <v>43783</v>
      </c>
      <c r="C3568" s="1" t="n">
        <v>45212</v>
      </c>
      <c r="D3568" t="inlineStr">
        <is>
          <t>VÄSTRA GÖTALANDS LÄN</t>
        </is>
      </c>
      <c r="E3568" t="inlineStr">
        <is>
          <t>GULLSPÅNG</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61233-2019</t>
        </is>
      </c>
      <c r="B3569" s="1" t="n">
        <v>43783</v>
      </c>
      <c r="C3569" s="1" t="n">
        <v>45212</v>
      </c>
      <c r="D3569" t="inlineStr">
        <is>
          <t>VÄSTRA GÖTALANDS LÄN</t>
        </is>
      </c>
      <c r="E3569" t="inlineStr">
        <is>
          <t>BENGTSFORS</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61245-2019</t>
        </is>
      </c>
      <c r="B3570" s="1" t="n">
        <v>43783</v>
      </c>
      <c r="C3570" s="1" t="n">
        <v>45212</v>
      </c>
      <c r="D3570" t="inlineStr">
        <is>
          <t>VÄSTRA GÖTALANDS LÄN</t>
        </is>
      </c>
      <c r="E3570" t="inlineStr">
        <is>
          <t>DALS-ED</t>
        </is>
      </c>
      <c r="G3570" t="n">
        <v>5.6</v>
      </c>
      <c r="H3570" t="n">
        <v>0</v>
      </c>
      <c r="I3570" t="n">
        <v>0</v>
      </c>
      <c r="J3570" t="n">
        <v>0</v>
      </c>
      <c r="K3570" t="n">
        <v>0</v>
      </c>
      <c r="L3570" t="n">
        <v>0</v>
      </c>
      <c r="M3570" t="n">
        <v>0</v>
      </c>
      <c r="N3570" t="n">
        <v>0</v>
      </c>
      <c r="O3570" t="n">
        <v>0</v>
      </c>
      <c r="P3570" t="n">
        <v>0</v>
      </c>
      <c r="Q3570" t="n">
        <v>0</v>
      </c>
      <c r="R3570" s="2" t="inlineStr"/>
    </row>
    <row r="3571" ht="15" customHeight="1">
      <c r="A3571" t="inlineStr">
        <is>
          <t>A 61359-2019</t>
        </is>
      </c>
      <c r="B3571" s="1" t="n">
        <v>43783</v>
      </c>
      <c r="C3571" s="1" t="n">
        <v>45212</v>
      </c>
      <c r="D3571" t="inlineStr">
        <is>
          <t>VÄSTRA GÖTALANDS LÄN</t>
        </is>
      </c>
      <c r="E3571" t="inlineStr">
        <is>
          <t>BENGTSFORS</t>
        </is>
      </c>
      <c r="G3571" t="n">
        <v>0.1</v>
      </c>
      <c r="H3571" t="n">
        <v>0</v>
      </c>
      <c r="I3571" t="n">
        <v>0</v>
      </c>
      <c r="J3571" t="n">
        <v>0</v>
      </c>
      <c r="K3571" t="n">
        <v>0</v>
      </c>
      <c r="L3571" t="n">
        <v>0</v>
      </c>
      <c r="M3571" t="n">
        <v>0</v>
      </c>
      <c r="N3571" t="n">
        <v>0</v>
      </c>
      <c r="O3571" t="n">
        <v>0</v>
      </c>
      <c r="P3571" t="n">
        <v>0</v>
      </c>
      <c r="Q3571" t="n">
        <v>0</v>
      </c>
      <c r="R3571" s="2" t="inlineStr"/>
    </row>
    <row r="3572" ht="15" customHeight="1">
      <c r="A3572" t="inlineStr">
        <is>
          <t>A 62556-2019</t>
        </is>
      </c>
      <c r="B3572" s="1" t="n">
        <v>43783</v>
      </c>
      <c r="C3572" s="1" t="n">
        <v>45212</v>
      </c>
      <c r="D3572" t="inlineStr">
        <is>
          <t>VÄSTRA GÖTALANDS LÄN</t>
        </is>
      </c>
      <c r="E3572" t="inlineStr">
        <is>
          <t>GULLSPÅNG</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61320-2019</t>
        </is>
      </c>
      <c r="B3573" s="1" t="n">
        <v>43783</v>
      </c>
      <c r="C3573" s="1" t="n">
        <v>45212</v>
      </c>
      <c r="D3573" t="inlineStr">
        <is>
          <t>VÄSTRA GÖTALANDS LÄN</t>
        </is>
      </c>
      <c r="E3573" t="inlineStr">
        <is>
          <t>FALKÖPING</t>
        </is>
      </c>
      <c r="F3573" t="inlineStr">
        <is>
          <t>Sveaskog</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61427-2019</t>
        </is>
      </c>
      <c r="B3574" s="1" t="n">
        <v>43783</v>
      </c>
      <c r="C3574" s="1" t="n">
        <v>45212</v>
      </c>
      <c r="D3574" t="inlineStr">
        <is>
          <t>VÄSTRA GÖTALANDS LÄN</t>
        </is>
      </c>
      <c r="E3574" t="inlineStr">
        <is>
          <t>ALINGSÅS</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61448-2019</t>
        </is>
      </c>
      <c r="B3575" s="1" t="n">
        <v>43783</v>
      </c>
      <c r="C3575" s="1" t="n">
        <v>45212</v>
      </c>
      <c r="D3575" t="inlineStr">
        <is>
          <t>VÄSTRA GÖTALANDS LÄN</t>
        </is>
      </c>
      <c r="E3575" t="inlineStr">
        <is>
          <t>BOLLEBYGD</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62559-2019</t>
        </is>
      </c>
      <c r="B3576" s="1" t="n">
        <v>43783</v>
      </c>
      <c r="C3576" s="1" t="n">
        <v>45212</v>
      </c>
      <c r="D3576" t="inlineStr">
        <is>
          <t>VÄSTRA GÖTALANDS LÄN</t>
        </is>
      </c>
      <c r="E3576" t="inlineStr">
        <is>
          <t>GULLSPÅNG</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61630-2019</t>
        </is>
      </c>
      <c r="B3577" s="1" t="n">
        <v>43784</v>
      </c>
      <c r="C3577" s="1" t="n">
        <v>45212</v>
      </c>
      <c r="D3577" t="inlineStr">
        <is>
          <t>VÄSTRA GÖTALANDS LÄN</t>
        </is>
      </c>
      <c r="E3577" t="inlineStr">
        <is>
          <t>VARA</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61728-2019</t>
        </is>
      </c>
      <c r="B3578" s="1" t="n">
        <v>43784</v>
      </c>
      <c r="C3578" s="1" t="n">
        <v>45212</v>
      </c>
      <c r="D3578" t="inlineStr">
        <is>
          <t>VÄSTRA GÖTALANDS LÄN</t>
        </is>
      </c>
      <c r="E3578" t="inlineStr">
        <is>
          <t>BORÅS</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61741-2019</t>
        </is>
      </c>
      <c r="B3579" s="1" t="n">
        <v>43784</v>
      </c>
      <c r="C3579" s="1" t="n">
        <v>45212</v>
      </c>
      <c r="D3579" t="inlineStr">
        <is>
          <t>VÄSTRA GÖTALANDS LÄN</t>
        </is>
      </c>
      <c r="E3579" t="inlineStr">
        <is>
          <t>BENGTSFORS</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61766-2019</t>
        </is>
      </c>
      <c r="B3580" s="1" t="n">
        <v>43784</v>
      </c>
      <c r="C3580" s="1" t="n">
        <v>45212</v>
      </c>
      <c r="D3580" t="inlineStr">
        <is>
          <t>VÄSTRA GÖTALANDS LÄN</t>
        </is>
      </c>
      <c r="E3580" t="inlineStr">
        <is>
          <t>ALINGSÅS</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61548-2019</t>
        </is>
      </c>
      <c r="B3581" s="1" t="n">
        <v>43784</v>
      </c>
      <c r="C3581" s="1" t="n">
        <v>45212</v>
      </c>
      <c r="D3581" t="inlineStr">
        <is>
          <t>VÄSTRA GÖTALANDS LÄN</t>
        </is>
      </c>
      <c r="E3581" t="inlineStr">
        <is>
          <t>TIBRO</t>
        </is>
      </c>
      <c r="F3581" t="inlineStr">
        <is>
          <t>Sveaskog</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61574-2019</t>
        </is>
      </c>
      <c r="B3582" s="1" t="n">
        <v>43784</v>
      </c>
      <c r="C3582" s="1" t="n">
        <v>45212</v>
      </c>
      <c r="D3582" t="inlineStr">
        <is>
          <t>VÄSTRA GÖTALANDS LÄN</t>
        </is>
      </c>
      <c r="E3582" t="inlineStr">
        <is>
          <t>ULRICEHAMN</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61643-2019</t>
        </is>
      </c>
      <c r="B3583" s="1" t="n">
        <v>43784</v>
      </c>
      <c r="C3583" s="1" t="n">
        <v>45212</v>
      </c>
      <c r="D3583" t="inlineStr">
        <is>
          <t>VÄSTRA GÖTALANDS LÄN</t>
        </is>
      </c>
      <c r="E3583" t="inlineStr">
        <is>
          <t>LILLA EDET</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61683-2019</t>
        </is>
      </c>
      <c r="B3584" s="1" t="n">
        <v>43784</v>
      </c>
      <c r="C3584" s="1" t="n">
        <v>45212</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61698-2019</t>
        </is>
      </c>
      <c r="B3585" s="1" t="n">
        <v>43784</v>
      </c>
      <c r="C3585" s="1" t="n">
        <v>45212</v>
      </c>
      <c r="D3585" t="inlineStr">
        <is>
          <t>VÄSTRA GÖTALANDS LÄN</t>
        </is>
      </c>
      <c r="E3585" t="inlineStr">
        <is>
          <t>BORÅS</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61727-2019</t>
        </is>
      </c>
      <c r="B3586" s="1" t="n">
        <v>43784</v>
      </c>
      <c r="C3586" s="1" t="n">
        <v>45212</v>
      </c>
      <c r="D3586" t="inlineStr">
        <is>
          <t>VÄSTRA GÖTALANDS LÄN</t>
        </is>
      </c>
      <c r="E3586" t="inlineStr">
        <is>
          <t>BORÅS</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61551-2019</t>
        </is>
      </c>
      <c r="B3587" s="1" t="n">
        <v>43784</v>
      </c>
      <c r="C3587" s="1" t="n">
        <v>45212</v>
      </c>
      <c r="D3587" t="inlineStr">
        <is>
          <t>VÄSTRA GÖTALANDS LÄN</t>
        </is>
      </c>
      <c r="E3587" t="inlineStr">
        <is>
          <t>ULRICEHAMN</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61706-2019</t>
        </is>
      </c>
      <c r="B3588" s="1" t="n">
        <v>43784</v>
      </c>
      <c r="C3588" s="1" t="n">
        <v>45212</v>
      </c>
      <c r="D3588" t="inlineStr">
        <is>
          <t>VÄSTRA GÖTALANDS LÄN</t>
        </is>
      </c>
      <c r="E3588" t="inlineStr">
        <is>
          <t>ALINGSÅS</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61725-2019</t>
        </is>
      </c>
      <c r="B3589" s="1" t="n">
        <v>43784</v>
      </c>
      <c r="C3589" s="1" t="n">
        <v>45212</v>
      </c>
      <c r="D3589" t="inlineStr">
        <is>
          <t>VÄSTRA GÖTALANDS LÄN</t>
        </is>
      </c>
      <c r="E3589" t="inlineStr">
        <is>
          <t>MARK</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61792-2019</t>
        </is>
      </c>
      <c r="B3590" s="1" t="n">
        <v>43785</v>
      </c>
      <c r="C3590" s="1" t="n">
        <v>45212</v>
      </c>
      <c r="D3590" t="inlineStr">
        <is>
          <t>VÄSTRA GÖTALANDS LÄN</t>
        </is>
      </c>
      <c r="E3590" t="inlineStr">
        <is>
          <t>ÅMÅL</t>
        </is>
      </c>
      <c r="G3590" t="n">
        <v>2.2</v>
      </c>
      <c r="H3590" t="n">
        <v>0</v>
      </c>
      <c r="I3590" t="n">
        <v>0</v>
      </c>
      <c r="J3590" t="n">
        <v>0</v>
      </c>
      <c r="K3590" t="n">
        <v>0</v>
      </c>
      <c r="L3590" t="n">
        <v>0</v>
      </c>
      <c r="M3590" t="n">
        <v>0</v>
      </c>
      <c r="N3590" t="n">
        <v>0</v>
      </c>
      <c r="O3590" t="n">
        <v>0</v>
      </c>
      <c r="P3590" t="n">
        <v>0</v>
      </c>
      <c r="Q3590" t="n">
        <v>0</v>
      </c>
      <c r="R3590" s="2" t="inlineStr"/>
    </row>
    <row r="3591" ht="15" customHeight="1">
      <c r="A3591" t="inlineStr">
        <is>
          <t>A 61793-2019</t>
        </is>
      </c>
      <c r="B3591" s="1" t="n">
        <v>43785</v>
      </c>
      <c r="C3591" s="1" t="n">
        <v>45212</v>
      </c>
      <c r="D3591" t="inlineStr">
        <is>
          <t>VÄSTRA GÖTALANDS LÄN</t>
        </is>
      </c>
      <c r="E3591" t="inlineStr">
        <is>
          <t>ÅMÅL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61844-2019</t>
        </is>
      </c>
      <c r="B3592" s="1" t="n">
        <v>43786</v>
      </c>
      <c r="C3592" s="1" t="n">
        <v>45212</v>
      </c>
      <c r="D3592" t="inlineStr">
        <is>
          <t>VÄSTRA GÖTALANDS LÄN</t>
        </is>
      </c>
      <c r="E3592" t="inlineStr">
        <is>
          <t>ULRICEHAMN</t>
        </is>
      </c>
      <c r="G3592" t="n">
        <v>5.5</v>
      </c>
      <c r="H3592" t="n">
        <v>0</v>
      </c>
      <c r="I3592" t="n">
        <v>0</v>
      </c>
      <c r="J3592" t="n">
        <v>0</v>
      </c>
      <c r="K3592" t="n">
        <v>0</v>
      </c>
      <c r="L3592" t="n">
        <v>0</v>
      </c>
      <c r="M3592" t="n">
        <v>0</v>
      </c>
      <c r="N3592" t="n">
        <v>0</v>
      </c>
      <c r="O3592" t="n">
        <v>0</v>
      </c>
      <c r="P3592" t="n">
        <v>0</v>
      </c>
      <c r="Q3592" t="n">
        <v>0</v>
      </c>
      <c r="R3592" s="2" t="inlineStr"/>
    </row>
    <row r="3593" ht="15" customHeight="1">
      <c r="A3593" t="inlineStr">
        <is>
          <t>A 61846-2019</t>
        </is>
      </c>
      <c r="B3593" s="1" t="n">
        <v>43786</v>
      </c>
      <c r="C3593" s="1" t="n">
        <v>45212</v>
      </c>
      <c r="D3593" t="inlineStr">
        <is>
          <t>VÄSTRA GÖTALANDS LÄN</t>
        </is>
      </c>
      <c r="E3593" t="inlineStr">
        <is>
          <t>KARLSBORG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62786-2019</t>
        </is>
      </c>
      <c r="B3594" s="1" t="n">
        <v>43786</v>
      </c>
      <c r="C3594" s="1" t="n">
        <v>45212</v>
      </c>
      <c r="D3594" t="inlineStr">
        <is>
          <t>VÄSTRA GÖTALANDS LÄN</t>
        </is>
      </c>
      <c r="E3594" t="inlineStr">
        <is>
          <t>TIBRO</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62002-2019</t>
        </is>
      </c>
      <c r="B3595" s="1" t="n">
        <v>43787</v>
      </c>
      <c r="C3595" s="1" t="n">
        <v>45212</v>
      </c>
      <c r="D3595" t="inlineStr">
        <is>
          <t>VÄSTRA GÖTALANDS LÄN</t>
        </is>
      </c>
      <c r="E3595" t="inlineStr">
        <is>
          <t>GRÄSTORP</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63317-2019</t>
        </is>
      </c>
      <c r="B3596" s="1" t="n">
        <v>43787</v>
      </c>
      <c r="C3596" s="1" t="n">
        <v>45212</v>
      </c>
      <c r="D3596" t="inlineStr">
        <is>
          <t>VÄSTRA GÖTALANDS LÄN</t>
        </is>
      </c>
      <c r="E3596" t="inlineStr">
        <is>
          <t>DALS-ED</t>
        </is>
      </c>
      <c r="F3596" t="inlineStr">
        <is>
          <t>Kyrkan</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61872-2019</t>
        </is>
      </c>
      <c r="B3597" s="1" t="n">
        <v>43787</v>
      </c>
      <c r="C3597" s="1" t="n">
        <v>45212</v>
      </c>
      <c r="D3597" t="inlineStr">
        <is>
          <t>VÄSTRA GÖTALANDS LÄN</t>
        </is>
      </c>
      <c r="E3597" t="inlineStr">
        <is>
          <t>BORÅS</t>
        </is>
      </c>
      <c r="F3597" t="inlineStr">
        <is>
          <t>Sveaskog</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61979-2019</t>
        </is>
      </c>
      <c r="B3598" s="1" t="n">
        <v>43787</v>
      </c>
      <c r="C3598" s="1" t="n">
        <v>45212</v>
      </c>
      <c r="D3598" t="inlineStr">
        <is>
          <t>VÄSTRA GÖTALANDS LÄN</t>
        </is>
      </c>
      <c r="E3598" t="inlineStr">
        <is>
          <t>VARA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62008-2019</t>
        </is>
      </c>
      <c r="B3599" s="1" t="n">
        <v>43787</v>
      </c>
      <c r="C3599" s="1" t="n">
        <v>45212</v>
      </c>
      <c r="D3599" t="inlineStr">
        <is>
          <t>VÄSTRA GÖTALANDS LÄN</t>
        </is>
      </c>
      <c r="E3599" t="inlineStr">
        <is>
          <t>GRÄSTORP</t>
        </is>
      </c>
      <c r="G3599" t="n">
        <v>11.7</v>
      </c>
      <c r="H3599" t="n">
        <v>0</v>
      </c>
      <c r="I3599" t="n">
        <v>0</v>
      </c>
      <c r="J3599" t="n">
        <v>0</v>
      </c>
      <c r="K3599" t="n">
        <v>0</v>
      </c>
      <c r="L3599" t="n">
        <v>0</v>
      </c>
      <c r="M3599" t="n">
        <v>0</v>
      </c>
      <c r="N3599" t="n">
        <v>0</v>
      </c>
      <c r="O3599" t="n">
        <v>0</v>
      </c>
      <c r="P3599" t="n">
        <v>0</v>
      </c>
      <c r="Q3599" t="n">
        <v>0</v>
      </c>
      <c r="R3599" s="2" t="inlineStr"/>
    </row>
    <row r="3600" ht="15" customHeight="1">
      <c r="A3600" t="inlineStr">
        <is>
          <t>A 62095-2019</t>
        </is>
      </c>
      <c r="B3600" s="1" t="n">
        <v>43787</v>
      </c>
      <c r="C3600" s="1" t="n">
        <v>45212</v>
      </c>
      <c r="D3600" t="inlineStr">
        <is>
          <t>VÄSTRA GÖTALANDS LÄN</t>
        </is>
      </c>
      <c r="E3600" t="inlineStr">
        <is>
          <t>ÅMÅL</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62130-2019</t>
        </is>
      </c>
      <c r="B3601" s="1" t="n">
        <v>43787</v>
      </c>
      <c r="C3601" s="1" t="n">
        <v>45212</v>
      </c>
      <c r="D3601" t="inlineStr">
        <is>
          <t>VÄSTRA GÖTALANDS LÄN</t>
        </is>
      </c>
      <c r="E3601" t="inlineStr">
        <is>
          <t>ALE</t>
        </is>
      </c>
      <c r="G3601" t="n">
        <v>4.3</v>
      </c>
      <c r="H3601" t="n">
        <v>0</v>
      </c>
      <c r="I3601" t="n">
        <v>0</v>
      </c>
      <c r="J3601" t="n">
        <v>0</v>
      </c>
      <c r="K3601" t="n">
        <v>0</v>
      </c>
      <c r="L3601" t="n">
        <v>0</v>
      </c>
      <c r="M3601" t="n">
        <v>0</v>
      </c>
      <c r="N3601" t="n">
        <v>0</v>
      </c>
      <c r="O3601" t="n">
        <v>0</v>
      </c>
      <c r="P3601" t="n">
        <v>0</v>
      </c>
      <c r="Q3601" t="n">
        <v>0</v>
      </c>
      <c r="R3601" s="2" t="inlineStr"/>
    </row>
    <row r="3602" ht="15" customHeight="1">
      <c r="A3602" t="inlineStr">
        <is>
          <t>A 61965-2019</t>
        </is>
      </c>
      <c r="B3602" s="1" t="n">
        <v>43787</v>
      </c>
      <c r="C3602" s="1" t="n">
        <v>45212</v>
      </c>
      <c r="D3602" t="inlineStr">
        <is>
          <t>VÄSTRA GÖTALANDS LÄN</t>
        </is>
      </c>
      <c r="E3602" t="inlineStr">
        <is>
          <t>GÖTENE</t>
        </is>
      </c>
      <c r="G3602" t="n">
        <v>19.7</v>
      </c>
      <c r="H3602" t="n">
        <v>0</v>
      </c>
      <c r="I3602" t="n">
        <v>0</v>
      </c>
      <c r="J3602" t="n">
        <v>0</v>
      </c>
      <c r="K3602" t="n">
        <v>0</v>
      </c>
      <c r="L3602" t="n">
        <v>0</v>
      </c>
      <c r="M3602" t="n">
        <v>0</v>
      </c>
      <c r="N3602" t="n">
        <v>0</v>
      </c>
      <c r="O3602" t="n">
        <v>0</v>
      </c>
      <c r="P3602" t="n">
        <v>0</v>
      </c>
      <c r="Q3602" t="n">
        <v>0</v>
      </c>
      <c r="R3602" s="2" t="inlineStr"/>
    </row>
    <row r="3603" ht="15" customHeight="1">
      <c r="A3603" t="inlineStr">
        <is>
          <t>A 61982-2019</t>
        </is>
      </c>
      <c r="B3603" s="1" t="n">
        <v>43787</v>
      </c>
      <c r="C3603" s="1" t="n">
        <v>45212</v>
      </c>
      <c r="D3603" t="inlineStr">
        <is>
          <t>VÄSTRA GÖTALANDS LÄN</t>
        </is>
      </c>
      <c r="E3603" t="inlineStr">
        <is>
          <t>VÄNERSBORG</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62018-2019</t>
        </is>
      </c>
      <c r="B3604" s="1" t="n">
        <v>43787</v>
      </c>
      <c r="C3604" s="1" t="n">
        <v>45212</v>
      </c>
      <c r="D3604" t="inlineStr">
        <is>
          <t>VÄSTRA GÖTALANDS LÄN</t>
        </is>
      </c>
      <c r="E3604" t="inlineStr">
        <is>
          <t>ULRICEHAMN</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62146-2019</t>
        </is>
      </c>
      <c r="B3605" s="1" t="n">
        <v>43787</v>
      </c>
      <c r="C3605" s="1" t="n">
        <v>45212</v>
      </c>
      <c r="D3605" t="inlineStr">
        <is>
          <t>VÄSTRA GÖTALANDS LÄN</t>
        </is>
      </c>
      <c r="E3605" t="inlineStr">
        <is>
          <t>DALS-ED</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61911-2019</t>
        </is>
      </c>
      <c r="B3606" s="1" t="n">
        <v>43787</v>
      </c>
      <c r="C3606" s="1" t="n">
        <v>45212</v>
      </c>
      <c r="D3606" t="inlineStr">
        <is>
          <t>VÄSTRA GÖTALANDS LÄN</t>
        </is>
      </c>
      <c r="E3606" t="inlineStr">
        <is>
          <t>VARA</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62024-2019</t>
        </is>
      </c>
      <c r="B3607" s="1" t="n">
        <v>43787</v>
      </c>
      <c r="C3607" s="1" t="n">
        <v>45212</v>
      </c>
      <c r="D3607" t="inlineStr">
        <is>
          <t>VÄSTRA GÖTALANDS LÄN</t>
        </is>
      </c>
      <c r="E3607" t="inlineStr">
        <is>
          <t>GÖTENE</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62047-2019</t>
        </is>
      </c>
      <c r="B3608" s="1" t="n">
        <v>43787</v>
      </c>
      <c r="C3608" s="1" t="n">
        <v>45212</v>
      </c>
      <c r="D3608" t="inlineStr">
        <is>
          <t>VÄSTRA GÖTALANDS LÄN</t>
        </is>
      </c>
      <c r="E3608" t="inlineStr">
        <is>
          <t>LIDKÖPING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62086-2019</t>
        </is>
      </c>
      <c r="B3609" s="1" t="n">
        <v>43787</v>
      </c>
      <c r="C3609" s="1" t="n">
        <v>45212</v>
      </c>
      <c r="D3609" t="inlineStr">
        <is>
          <t>VÄSTRA GÖTALANDS LÄN</t>
        </is>
      </c>
      <c r="E3609" t="inlineStr">
        <is>
          <t>ÅMÅL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62144-2019</t>
        </is>
      </c>
      <c r="B3610" s="1" t="n">
        <v>43787</v>
      </c>
      <c r="C3610" s="1" t="n">
        <v>45212</v>
      </c>
      <c r="D3610" t="inlineStr">
        <is>
          <t>VÄSTRA GÖTALANDS LÄN</t>
        </is>
      </c>
      <c r="E3610" t="inlineStr">
        <is>
          <t>BENGTSFORS</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62280-2019</t>
        </is>
      </c>
      <c r="B3611" s="1" t="n">
        <v>43788</v>
      </c>
      <c r="C3611" s="1" t="n">
        <v>45212</v>
      </c>
      <c r="D3611" t="inlineStr">
        <is>
          <t>VÄSTRA GÖTALANDS LÄN</t>
        </is>
      </c>
      <c r="E3611" t="inlineStr">
        <is>
          <t>SVENLJUNGA</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62287-2019</t>
        </is>
      </c>
      <c r="B3612" s="1" t="n">
        <v>43788</v>
      </c>
      <c r="C3612" s="1" t="n">
        <v>45212</v>
      </c>
      <c r="D3612" t="inlineStr">
        <is>
          <t>VÄSTRA GÖTALANDS LÄN</t>
        </is>
      </c>
      <c r="E3612" t="inlineStr">
        <is>
          <t>MARK</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62397-2019</t>
        </is>
      </c>
      <c r="B3613" s="1" t="n">
        <v>43788</v>
      </c>
      <c r="C3613" s="1" t="n">
        <v>45212</v>
      </c>
      <c r="D3613" t="inlineStr">
        <is>
          <t>VÄSTRA GÖTALANDS LÄN</t>
        </is>
      </c>
      <c r="E3613" t="inlineStr">
        <is>
          <t>MELLERUD</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62283-2019</t>
        </is>
      </c>
      <c r="B3614" s="1" t="n">
        <v>43788</v>
      </c>
      <c r="C3614" s="1" t="n">
        <v>45212</v>
      </c>
      <c r="D3614" t="inlineStr">
        <is>
          <t>VÄSTRA GÖTALANDS LÄN</t>
        </is>
      </c>
      <c r="E3614" t="inlineStr">
        <is>
          <t>SVENLJUNGA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62386-2019</t>
        </is>
      </c>
      <c r="B3615" s="1" t="n">
        <v>43788</v>
      </c>
      <c r="C3615" s="1" t="n">
        <v>45212</v>
      </c>
      <c r="D3615" t="inlineStr">
        <is>
          <t>VÄSTRA GÖTALANDS LÄN</t>
        </is>
      </c>
      <c r="E3615" t="inlineStr">
        <is>
          <t>ORUST</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63716-2019</t>
        </is>
      </c>
      <c r="B3616" s="1" t="n">
        <v>43788</v>
      </c>
      <c r="C3616" s="1" t="n">
        <v>45212</v>
      </c>
      <c r="D3616" t="inlineStr">
        <is>
          <t>VÄSTRA GÖTALANDS LÄN</t>
        </is>
      </c>
      <c r="E3616" t="inlineStr">
        <is>
          <t>TANUM</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62223-2019</t>
        </is>
      </c>
      <c r="B3617" s="1" t="n">
        <v>43788</v>
      </c>
      <c r="C3617" s="1" t="n">
        <v>45212</v>
      </c>
      <c r="D3617" t="inlineStr">
        <is>
          <t>VÄSTRA GÖTALANDS LÄN</t>
        </is>
      </c>
      <c r="E3617" t="inlineStr">
        <is>
          <t>ALINGSÅS</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62279-2019</t>
        </is>
      </c>
      <c r="B3618" s="1" t="n">
        <v>43788</v>
      </c>
      <c r="C3618" s="1" t="n">
        <v>45212</v>
      </c>
      <c r="D3618" t="inlineStr">
        <is>
          <t>VÄSTRA GÖTALANDS LÄN</t>
        </is>
      </c>
      <c r="E3618" t="inlineStr">
        <is>
          <t>SVENLJUNGA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62306-2019</t>
        </is>
      </c>
      <c r="B3619" s="1" t="n">
        <v>43788</v>
      </c>
      <c r="C3619" s="1" t="n">
        <v>45212</v>
      </c>
      <c r="D3619" t="inlineStr">
        <is>
          <t>VÄSTRA GÖTALANDS LÄN</t>
        </is>
      </c>
      <c r="E3619" t="inlineStr">
        <is>
          <t>FÄRGELANDA</t>
        </is>
      </c>
      <c r="G3619" t="n">
        <v>5.9</v>
      </c>
      <c r="H3619" t="n">
        <v>0</v>
      </c>
      <c r="I3619" t="n">
        <v>0</v>
      </c>
      <c r="J3619" t="n">
        <v>0</v>
      </c>
      <c r="K3619" t="n">
        <v>0</v>
      </c>
      <c r="L3619" t="n">
        <v>0</v>
      </c>
      <c r="M3619" t="n">
        <v>0</v>
      </c>
      <c r="N3619" t="n">
        <v>0</v>
      </c>
      <c r="O3619" t="n">
        <v>0</v>
      </c>
      <c r="P3619" t="n">
        <v>0</v>
      </c>
      <c r="Q3619" t="n">
        <v>0</v>
      </c>
      <c r="R3619" s="2" t="inlineStr"/>
    </row>
    <row r="3620" ht="15" customHeight="1">
      <c r="A3620" t="inlineStr">
        <is>
          <t>A 62389-2019</t>
        </is>
      </c>
      <c r="B3620" s="1" t="n">
        <v>43788</v>
      </c>
      <c r="C3620" s="1" t="n">
        <v>45212</v>
      </c>
      <c r="D3620" t="inlineStr">
        <is>
          <t>VÄSTRA GÖTALANDS LÄN</t>
        </is>
      </c>
      <c r="E3620" t="inlineStr">
        <is>
          <t>ORUST</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62396-2019</t>
        </is>
      </c>
      <c r="B3621" s="1" t="n">
        <v>43788</v>
      </c>
      <c r="C3621" s="1" t="n">
        <v>45212</v>
      </c>
      <c r="D3621" t="inlineStr">
        <is>
          <t>VÄSTRA GÖTALANDS LÄN</t>
        </is>
      </c>
      <c r="E3621" t="inlineStr">
        <is>
          <t>MELLERUD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62403-2019</t>
        </is>
      </c>
      <c r="B3622" s="1" t="n">
        <v>43788</v>
      </c>
      <c r="C3622" s="1" t="n">
        <v>45212</v>
      </c>
      <c r="D3622" t="inlineStr">
        <is>
          <t>VÄSTRA GÖTALANDS LÄN</t>
        </is>
      </c>
      <c r="E3622" t="inlineStr">
        <is>
          <t>MÖLNDAL</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62446-2019</t>
        </is>
      </c>
      <c r="B3623" s="1" t="n">
        <v>43788</v>
      </c>
      <c r="C3623" s="1" t="n">
        <v>45212</v>
      </c>
      <c r="D3623" t="inlineStr">
        <is>
          <t>VÄSTRA GÖTALANDS LÄN</t>
        </is>
      </c>
      <c r="E3623" t="inlineStr">
        <is>
          <t>FALKÖPING</t>
        </is>
      </c>
      <c r="G3623" t="n">
        <v>0.6</v>
      </c>
      <c r="H3623" t="n">
        <v>0</v>
      </c>
      <c r="I3623" t="n">
        <v>0</v>
      </c>
      <c r="J3623" t="n">
        <v>0</v>
      </c>
      <c r="K3623" t="n">
        <v>0</v>
      </c>
      <c r="L3623" t="n">
        <v>0</v>
      </c>
      <c r="M3623" t="n">
        <v>0</v>
      </c>
      <c r="N3623" t="n">
        <v>0</v>
      </c>
      <c r="O3623" t="n">
        <v>0</v>
      </c>
      <c r="P3623" t="n">
        <v>0</v>
      </c>
      <c r="Q3623" t="n">
        <v>0</v>
      </c>
      <c r="R3623" s="2" t="inlineStr"/>
    </row>
    <row r="3624" ht="15" customHeight="1">
      <c r="A3624" t="inlineStr">
        <is>
          <t>A 62261-2019</t>
        </is>
      </c>
      <c r="B3624" s="1" t="n">
        <v>43788</v>
      </c>
      <c r="C3624" s="1" t="n">
        <v>45212</v>
      </c>
      <c r="D3624" t="inlineStr">
        <is>
          <t>VÄSTRA GÖTALANDS LÄN</t>
        </is>
      </c>
      <c r="E3624" t="inlineStr">
        <is>
          <t>LERUM</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62285-2019</t>
        </is>
      </c>
      <c r="B3625" s="1" t="n">
        <v>43788</v>
      </c>
      <c r="C3625" s="1" t="n">
        <v>45212</v>
      </c>
      <c r="D3625" t="inlineStr">
        <is>
          <t>VÄSTRA GÖTALANDS LÄN</t>
        </is>
      </c>
      <c r="E3625" t="inlineStr">
        <is>
          <t>MARK</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62293-2019</t>
        </is>
      </c>
      <c r="B3626" s="1" t="n">
        <v>43788</v>
      </c>
      <c r="C3626" s="1" t="n">
        <v>45212</v>
      </c>
      <c r="D3626" t="inlineStr">
        <is>
          <t>VÄSTRA GÖTALANDS LÄN</t>
        </is>
      </c>
      <c r="E3626" t="inlineStr">
        <is>
          <t>MARK</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62350-2019</t>
        </is>
      </c>
      <c r="B3627" s="1" t="n">
        <v>43788</v>
      </c>
      <c r="C3627" s="1" t="n">
        <v>45212</v>
      </c>
      <c r="D3627" t="inlineStr">
        <is>
          <t>VÄSTRA GÖTALANDS LÄN</t>
        </is>
      </c>
      <c r="E3627" t="inlineStr">
        <is>
          <t>BORÅS</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62362-2019</t>
        </is>
      </c>
      <c r="B3628" s="1" t="n">
        <v>43788</v>
      </c>
      <c r="C3628" s="1" t="n">
        <v>45212</v>
      </c>
      <c r="D3628" t="inlineStr">
        <is>
          <t>VÄSTRA GÖTALANDS LÄN</t>
        </is>
      </c>
      <c r="E3628" t="inlineStr">
        <is>
          <t>BORÅS</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62685-2019</t>
        </is>
      </c>
      <c r="B3629" s="1" t="n">
        <v>43789</v>
      </c>
      <c r="C3629" s="1" t="n">
        <v>45212</v>
      </c>
      <c r="D3629" t="inlineStr">
        <is>
          <t>VÄSTRA GÖTALANDS LÄN</t>
        </is>
      </c>
      <c r="E3629" t="inlineStr">
        <is>
          <t>ULRICEHAMN</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63598-2019</t>
        </is>
      </c>
      <c r="B3630" s="1" t="n">
        <v>43789</v>
      </c>
      <c r="C3630" s="1" t="n">
        <v>45212</v>
      </c>
      <c r="D3630" t="inlineStr">
        <is>
          <t>VÄSTRA GÖTALANDS LÄN</t>
        </is>
      </c>
      <c r="E3630" t="inlineStr">
        <is>
          <t>MARIESTAD</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62543-2019</t>
        </is>
      </c>
      <c r="B3631" s="1" t="n">
        <v>43789</v>
      </c>
      <c r="C3631" s="1" t="n">
        <v>45212</v>
      </c>
      <c r="D3631" t="inlineStr">
        <is>
          <t>VÄSTRA GÖTALANDS LÄN</t>
        </is>
      </c>
      <c r="E3631" t="inlineStr">
        <is>
          <t>BORÅS</t>
        </is>
      </c>
      <c r="G3631" t="n">
        <v>0.7</v>
      </c>
      <c r="H3631" t="n">
        <v>0</v>
      </c>
      <c r="I3631" t="n">
        <v>0</v>
      </c>
      <c r="J3631" t="n">
        <v>0</v>
      </c>
      <c r="K3631" t="n">
        <v>0</v>
      </c>
      <c r="L3631" t="n">
        <v>0</v>
      </c>
      <c r="M3631" t="n">
        <v>0</v>
      </c>
      <c r="N3631" t="n">
        <v>0</v>
      </c>
      <c r="O3631" t="n">
        <v>0</v>
      </c>
      <c r="P3631" t="n">
        <v>0</v>
      </c>
      <c r="Q3631" t="n">
        <v>0</v>
      </c>
      <c r="R3631" s="2" t="inlineStr"/>
    </row>
    <row r="3632" ht="15" customHeight="1">
      <c r="A3632" t="inlineStr">
        <is>
          <t>A 62684-2019</t>
        </is>
      </c>
      <c r="B3632" s="1" t="n">
        <v>43789</v>
      </c>
      <c r="C3632" s="1" t="n">
        <v>45212</v>
      </c>
      <c r="D3632" t="inlineStr">
        <is>
          <t>VÄSTRA GÖTALANDS LÄN</t>
        </is>
      </c>
      <c r="E3632" t="inlineStr">
        <is>
          <t>TIBRO</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63694-2019</t>
        </is>
      </c>
      <c r="B3633" s="1" t="n">
        <v>43789</v>
      </c>
      <c r="C3633" s="1" t="n">
        <v>45212</v>
      </c>
      <c r="D3633" t="inlineStr">
        <is>
          <t>VÄSTRA GÖTALANDS LÄN</t>
        </is>
      </c>
      <c r="E3633" t="inlineStr">
        <is>
          <t>MARIESTAD</t>
        </is>
      </c>
      <c r="G3633" t="n">
        <v>4.9</v>
      </c>
      <c r="H3633" t="n">
        <v>0</v>
      </c>
      <c r="I3633" t="n">
        <v>0</v>
      </c>
      <c r="J3633" t="n">
        <v>0</v>
      </c>
      <c r="K3633" t="n">
        <v>0</v>
      </c>
      <c r="L3633" t="n">
        <v>0</v>
      </c>
      <c r="M3633" t="n">
        <v>0</v>
      </c>
      <c r="N3633" t="n">
        <v>0</v>
      </c>
      <c r="O3633" t="n">
        <v>0</v>
      </c>
      <c r="P3633" t="n">
        <v>0</v>
      </c>
      <c r="Q3633" t="n">
        <v>0</v>
      </c>
      <c r="R3633" s="2" t="inlineStr"/>
    </row>
    <row r="3634" ht="15" customHeight="1">
      <c r="A3634" t="inlineStr">
        <is>
          <t>A 62749-2019</t>
        </is>
      </c>
      <c r="B3634" s="1" t="n">
        <v>43790</v>
      </c>
      <c r="C3634" s="1" t="n">
        <v>45212</v>
      </c>
      <c r="D3634" t="inlineStr">
        <is>
          <t>VÄSTRA GÖTALANDS LÄN</t>
        </is>
      </c>
      <c r="E3634" t="inlineStr">
        <is>
          <t>TROLLHÄTTAN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62891-2019</t>
        </is>
      </c>
      <c r="B3635" s="1" t="n">
        <v>43790</v>
      </c>
      <c r="C3635" s="1" t="n">
        <v>45212</v>
      </c>
      <c r="D3635" t="inlineStr">
        <is>
          <t>VÄSTRA GÖTALANDS LÄN</t>
        </is>
      </c>
      <c r="E3635" t="inlineStr">
        <is>
          <t>SVENLJUNGA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62969-2019</t>
        </is>
      </c>
      <c r="B3636" s="1" t="n">
        <v>43790</v>
      </c>
      <c r="C3636" s="1" t="n">
        <v>45212</v>
      </c>
      <c r="D3636" t="inlineStr">
        <is>
          <t>VÄSTRA GÖTALANDS LÄN</t>
        </is>
      </c>
      <c r="E3636" t="inlineStr">
        <is>
          <t>LIDKÖPING</t>
        </is>
      </c>
      <c r="F3636" t="inlineStr">
        <is>
          <t>Kyrkan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62992-2019</t>
        </is>
      </c>
      <c r="B3637" s="1" t="n">
        <v>43790</v>
      </c>
      <c r="C3637" s="1" t="n">
        <v>45212</v>
      </c>
      <c r="D3637" t="inlineStr">
        <is>
          <t>VÄSTRA GÖTALANDS LÄN</t>
        </is>
      </c>
      <c r="E3637" t="inlineStr">
        <is>
          <t>FALKÖPING</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62949-2019</t>
        </is>
      </c>
      <c r="B3638" s="1" t="n">
        <v>43790</v>
      </c>
      <c r="C3638" s="1" t="n">
        <v>45212</v>
      </c>
      <c r="D3638" t="inlineStr">
        <is>
          <t>VÄSTRA GÖTALANDS LÄN</t>
        </is>
      </c>
      <c r="E3638" t="inlineStr">
        <is>
          <t>TROLLHÄTTAN</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62998-2019</t>
        </is>
      </c>
      <c r="B3639" s="1" t="n">
        <v>43790</v>
      </c>
      <c r="C3639" s="1" t="n">
        <v>45212</v>
      </c>
      <c r="D3639" t="inlineStr">
        <is>
          <t>VÄSTRA GÖTALANDS LÄN</t>
        </is>
      </c>
      <c r="E3639" t="inlineStr">
        <is>
          <t>ALINGSÅS</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62762-2019</t>
        </is>
      </c>
      <c r="B3640" s="1" t="n">
        <v>43790</v>
      </c>
      <c r="C3640" s="1" t="n">
        <v>45212</v>
      </c>
      <c r="D3640" t="inlineStr">
        <is>
          <t>VÄSTRA GÖTALANDS LÄN</t>
        </is>
      </c>
      <c r="E3640" t="inlineStr">
        <is>
          <t>FALKÖPING</t>
        </is>
      </c>
      <c r="G3640" t="n">
        <v>0.4</v>
      </c>
      <c r="H3640" t="n">
        <v>0</v>
      </c>
      <c r="I3640" t="n">
        <v>0</v>
      </c>
      <c r="J3640" t="n">
        <v>0</v>
      </c>
      <c r="K3640" t="n">
        <v>0</v>
      </c>
      <c r="L3640" t="n">
        <v>0</v>
      </c>
      <c r="M3640" t="n">
        <v>0</v>
      </c>
      <c r="N3640" t="n">
        <v>0</v>
      </c>
      <c r="O3640" t="n">
        <v>0</v>
      </c>
      <c r="P3640" t="n">
        <v>0</v>
      </c>
      <c r="Q3640" t="n">
        <v>0</v>
      </c>
      <c r="R3640" s="2" t="inlineStr"/>
    </row>
    <row r="3641" ht="15" customHeight="1">
      <c r="A3641" t="inlineStr">
        <is>
          <t>A 62881-2019</t>
        </is>
      </c>
      <c r="B3641" s="1" t="n">
        <v>43790</v>
      </c>
      <c r="C3641" s="1" t="n">
        <v>45212</v>
      </c>
      <c r="D3641" t="inlineStr">
        <is>
          <t>VÄSTRA GÖTALANDS LÄN</t>
        </is>
      </c>
      <c r="E3641" t="inlineStr">
        <is>
          <t>GÖTENE</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62907-2019</t>
        </is>
      </c>
      <c r="B3642" s="1" t="n">
        <v>43790</v>
      </c>
      <c r="C3642" s="1" t="n">
        <v>45212</v>
      </c>
      <c r="D3642" t="inlineStr">
        <is>
          <t>VÄSTRA GÖTALANDS LÄN</t>
        </is>
      </c>
      <c r="E3642" t="inlineStr">
        <is>
          <t>STRÖMSTAD</t>
        </is>
      </c>
      <c r="G3642" t="n">
        <v>3.3</v>
      </c>
      <c r="H3642" t="n">
        <v>0</v>
      </c>
      <c r="I3642" t="n">
        <v>0</v>
      </c>
      <c r="J3642" t="n">
        <v>0</v>
      </c>
      <c r="K3642" t="n">
        <v>0</v>
      </c>
      <c r="L3642" t="n">
        <v>0</v>
      </c>
      <c r="M3642" t="n">
        <v>0</v>
      </c>
      <c r="N3642" t="n">
        <v>0</v>
      </c>
      <c r="O3642" t="n">
        <v>0</v>
      </c>
      <c r="P3642" t="n">
        <v>0</v>
      </c>
      <c r="Q3642" t="n">
        <v>0</v>
      </c>
      <c r="R3642" s="2" t="inlineStr"/>
    </row>
    <row r="3643" ht="15" customHeight="1">
      <c r="A3643" t="inlineStr">
        <is>
          <t>A 62953-2019</t>
        </is>
      </c>
      <c r="B3643" s="1" t="n">
        <v>43790</v>
      </c>
      <c r="C3643" s="1" t="n">
        <v>45212</v>
      </c>
      <c r="D3643" t="inlineStr">
        <is>
          <t>VÄSTRA GÖTALANDS LÄN</t>
        </is>
      </c>
      <c r="E3643" t="inlineStr">
        <is>
          <t>UDDEVALLA</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62967-2019</t>
        </is>
      </c>
      <c r="B3644" s="1" t="n">
        <v>43790</v>
      </c>
      <c r="C3644" s="1" t="n">
        <v>45212</v>
      </c>
      <c r="D3644" t="inlineStr">
        <is>
          <t>VÄSTRA GÖTALANDS LÄN</t>
        </is>
      </c>
      <c r="E3644" t="inlineStr">
        <is>
          <t>SKARA</t>
        </is>
      </c>
      <c r="F3644" t="inlineStr">
        <is>
          <t>Kyrkan</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62944-2019</t>
        </is>
      </c>
      <c r="B3645" s="1" t="n">
        <v>43790</v>
      </c>
      <c r="C3645" s="1" t="n">
        <v>45212</v>
      </c>
      <c r="D3645" t="inlineStr">
        <is>
          <t>VÄSTRA GÖTALANDS LÄN</t>
        </is>
      </c>
      <c r="E3645" t="inlineStr">
        <is>
          <t>TIDAHOLM</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62996-2019</t>
        </is>
      </c>
      <c r="B3646" s="1" t="n">
        <v>43790</v>
      </c>
      <c r="C3646" s="1" t="n">
        <v>45212</v>
      </c>
      <c r="D3646" t="inlineStr">
        <is>
          <t>VÄSTRA GÖTALANDS LÄN</t>
        </is>
      </c>
      <c r="E3646" t="inlineStr">
        <is>
          <t>ALINGSÅS</t>
        </is>
      </c>
      <c r="G3646" t="n">
        <v>2.9</v>
      </c>
      <c r="H3646" t="n">
        <v>0</v>
      </c>
      <c r="I3646" t="n">
        <v>0</v>
      </c>
      <c r="J3646" t="n">
        <v>0</v>
      </c>
      <c r="K3646" t="n">
        <v>0</v>
      </c>
      <c r="L3646" t="n">
        <v>0</v>
      </c>
      <c r="M3646" t="n">
        <v>0</v>
      </c>
      <c r="N3646" t="n">
        <v>0</v>
      </c>
      <c r="O3646" t="n">
        <v>0</v>
      </c>
      <c r="P3646" t="n">
        <v>0</v>
      </c>
      <c r="Q3646" t="n">
        <v>0</v>
      </c>
      <c r="R3646" s="2" t="inlineStr"/>
    </row>
    <row r="3647" ht="15" customHeight="1">
      <c r="A3647" t="inlineStr">
        <is>
          <t>A 63030-2019</t>
        </is>
      </c>
      <c r="B3647" s="1" t="n">
        <v>43790</v>
      </c>
      <c r="C3647" s="1" t="n">
        <v>45212</v>
      </c>
      <c r="D3647" t="inlineStr">
        <is>
          <t>VÄSTRA GÖTALANDS LÄN</t>
        </is>
      </c>
      <c r="E3647" t="inlineStr">
        <is>
          <t>STRÖMSTAD</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63021-2019</t>
        </is>
      </c>
      <c r="B3648" s="1" t="n">
        <v>43791</v>
      </c>
      <c r="C3648" s="1" t="n">
        <v>45212</v>
      </c>
      <c r="D3648" t="inlineStr">
        <is>
          <t>VÄSTRA GÖTALANDS LÄN</t>
        </is>
      </c>
      <c r="E3648" t="inlineStr">
        <is>
          <t>FALKÖPING</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63088-2019</t>
        </is>
      </c>
      <c r="B3649" s="1" t="n">
        <v>43791</v>
      </c>
      <c r="C3649" s="1" t="n">
        <v>45212</v>
      </c>
      <c r="D3649" t="inlineStr">
        <is>
          <t>VÄSTRA GÖTALANDS LÄN</t>
        </is>
      </c>
      <c r="E3649" t="inlineStr">
        <is>
          <t>SVENLJUNGA</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63205-2019</t>
        </is>
      </c>
      <c r="B3650" s="1" t="n">
        <v>43791</v>
      </c>
      <c r="C3650" s="1" t="n">
        <v>45212</v>
      </c>
      <c r="D3650" t="inlineStr">
        <is>
          <t>VÄSTRA GÖTALANDS LÄN</t>
        </is>
      </c>
      <c r="E3650" t="inlineStr">
        <is>
          <t>TRANEMO</t>
        </is>
      </c>
      <c r="F3650" t="inlineStr">
        <is>
          <t>Kyrkan</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63062-2019</t>
        </is>
      </c>
      <c r="B3651" s="1" t="n">
        <v>43791</v>
      </c>
      <c r="C3651" s="1" t="n">
        <v>45212</v>
      </c>
      <c r="D3651" t="inlineStr">
        <is>
          <t>VÄSTRA GÖTALANDS LÄN</t>
        </is>
      </c>
      <c r="E3651" t="inlineStr">
        <is>
          <t>BORÅS</t>
        </is>
      </c>
      <c r="F3651" t="inlineStr">
        <is>
          <t>Kommuner</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63020-2019</t>
        </is>
      </c>
      <c r="B3652" s="1" t="n">
        <v>43791</v>
      </c>
      <c r="C3652" s="1" t="n">
        <v>45212</v>
      </c>
      <c r="D3652" t="inlineStr">
        <is>
          <t>VÄSTRA GÖTALANDS LÄN</t>
        </is>
      </c>
      <c r="E3652" t="inlineStr">
        <is>
          <t>SKÖVDE</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63173-2019</t>
        </is>
      </c>
      <c r="B3653" s="1" t="n">
        <v>43791</v>
      </c>
      <c r="C3653" s="1" t="n">
        <v>45212</v>
      </c>
      <c r="D3653" t="inlineStr">
        <is>
          <t>VÄSTRA GÖTALANDS LÄN</t>
        </is>
      </c>
      <c r="E3653" t="inlineStr">
        <is>
          <t>MUNKEDAL</t>
        </is>
      </c>
      <c r="G3653" t="n">
        <v>5.6</v>
      </c>
      <c r="H3653" t="n">
        <v>0</v>
      </c>
      <c r="I3653" t="n">
        <v>0</v>
      </c>
      <c r="J3653" t="n">
        <v>0</v>
      </c>
      <c r="K3653" t="n">
        <v>0</v>
      </c>
      <c r="L3653" t="n">
        <v>0</v>
      </c>
      <c r="M3653" t="n">
        <v>0</v>
      </c>
      <c r="N3653" t="n">
        <v>0</v>
      </c>
      <c r="O3653" t="n">
        <v>0</v>
      </c>
      <c r="P3653" t="n">
        <v>0</v>
      </c>
      <c r="Q3653" t="n">
        <v>0</v>
      </c>
      <c r="R3653" s="2" t="inlineStr"/>
    </row>
    <row r="3654" ht="15" customHeight="1">
      <c r="A3654" t="inlineStr">
        <is>
          <t>A 64507-2019</t>
        </is>
      </c>
      <c r="B3654" s="1" t="n">
        <v>43793</v>
      </c>
      <c r="C3654" s="1" t="n">
        <v>45212</v>
      </c>
      <c r="D3654" t="inlineStr">
        <is>
          <t>VÄSTRA GÖTALANDS LÄN</t>
        </is>
      </c>
      <c r="E3654" t="inlineStr">
        <is>
          <t>TANUM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64359-2019</t>
        </is>
      </c>
      <c r="B3655" s="1" t="n">
        <v>43793</v>
      </c>
      <c r="C3655" s="1" t="n">
        <v>45212</v>
      </c>
      <c r="D3655" t="inlineStr">
        <is>
          <t>VÄSTRA GÖTALANDS LÄN</t>
        </is>
      </c>
      <c r="E3655" t="inlineStr">
        <is>
          <t>STRÖMSTAD</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63248-2019</t>
        </is>
      </c>
      <c r="B3656" s="1" t="n">
        <v>43793</v>
      </c>
      <c r="C3656" s="1" t="n">
        <v>45212</v>
      </c>
      <c r="D3656" t="inlineStr">
        <is>
          <t>VÄSTRA GÖTALANDS LÄN</t>
        </is>
      </c>
      <c r="E3656" t="inlineStr">
        <is>
          <t>FÄRGELANDA</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63272-2019</t>
        </is>
      </c>
      <c r="B3657" s="1" t="n">
        <v>43794</v>
      </c>
      <c r="C3657" s="1" t="n">
        <v>45212</v>
      </c>
      <c r="D3657" t="inlineStr">
        <is>
          <t>VÄSTRA GÖTALANDS LÄN</t>
        </is>
      </c>
      <c r="E3657" t="inlineStr">
        <is>
          <t>SKÖVDE</t>
        </is>
      </c>
      <c r="G3657" t="n">
        <v>5.6</v>
      </c>
      <c r="H3657" t="n">
        <v>0</v>
      </c>
      <c r="I3657" t="n">
        <v>0</v>
      </c>
      <c r="J3657" t="n">
        <v>0</v>
      </c>
      <c r="K3657" t="n">
        <v>0</v>
      </c>
      <c r="L3657" t="n">
        <v>0</v>
      </c>
      <c r="M3657" t="n">
        <v>0</v>
      </c>
      <c r="N3657" t="n">
        <v>0</v>
      </c>
      <c r="O3657" t="n">
        <v>0</v>
      </c>
      <c r="P3657" t="n">
        <v>0</v>
      </c>
      <c r="Q3657" t="n">
        <v>0</v>
      </c>
      <c r="R3657" s="2" t="inlineStr"/>
    </row>
    <row r="3658" ht="15" customHeight="1">
      <c r="A3658" t="inlineStr">
        <is>
          <t>A 63363-2019</t>
        </is>
      </c>
      <c r="B3658" s="1" t="n">
        <v>43794</v>
      </c>
      <c r="C3658" s="1" t="n">
        <v>45212</v>
      </c>
      <c r="D3658" t="inlineStr">
        <is>
          <t>VÄSTRA GÖTALANDS LÄN</t>
        </is>
      </c>
      <c r="E3658" t="inlineStr">
        <is>
          <t>KARLSBORG</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63526-2019</t>
        </is>
      </c>
      <c r="B3659" s="1" t="n">
        <v>43794</v>
      </c>
      <c r="C3659" s="1" t="n">
        <v>45212</v>
      </c>
      <c r="D3659" t="inlineStr">
        <is>
          <t>VÄSTRA GÖTALANDS LÄN</t>
        </is>
      </c>
      <c r="E3659" t="inlineStr">
        <is>
          <t>STRÖMSTAD</t>
        </is>
      </c>
      <c r="G3659" t="n">
        <v>5.5</v>
      </c>
      <c r="H3659" t="n">
        <v>0</v>
      </c>
      <c r="I3659" t="n">
        <v>0</v>
      </c>
      <c r="J3659" t="n">
        <v>0</v>
      </c>
      <c r="K3659" t="n">
        <v>0</v>
      </c>
      <c r="L3659" t="n">
        <v>0</v>
      </c>
      <c r="M3659" t="n">
        <v>0</v>
      </c>
      <c r="N3659" t="n">
        <v>0</v>
      </c>
      <c r="O3659" t="n">
        <v>0</v>
      </c>
      <c r="P3659" t="n">
        <v>0</v>
      </c>
      <c r="Q3659" t="n">
        <v>0</v>
      </c>
      <c r="R3659" s="2" t="inlineStr"/>
    </row>
    <row r="3660" ht="15" customHeight="1">
      <c r="A3660" t="inlineStr">
        <is>
          <t>A 63542-2019</t>
        </is>
      </c>
      <c r="B3660" s="1" t="n">
        <v>43794</v>
      </c>
      <c r="C3660" s="1" t="n">
        <v>45212</v>
      </c>
      <c r="D3660" t="inlineStr">
        <is>
          <t>VÄSTRA GÖTALANDS LÄN</t>
        </is>
      </c>
      <c r="E3660" t="inlineStr">
        <is>
          <t>ALINGSÅS</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64602-2019</t>
        </is>
      </c>
      <c r="B3661" s="1" t="n">
        <v>43794</v>
      </c>
      <c r="C3661" s="1" t="n">
        <v>45212</v>
      </c>
      <c r="D3661" t="inlineStr">
        <is>
          <t>VÄSTRA GÖTALANDS LÄN</t>
        </is>
      </c>
      <c r="E3661" t="inlineStr">
        <is>
          <t>TANUM</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64333-2019</t>
        </is>
      </c>
      <c r="B3662" s="1" t="n">
        <v>43794</v>
      </c>
      <c r="C3662" s="1" t="n">
        <v>45212</v>
      </c>
      <c r="D3662" t="inlineStr">
        <is>
          <t>VÄSTRA GÖTALANDS LÄN</t>
        </is>
      </c>
      <c r="E3662" t="inlineStr">
        <is>
          <t>GÖTENE</t>
        </is>
      </c>
      <c r="G3662" t="n">
        <v>1.2</v>
      </c>
      <c r="H3662" t="n">
        <v>0</v>
      </c>
      <c r="I3662" t="n">
        <v>0</v>
      </c>
      <c r="J3662" t="n">
        <v>0</v>
      </c>
      <c r="K3662" t="n">
        <v>0</v>
      </c>
      <c r="L3662" t="n">
        <v>0</v>
      </c>
      <c r="M3662" t="n">
        <v>0</v>
      </c>
      <c r="N3662" t="n">
        <v>0</v>
      </c>
      <c r="O3662" t="n">
        <v>0</v>
      </c>
      <c r="P3662" t="n">
        <v>0</v>
      </c>
      <c r="Q3662" t="n">
        <v>0</v>
      </c>
      <c r="R3662" s="2" t="inlineStr"/>
    </row>
    <row r="3663" ht="15" customHeight="1">
      <c r="A3663" t="inlineStr">
        <is>
          <t>A 64599-2019</t>
        </is>
      </c>
      <c r="B3663" s="1" t="n">
        <v>43794</v>
      </c>
      <c r="C3663" s="1" t="n">
        <v>45212</v>
      </c>
      <c r="D3663" t="inlineStr">
        <is>
          <t>VÄSTRA GÖTALANDS LÄN</t>
        </is>
      </c>
      <c r="E3663" t="inlineStr">
        <is>
          <t>MUNKEDAL</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63365-2019</t>
        </is>
      </c>
      <c r="B3664" s="1" t="n">
        <v>43794</v>
      </c>
      <c r="C3664" s="1" t="n">
        <v>45212</v>
      </c>
      <c r="D3664" t="inlineStr">
        <is>
          <t>VÄSTRA GÖTALANDS LÄN</t>
        </is>
      </c>
      <c r="E3664" t="inlineStr">
        <is>
          <t>KARLSBORG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64665-2019</t>
        </is>
      </c>
      <c r="B3665" s="1" t="n">
        <v>43794</v>
      </c>
      <c r="C3665" s="1" t="n">
        <v>45212</v>
      </c>
      <c r="D3665" t="inlineStr">
        <is>
          <t>VÄSTRA GÖTALANDS LÄN</t>
        </is>
      </c>
      <c r="E3665" t="inlineStr">
        <is>
          <t>BENGTSFORS</t>
        </is>
      </c>
      <c r="F3665" t="inlineStr">
        <is>
          <t>Övriga Aktiebolag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63364-2019</t>
        </is>
      </c>
      <c r="B3666" s="1" t="n">
        <v>43794</v>
      </c>
      <c r="C3666" s="1" t="n">
        <v>45212</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63660-2019</t>
        </is>
      </c>
      <c r="B3667" s="1" t="n">
        <v>43795</v>
      </c>
      <c r="C3667" s="1" t="n">
        <v>45212</v>
      </c>
      <c r="D3667" t="inlineStr">
        <is>
          <t>VÄSTRA GÖTALANDS LÄN</t>
        </is>
      </c>
      <c r="E3667" t="inlineStr">
        <is>
          <t>SKÖVDE</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63791-2019</t>
        </is>
      </c>
      <c r="B3668" s="1" t="n">
        <v>43795</v>
      </c>
      <c r="C3668" s="1" t="n">
        <v>45212</v>
      </c>
      <c r="D3668" t="inlineStr">
        <is>
          <t>VÄSTRA GÖTALANDS LÄN</t>
        </is>
      </c>
      <c r="E3668" t="inlineStr">
        <is>
          <t>ULRICEHAMN</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64800-2019</t>
        </is>
      </c>
      <c r="B3669" s="1" t="n">
        <v>43795</v>
      </c>
      <c r="C3669" s="1" t="n">
        <v>45212</v>
      </c>
      <c r="D3669" t="inlineStr">
        <is>
          <t>VÄSTRA GÖTALANDS LÄN</t>
        </is>
      </c>
      <c r="E3669" t="inlineStr">
        <is>
          <t>LIDKÖPING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64824-2019</t>
        </is>
      </c>
      <c r="B3670" s="1" t="n">
        <v>43795</v>
      </c>
      <c r="C3670" s="1" t="n">
        <v>45212</v>
      </c>
      <c r="D3670" t="inlineStr">
        <is>
          <t>VÄSTRA GÖTALANDS LÄN</t>
        </is>
      </c>
      <c r="E3670" t="inlineStr">
        <is>
          <t>STRÖMSTAD</t>
        </is>
      </c>
      <c r="G3670" t="n">
        <v>5.3</v>
      </c>
      <c r="H3670" t="n">
        <v>0</v>
      </c>
      <c r="I3670" t="n">
        <v>0</v>
      </c>
      <c r="J3670" t="n">
        <v>0</v>
      </c>
      <c r="K3670" t="n">
        <v>0</v>
      </c>
      <c r="L3670" t="n">
        <v>0</v>
      </c>
      <c r="M3670" t="n">
        <v>0</v>
      </c>
      <c r="N3670" t="n">
        <v>0</v>
      </c>
      <c r="O3670" t="n">
        <v>0</v>
      </c>
      <c r="P3670" t="n">
        <v>0</v>
      </c>
      <c r="Q3670" t="n">
        <v>0</v>
      </c>
      <c r="R3670" s="2" t="inlineStr"/>
    </row>
    <row r="3671" ht="15" customHeight="1">
      <c r="A3671" t="inlineStr">
        <is>
          <t>A 64878-2019</t>
        </is>
      </c>
      <c r="B3671" s="1" t="n">
        <v>43795</v>
      </c>
      <c r="C3671" s="1" t="n">
        <v>45212</v>
      </c>
      <c r="D3671" t="inlineStr">
        <is>
          <t>VÄSTRA GÖTALANDS LÄN</t>
        </is>
      </c>
      <c r="E3671" t="inlineStr">
        <is>
          <t>VARA</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64921-2019</t>
        </is>
      </c>
      <c r="B3672" s="1" t="n">
        <v>43795</v>
      </c>
      <c r="C3672" s="1" t="n">
        <v>45212</v>
      </c>
      <c r="D3672" t="inlineStr">
        <is>
          <t>VÄSTRA GÖTALANDS LÄN</t>
        </is>
      </c>
      <c r="E3672" t="inlineStr">
        <is>
          <t>TANUM</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63590-2019</t>
        </is>
      </c>
      <c r="B3673" s="1" t="n">
        <v>43795</v>
      </c>
      <c r="C3673" s="1" t="n">
        <v>45212</v>
      </c>
      <c r="D3673" t="inlineStr">
        <is>
          <t>VÄSTRA GÖTALANDS LÄN</t>
        </is>
      </c>
      <c r="E3673" t="inlineStr">
        <is>
          <t>UDDEVALLA</t>
        </is>
      </c>
      <c r="G3673" t="n">
        <v>4.9</v>
      </c>
      <c r="H3673" t="n">
        <v>0</v>
      </c>
      <c r="I3673" t="n">
        <v>0</v>
      </c>
      <c r="J3673" t="n">
        <v>0</v>
      </c>
      <c r="K3673" t="n">
        <v>0</v>
      </c>
      <c r="L3673" t="n">
        <v>0</v>
      </c>
      <c r="M3673" t="n">
        <v>0</v>
      </c>
      <c r="N3673" t="n">
        <v>0</v>
      </c>
      <c r="O3673" t="n">
        <v>0</v>
      </c>
      <c r="P3673" t="n">
        <v>0</v>
      </c>
      <c r="Q3673" t="n">
        <v>0</v>
      </c>
      <c r="R3673" s="2" t="inlineStr"/>
    </row>
    <row r="3674" ht="15" customHeight="1">
      <c r="A3674" t="inlineStr">
        <is>
          <t>A 63687-2019</t>
        </is>
      </c>
      <c r="B3674" s="1" t="n">
        <v>43795</v>
      </c>
      <c r="C3674" s="1" t="n">
        <v>45212</v>
      </c>
      <c r="D3674" t="inlineStr">
        <is>
          <t>VÄSTRA GÖTALANDS LÄN</t>
        </is>
      </c>
      <c r="E3674" t="inlineStr">
        <is>
          <t>VÅRGÅRDA</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63705-2019</t>
        </is>
      </c>
      <c r="B3675" s="1" t="n">
        <v>43795</v>
      </c>
      <c r="C3675" s="1" t="n">
        <v>45212</v>
      </c>
      <c r="D3675" t="inlineStr">
        <is>
          <t>VÄSTRA GÖTALANDS LÄN</t>
        </is>
      </c>
      <c r="E3675" t="inlineStr">
        <is>
          <t>ALINGSÅS</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63723-2019</t>
        </is>
      </c>
      <c r="B3676" s="1" t="n">
        <v>43795</v>
      </c>
      <c r="C3676" s="1" t="n">
        <v>45212</v>
      </c>
      <c r="D3676" t="inlineStr">
        <is>
          <t>VÄSTRA GÖTALANDS LÄN</t>
        </is>
      </c>
      <c r="E3676" t="inlineStr">
        <is>
          <t>BORÅS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64807-2019</t>
        </is>
      </c>
      <c r="B3677" s="1" t="n">
        <v>43795</v>
      </c>
      <c r="C3677" s="1" t="n">
        <v>45212</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63621-2019</t>
        </is>
      </c>
      <c r="B3678" s="1" t="n">
        <v>43795</v>
      </c>
      <c r="C3678" s="1" t="n">
        <v>45212</v>
      </c>
      <c r="D3678" t="inlineStr">
        <is>
          <t>VÄSTRA GÖTALANDS LÄN</t>
        </is>
      </c>
      <c r="E3678" t="inlineStr">
        <is>
          <t>LIDKÖPING</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63700-2019</t>
        </is>
      </c>
      <c r="B3679" s="1" t="n">
        <v>43795</v>
      </c>
      <c r="C3679" s="1" t="n">
        <v>45212</v>
      </c>
      <c r="D3679" t="inlineStr">
        <is>
          <t>VÄSTRA GÖTALANDS LÄN</t>
        </is>
      </c>
      <c r="E3679" t="inlineStr">
        <is>
          <t>TRANEMO</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63792-2019</t>
        </is>
      </c>
      <c r="B3680" s="1" t="n">
        <v>43795</v>
      </c>
      <c r="C3680" s="1" t="n">
        <v>45212</v>
      </c>
      <c r="D3680" t="inlineStr">
        <is>
          <t>VÄSTRA GÖTALANDS LÄN</t>
        </is>
      </c>
      <c r="E3680" t="inlineStr">
        <is>
          <t>TIDAHOLM</t>
        </is>
      </c>
      <c r="G3680" t="n">
        <v>4.2</v>
      </c>
      <c r="H3680" t="n">
        <v>0</v>
      </c>
      <c r="I3680" t="n">
        <v>0</v>
      </c>
      <c r="J3680" t="n">
        <v>0</v>
      </c>
      <c r="K3680" t="n">
        <v>0</v>
      </c>
      <c r="L3680" t="n">
        <v>0</v>
      </c>
      <c r="M3680" t="n">
        <v>0</v>
      </c>
      <c r="N3680" t="n">
        <v>0</v>
      </c>
      <c r="O3680" t="n">
        <v>0</v>
      </c>
      <c r="P3680" t="n">
        <v>0</v>
      </c>
      <c r="Q3680" t="n">
        <v>0</v>
      </c>
      <c r="R3680" s="2" t="inlineStr"/>
    </row>
    <row r="3681" ht="15" customHeight="1">
      <c r="A3681" t="inlineStr">
        <is>
          <t>A 63828-2019</t>
        </is>
      </c>
      <c r="B3681" s="1" t="n">
        <v>43795</v>
      </c>
      <c r="C3681" s="1" t="n">
        <v>45212</v>
      </c>
      <c r="D3681" t="inlineStr">
        <is>
          <t>VÄSTRA GÖTALANDS LÄN</t>
        </is>
      </c>
      <c r="E3681" t="inlineStr">
        <is>
          <t>SVENLJUNGA</t>
        </is>
      </c>
      <c r="F3681" t="inlineStr">
        <is>
          <t>Sveaskog</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64802-2019</t>
        </is>
      </c>
      <c r="B3682" s="1" t="n">
        <v>43795</v>
      </c>
      <c r="C3682" s="1" t="n">
        <v>45212</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64924-2019</t>
        </is>
      </c>
      <c r="B3683" s="1" t="n">
        <v>43795</v>
      </c>
      <c r="C3683" s="1" t="n">
        <v>45212</v>
      </c>
      <c r="D3683" t="inlineStr">
        <is>
          <t>VÄSTRA GÖTALANDS LÄN</t>
        </is>
      </c>
      <c r="E3683" t="inlineStr">
        <is>
          <t>TANUM</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63599-2019</t>
        </is>
      </c>
      <c r="B3684" s="1" t="n">
        <v>43795</v>
      </c>
      <c r="C3684" s="1" t="n">
        <v>45212</v>
      </c>
      <c r="D3684" t="inlineStr">
        <is>
          <t>VÄSTRA GÖTALANDS LÄN</t>
        </is>
      </c>
      <c r="E3684" t="inlineStr">
        <is>
          <t>TANUM</t>
        </is>
      </c>
      <c r="G3684" t="n">
        <v>15.9</v>
      </c>
      <c r="H3684" t="n">
        <v>0</v>
      </c>
      <c r="I3684" t="n">
        <v>0</v>
      </c>
      <c r="J3684" t="n">
        <v>0</v>
      </c>
      <c r="K3684" t="n">
        <v>0</v>
      </c>
      <c r="L3684" t="n">
        <v>0</v>
      </c>
      <c r="M3684" t="n">
        <v>0</v>
      </c>
      <c r="N3684" t="n">
        <v>0</v>
      </c>
      <c r="O3684" t="n">
        <v>0</v>
      </c>
      <c r="P3684" t="n">
        <v>0</v>
      </c>
      <c r="Q3684" t="n">
        <v>0</v>
      </c>
      <c r="R3684" s="2" t="inlineStr"/>
    </row>
    <row r="3685" ht="15" customHeight="1">
      <c r="A3685" t="inlineStr">
        <is>
          <t>A 63645-2019</t>
        </is>
      </c>
      <c r="B3685" s="1" t="n">
        <v>43795</v>
      </c>
      <c r="C3685" s="1" t="n">
        <v>45212</v>
      </c>
      <c r="D3685" t="inlineStr">
        <is>
          <t>VÄSTRA GÖTALANDS LÄN</t>
        </is>
      </c>
      <c r="E3685" t="inlineStr">
        <is>
          <t>ESSUNGA</t>
        </is>
      </c>
      <c r="G3685" t="n">
        <v>2.7</v>
      </c>
      <c r="H3685" t="n">
        <v>0</v>
      </c>
      <c r="I3685" t="n">
        <v>0</v>
      </c>
      <c r="J3685" t="n">
        <v>0</v>
      </c>
      <c r="K3685" t="n">
        <v>0</v>
      </c>
      <c r="L3685" t="n">
        <v>0</v>
      </c>
      <c r="M3685" t="n">
        <v>0</v>
      </c>
      <c r="N3685" t="n">
        <v>0</v>
      </c>
      <c r="O3685" t="n">
        <v>0</v>
      </c>
      <c r="P3685" t="n">
        <v>0</v>
      </c>
      <c r="Q3685" t="n">
        <v>0</v>
      </c>
      <c r="R3685" s="2" t="inlineStr"/>
    </row>
    <row r="3686" ht="15" customHeight="1">
      <c r="A3686" t="inlineStr">
        <is>
          <t>A 63790-2019</t>
        </is>
      </c>
      <c r="B3686" s="1" t="n">
        <v>43795</v>
      </c>
      <c r="C3686" s="1" t="n">
        <v>45212</v>
      </c>
      <c r="D3686" t="inlineStr">
        <is>
          <t>VÄSTRA GÖTALANDS LÄN</t>
        </is>
      </c>
      <c r="E3686" t="inlineStr">
        <is>
          <t>TIDAHOLM</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63818-2019</t>
        </is>
      </c>
      <c r="B3687" s="1" t="n">
        <v>43795</v>
      </c>
      <c r="C3687" s="1" t="n">
        <v>45212</v>
      </c>
      <c r="D3687" t="inlineStr">
        <is>
          <t>VÄSTRA GÖTALANDS LÄN</t>
        </is>
      </c>
      <c r="E3687" t="inlineStr">
        <is>
          <t>MARIESTAD</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64810-2019</t>
        </is>
      </c>
      <c r="B3688" s="1" t="n">
        <v>43795</v>
      </c>
      <c r="C3688" s="1" t="n">
        <v>45212</v>
      </c>
      <c r="D3688" t="inlineStr">
        <is>
          <t>VÄSTRA GÖTALANDS LÄN</t>
        </is>
      </c>
      <c r="E3688" t="inlineStr">
        <is>
          <t>LIDKÖPING</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63884-2019</t>
        </is>
      </c>
      <c r="B3689" s="1" t="n">
        <v>43796</v>
      </c>
      <c r="C3689" s="1" t="n">
        <v>45212</v>
      </c>
      <c r="D3689" t="inlineStr">
        <is>
          <t>VÄSTRA GÖTALANDS LÄN</t>
        </is>
      </c>
      <c r="E3689" t="inlineStr">
        <is>
          <t>FÄRGELANDA</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63903-2019</t>
        </is>
      </c>
      <c r="B3690" s="1" t="n">
        <v>43796</v>
      </c>
      <c r="C3690" s="1" t="n">
        <v>45212</v>
      </c>
      <c r="D3690" t="inlineStr">
        <is>
          <t>VÄSTRA GÖTALANDS LÄN</t>
        </is>
      </c>
      <c r="E3690" t="inlineStr">
        <is>
          <t>VARA</t>
        </is>
      </c>
      <c r="G3690" t="n">
        <v>2.5</v>
      </c>
      <c r="H3690" t="n">
        <v>0</v>
      </c>
      <c r="I3690" t="n">
        <v>0</v>
      </c>
      <c r="J3690" t="n">
        <v>0</v>
      </c>
      <c r="K3690" t="n">
        <v>0</v>
      </c>
      <c r="L3690" t="n">
        <v>0</v>
      </c>
      <c r="M3690" t="n">
        <v>0</v>
      </c>
      <c r="N3690" t="n">
        <v>0</v>
      </c>
      <c r="O3690" t="n">
        <v>0</v>
      </c>
      <c r="P3690" t="n">
        <v>0</v>
      </c>
      <c r="Q3690" t="n">
        <v>0</v>
      </c>
      <c r="R3690" s="2" t="inlineStr"/>
    </row>
    <row r="3691" ht="15" customHeight="1">
      <c r="A3691" t="inlineStr">
        <is>
          <t>A 63962-2019</t>
        </is>
      </c>
      <c r="B3691" s="1" t="n">
        <v>43796</v>
      </c>
      <c r="C3691" s="1" t="n">
        <v>45212</v>
      </c>
      <c r="D3691" t="inlineStr">
        <is>
          <t>VÄSTRA GÖTALANDS LÄN</t>
        </is>
      </c>
      <c r="E3691" t="inlineStr">
        <is>
          <t>TROLLHÄTTAN</t>
        </is>
      </c>
      <c r="F3691" t="inlineStr">
        <is>
          <t>Kommuner</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64009-2019</t>
        </is>
      </c>
      <c r="B3692" s="1" t="n">
        <v>43796</v>
      </c>
      <c r="C3692" s="1" t="n">
        <v>45212</v>
      </c>
      <c r="D3692" t="inlineStr">
        <is>
          <t>VÄSTRA GÖTALANDS LÄN</t>
        </is>
      </c>
      <c r="E3692" t="inlineStr">
        <is>
          <t>ESSUNGA</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64108-2019</t>
        </is>
      </c>
      <c r="B3693" s="1" t="n">
        <v>43796</v>
      </c>
      <c r="C3693" s="1" t="n">
        <v>45212</v>
      </c>
      <c r="D3693" t="inlineStr">
        <is>
          <t>VÄSTRA GÖTALANDS LÄN</t>
        </is>
      </c>
      <c r="E3693" t="inlineStr">
        <is>
          <t>KARLSBORG</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63960-2019</t>
        </is>
      </c>
      <c r="B3694" s="1" t="n">
        <v>43796</v>
      </c>
      <c r="C3694" s="1" t="n">
        <v>45212</v>
      </c>
      <c r="D3694" t="inlineStr">
        <is>
          <t>VÄSTRA GÖTALANDS LÄN</t>
        </is>
      </c>
      <c r="E3694" t="inlineStr">
        <is>
          <t>BENGTSFORS</t>
        </is>
      </c>
      <c r="G3694" t="n">
        <v>3.5</v>
      </c>
      <c r="H3694" t="n">
        <v>0</v>
      </c>
      <c r="I3694" t="n">
        <v>0</v>
      </c>
      <c r="J3694" t="n">
        <v>0</v>
      </c>
      <c r="K3694" t="n">
        <v>0</v>
      </c>
      <c r="L3694" t="n">
        <v>0</v>
      </c>
      <c r="M3694" t="n">
        <v>0</v>
      </c>
      <c r="N3694" t="n">
        <v>0</v>
      </c>
      <c r="O3694" t="n">
        <v>0</v>
      </c>
      <c r="P3694" t="n">
        <v>0</v>
      </c>
      <c r="Q3694" t="n">
        <v>0</v>
      </c>
      <c r="R3694" s="2" t="inlineStr"/>
    </row>
    <row r="3695" ht="15" customHeight="1">
      <c r="A3695" t="inlineStr">
        <is>
          <t>A 64017-2019</t>
        </is>
      </c>
      <c r="B3695" s="1" t="n">
        <v>43796</v>
      </c>
      <c r="C3695" s="1" t="n">
        <v>45212</v>
      </c>
      <c r="D3695" t="inlineStr">
        <is>
          <t>VÄSTRA GÖTALANDS LÄN</t>
        </is>
      </c>
      <c r="E3695" t="inlineStr">
        <is>
          <t>ULRICEHAMN</t>
        </is>
      </c>
      <c r="G3695" t="n">
        <v>0.5</v>
      </c>
      <c r="H3695" t="n">
        <v>0</v>
      </c>
      <c r="I3695" t="n">
        <v>0</v>
      </c>
      <c r="J3695" t="n">
        <v>0</v>
      </c>
      <c r="K3695" t="n">
        <v>0</v>
      </c>
      <c r="L3695" t="n">
        <v>0</v>
      </c>
      <c r="M3695" t="n">
        <v>0</v>
      </c>
      <c r="N3695" t="n">
        <v>0</v>
      </c>
      <c r="O3695" t="n">
        <v>0</v>
      </c>
      <c r="P3695" t="n">
        <v>0</v>
      </c>
      <c r="Q3695" t="n">
        <v>0</v>
      </c>
      <c r="R3695" s="2" t="inlineStr"/>
    </row>
    <row r="3696" ht="15" customHeight="1">
      <c r="A3696" t="inlineStr">
        <is>
          <t>A 63898-2019</t>
        </is>
      </c>
      <c r="B3696" s="1" t="n">
        <v>43796</v>
      </c>
      <c r="C3696" s="1" t="n">
        <v>45212</v>
      </c>
      <c r="D3696" t="inlineStr">
        <is>
          <t>VÄSTRA GÖTALANDS LÄN</t>
        </is>
      </c>
      <c r="E3696" t="inlineStr">
        <is>
          <t>VARA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63868-2019</t>
        </is>
      </c>
      <c r="B3697" s="1" t="n">
        <v>43796</v>
      </c>
      <c r="C3697" s="1" t="n">
        <v>45212</v>
      </c>
      <c r="D3697" t="inlineStr">
        <is>
          <t>VÄSTRA GÖTALANDS LÄN</t>
        </is>
      </c>
      <c r="E3697" t="inlineStr">
        <is>
          <t>LIDKÖPING</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63889-2019</t>
        </is>
      </c>
      <c r="B3698" s="1" t="n">
        <v>43796</v>
      </c>
      <c r="C3698" s="1" t="n">
        <v>45212</v>
      </c>
      <c r="D3698" t="inlineStr">
        <is>
          <t>VÄSTRA GÖTALANDS LÄN</t>
        </is>
      </c>
      <c r="E3698" t="inlineStr">
        <is>
          <t>VARA</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63964-2019</t>
        </is>
      </c>
      <c r="B3699" s="1" t="n">
        <v>43796</v>
      </c>
      <c r="C3699" s="1" t="n">
        <v>45212</v>
      </c>
      <c r="D3699" t="inlineStr">
        <is>
          <t>VÄSTRA GÖTALANDS LÄN</t>
        </is>
      </c>
      <c r="E3699" t="inlineStr">
        <is>
          <t>FÄRGELANDA</t>
        </is>
      </c>
      <c r="G3699" t="n">
        <v>3.8</v>
      </c>
      <c r="H3699" t="n">
        <v>0</v>
      </c>
      <c r="I3699" t="n">
        <v>0</v>
      </c>
      <c r="J3699" t="n">
        <v>0</v>
      </c>
      <c r="K3699" t="n">
        <v>0</v>
      </c>
      <c r="L3699" t="n">
        <v>0</v>
      </c>
      <c r="M3699" t="n">
        <v>0</v>
      </c>
      <c r="N3699" t="n">
        <v>0</v>
      </c>
      <c r="O3699" t="n">
        <v>0</v>
      </c>
      <c r="P3699" t="n">
        <v>0</v>
      </c>
      <c r="Q3699" t="n">
        <v>0</v>
      </c>
      <c r="R3699" s="2" t="inlineStr"/>
    </row>
    <row r="3700" ht="15" customHeight="1">
      <c r="A3700" t="inlineStr">
        <is>
          <t>A 64012-2019</t>
        </is>
      </c>
      <c r="B3700" s="1" t="n">
        <v>43796</v>
      </c>
      <c r="C3700" s="1" t="n">
        <v>45212</v>
      </c>
      <c r="D3700" t="inlineStr">
        <is>
          <t>VÄSTRA GÖTALANDS LÄN</t>
        </is>
      </c>
      <c r="E3700" t="inlineStr">
        <is>
          <t>ULRICEHAMN</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64087-2019</t>
        </is>
      </c>
      <c r="B3701" s="1" t="n">
        <v>43796</v>
      </c>
      <c r="C3701" s="1" t="n">
        <v>45212</v>
      </c>
      <c r="D3701" t="inlineStr">
        <is>
          <t>VÄSTRA GÖTALANDS LÄN</t>
        </is>
      </c>
      <c r="E3701" t="inlineStr">
        <is>
          <t>GÖTENE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64196-2019</t>
        </is>
      </c>
      <c r="B3702" s="1" t="n">
        <v>43797</v>
      </c>
      <c r="C3702" s="1" t="n">
        <v>45212</v>
      </c>
      <c r="D3702" t="inlineStr">
        <is>
          <t>VÄSTRA GÖTALANDS LÄN</t>
        </is>
      </c>
      <c r="E3702" t="inlineStr">
        <is>
          <t>MARK</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64228-2019</t>
        </is>
      </c>
      <c r="B3703" s="1" t="n">
        <v>43797</v>
      </c>
      <c r="C3703" s="1" t="n">
        <v>45212</v>
      </c>
      <c r="D3703" t="inlineStr">
        <is>
          <t>VÄSTRA GÖTALANDS LÄN</t>
        </is>
      </c>
      <c r="E3703" t="inlineStr">
        <is>
          <t>BENGTSFORS</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64279-2019</t>
        </is>
      </c>
      <c r="B3704" s="1" t="n">
        <v>43797</v>
      </c>
      <c r="C3704" s="1" t="n">
        <v>45212</v>
      </c>
      <c r="D3704" t="inlineStr">
        <is>
          <t>VÄSTRA GÖTALANDS LÄN</t>
        </is>
      </c>
      <c r="E3704" t="inlineStr">
        <is>
          <t>BENGTSFORS</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64274-2019</t>
        </is>
      </c>
      <c r="B3705" s="1" t="n">
        <v>43797</v>
      </c>
      <c r="C3705" s="1" t="n">
        <v>45212</v>
      </c>
      <c r="D3705" t="inlineStr">
        <is>
          <t>VÄSTRA GÖTALANDS LÄN</t>
        </is>
      </c>
      <c r="E3705" t="inlineStr">
        <is>
          <t>BENGTSFORS</t>
        </is>
      </c>
      <c r="G3705" t="n">
        <v>30.5</v>
      </c>
      <c r="H3705" t="n">
        <v>0</v>
      </c>
      <c r="I3705" t="n">
        <v>0</v>
      </c>
      <c r="J3705" t="n">
        <v>0</v>
      </c>
      <c r="K3705" t="n">
        <v>0</v>
      </c>
      <c r="L3705" t="n">
        <v>0</v>
      </c>
      <c r="M3705" t="n">
        <v>0</v>
      </c>
      <c r="N3705" t="n">
        <v>0</v>
      </c>
      <c r="O3705" t="n">
        <v>0</v>
      </c>
      <c r="P3705" t="n">
        <v>0</v>
      </c>
      <c r="Q3705" t="n">
        <v>0</v>
      </c>
      <c r="R3705" s="2" t="inlineStr"/>
    </row>
    <row r="3706" ht="15" customHeight="1">
      <c r="A3706" t="inlineStr">
        <is>
          <t>A 64338-2019</t>
        </is>
      </c>
      <c r="B3706" s="1" t="n">
        <v>43797</v>
      </c>
      <c r="C3706" s="1" t="n">
        <v>45212</v>
      </c>
      <c r="D3706" t="inlineStr">
        <is>
          <t>VÄSTRA GÖTALANDS LÄN</t>
        </is>
      </c>
      <c r="E3706" t="inlineStr">
        <is>
          <t>STRÖMSTAD</t>
        </is>
      </c>
      <c r="F3706" t="inlineStr">
        <is>
          <t>Kommuner</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64369-2019</t>
        </is>
      </c>
      <c r="B3707" s="1" t="n">
        <v>43797</v>
      </c>
      <c r="C3707" s="1" t="n">
        <v>45212</v>
      </c>
      <c r="D3707" t="inlineStr">
        <is>
          <t>VÄSTRA GÖTALANDS LÄN</t>
        </is>
      </c>
      <c r="E3707" t="inlineStr">
        <is>
          <t>BORÅS</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64383-2019</t>
        </is>
      </c>
      <c r="B3708" s="1" t="n">
        <v>43797</v>
      </c>
      <c r="C3708" s="1" t="n">
        <v>45212</v>
      </c>
      <c r="D3708" t="inlineStr">
        <is>
          <t>VÄSTRA GÖTALANDS LÄN</t>
        </is>
      </c>
      <c r="E3708" t="inlineStr">
        <is>
          <t>STENUNGSUND</t>
        </is>
      </c>
      <c r="G3708" t="n">
        <v>4.1</v>
      </c>
      <c r="H3708" t="n">
        <v>0</v>
      </c>
      <c r="I3708" t="n">
        <v>0</v>
      </c>
      <c r="J3708" t="n">
        <v>0</v>
      </c>
      <c r="K3708" t="n">
        <v>0</v>
      </c>
      <c r="L3708" t="n">
        <v>0</v>
      </c>
      <c r="M3708" t="n">
        <v>0</v>
      </c>
      <c r="N3708" t="n">
        <v>0</v>
      </c>
      <c r="O3708" t="n">
        <v>0</v>
      </c>
      <c r="P3708" t="n">
        <v>0</v>
      </c>
      <c r="Q3708" t="n">
        <v>0</v>
      </c>
      <c r="R3708" s="2" t="inlineStr"/>
    </row>
    <row r="3709" ht="15" customHeight="1">
      <c r="A3709" t="inlineStr">
        <is>
          <t>A 64198-2019</t>
        </is>
      </c>
      <c r="B3709" s="1" t="n">
        <v>43797</v>
      </c>
      <c r="C3709" s="1" t="n">
        <v>45212</v>
      </c>
      <c r="D3709" t="inlineStr">
        <is>
          <t>VÄSTRA GÖTALANDS LÄN</t>
        </is>
      </c>
      <c r="E3709" t="inlineStr">
        <is>
          <t>MARK</t>
        </is>
      </c>
      <c r="G3709" t="n">
        <v>4.6</v>
      </c>
      <c r="H3709" t="n">
        <v>0</v>
      </c>
      <c r="I3709" t="n">
        <v>0</v>
      </c>
      <c r="J3709" t="n">
        <v>0</v>
      </c>
      <c r="K3709" t="n">
        <v>0</v>
      </c>
      <c r="L3709" t="n">
        <v>0</v>
      </c>
      <c r="M3709" t="n">
        <v>0</v>
      </c>
      <c r="N3709" t="n">
        <v>0</v>
      </c>
      <c r="O3709" t="n">
        <v>0</v>
      </c>
      <c r="P3709" t="n">
        <v>0</v>
      </c>
      <c r="Q3709" t="n">
        <v>0</v>
      </c>
      <c r="R3709" s="2" t="inlineStr"/>
    </row>
    <row r="3710" ht="15" customHeight="1">
      <c r="A3710" t="inlineStr">
        <is>
          <t>A 64220-2019</t>
        </is>
      </c>
      <c r="B3710" s="1" t="n">
        <v>43797</v>
      </c>
      <c r="C3710" s="1" t="n">
        <v>45212</v>
      </c>
      <c r="D3710" t="inlineStr">
        <is>
          <t>VÄSTRA GÖTALANDS LÄN</t>
        </is>
      </c>
      <c r="E3710" t="inlineStr">
        <is>
          <t>BENGTSFORS</t>
        </is>
      </c>
      <c r="G3710" t="n">
        <v>8.6</v>
      </c>
      <c r="H3710" t="n">
        <v>0</v>
      </c>
      <c r="I3710" t="n">
        <v>0</v>
      </c>
      <c r="J3710" t="n">
        <v>0</v>
      </c>
      <c r="K3710" t="n">
        <v>0</v>
      </c>
      <c r="L3710" t="n">
        <v>0</v>
      </c>
      <c r="M3710" t="n">
        <v>0</v>
      </c>
      <c r="N3710" t="n">
        <v>0</v>
      </c>
      <c r="O3710" t="n">
        <v>0</v>
      </c>
      <c r="P3710" t="n">
        <v>0</v>
      </c>
      <c r="Q3710" t="n">
        <v>0</v>
      </c>
      <c r="R3710" s="2" t="inlineStr"/>
    </row>
    <row r="3711" ht="15" customHeight="1">
      <c r="A3711" t="inlineStr">
        <is>
          <t>A 64230-2019</t>
        </is>
      </c>
      <c r="B3711" s="1" t="n">
        <v>43797</v>
      </c>
      <c r="C3711" s="1" t="n">
        <v>45212</v>
      </c>
      <c r="D3711" t="inlineStr">
        <is>
          <t>VÄSTRA GÖTALANDS LÄN</t>
        </is>
      </c>
      <c r="E3711" t="inlineStr">
        <is>
          <t>BENGTSFORS</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64381-2019</t>
        </is>
      </c>
      <c r="B3712" s="1" t="n">
        <v>43797</v>
      </c>
      <c r="C3712" s="1" t="n">
        <v>45212</v>
      </c>
      <c r="D3712" t="inlineStr">
        <is>
          <t>VÄSTRA GÖTALANDS LÄN</t>
        </is>
      </c>
      <c r="E3712" t="inlineStr">
        <is>
          <t>TROLLHÄTTAN</t>
        </is>
      </c>
      <c r="G3712" t="n">
        <v>4.1</v>
      </c>
      <c r="H3712" t="n">
        <v>0</v>
      </c>
      <c r="I3712" t="n">
        <v>0</v>
      </c>
      <c r="J3712" t="n">
        <v>0</v>
      </c>
      <c r="K3712" t="n">
        <v>0</v>
      </c>
      <c r="L3712" t="n">
        <v>0</v>
      </c>
      <c r="M3712" t="n">
        <v>0</v>
      </c>
      <c r="N3712" t="n">
        <v>0</v>
      </c>
      <c r="O3712" t="n">
        <v>0</v>
      </c>
      <c r="P3712" t="n">
        <v>0</v>
      </c>
      <c r="Q3712" t="n">
        <v>0</v>
      </c>
      <c r="R3712" s="2" t="inlineStr"/>
    </row>
    <row r="3713" ht="15" customHeight="1">
      <c r="A3713" t="inlineStr">
        <is>
          <t>A 64561-2019</t>
        </is>
      </c>
      <c r="B3713" s="1" t="n">
        <v>43798</v>
      </c>
      <c r="C3713" s="1" t="n">
        <v>45212</v>
      </c>
      <c r="D3713" t="inlineStr">
        <is>
          <t>VÄSTRA GÖTALANDS LÄN</t>
        </is>
      </c>
      <c r="E3713" t="inlineStr">
        <is>
          <t>BORÅS</t>
        </is>
      </c>
      <c r="G3713" t="n">
        <v>7.4</v>
      </c>
      <c r="H3713" t="n">
        <v>0</v>
      </c>
      <c r="I3713" t="n">
        <v>0</v>
      </c>
      <c r="J3713" t="n">
        <v>0</v>
      </c>
      <c r="K3713" t="n">
        <v>0</v>
      </c>
      <c r="L3713" t="n">
        <v>0</v>
      </c>
      <c r="M3713" t="n">
        <v>0</v>
      </c>
      <c r="N3713" t="n">
        <v>0</v>
      </c>
      <c r="O3713" t="n">
        <v>0</v>
      </c>
      <c r="P3713" t="n">
        <v>0</v>
      </c>
      <c r="Q3713" t="n">
        <v>0</v>
      </c>
      <c r="R3713" s="2" t="inlineStr"/>
    </row>
    <row r="3714" ht="15" customHeight="1">
      <c r="A3714" t="inlineStr">
        <is>
          <t>A 64663-2019</t>
        </is>
      </c>
      <c r="B3714" s="1" t="n">
        <v>43798</v>
      </c>
      <c r="C3714" s="1" t="n">
        <v>45212</v>
      </c>
      <c r="D3714" t="inlineStr">
        <is>
          <t>VÄSTRA GÖTALANDS LÄN</t>
        </is>
      </c>
      <c r="E3714" t="inlineStr">
        <is>
          <t>SVENLJUNGA</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65990-2019</t>
        </is>
      </c>
      <c r="B3715" s="1" t="n">
        <v>43798</v>
      </c>
      <c r="C3715" s="1" t="n">
        <v>45212</v>
      </c>
      <c r="D3715" t="inlineStr">
        <is>
          <t>VÄSTRA GÖTALANDS LÄN</t>
        </is>
      </c>
      <c r="E3715" t="inlineStr">
        <is>
          <t>VARA</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64652-2019</t>
        </is>
      </c>
      <c r="B3716" s="1" t="n">
        <v>43798</v>
      </c>
      <c r="C3716" s="1" t="n">
        <v>45212</v>
      </c>
      <c r="D3716" t="inlineStr">
        <is>
          <t>VÄSTRA GÖTALANDS LÄN</t>
        </is>
      </c>
      <c r="E3716" t="inlineStr">
        <is>
          <t>SVENLJUNGA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65959-2019</t>
        </is>
      </c>
      <c r="B3717" s="1" t="n">
        <v>43798</v>
      </c>
      <c r="C3717" s="1" t="n">
        <v>45212</v>
      </c>
      <c r="D3717" t="inlineStr">
        <is>
          <t>VÄSTRA GÖTALANDS LÄN</t>
        </is>
      </c>
      <c r="E3717" t="inlineStr">
        <is>
          <t>FALKÖPING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66018-2019</t>
        </is>
      </c>
      <c r="B3718" s="1" t="n">
        <v>43798</v>
      </c>
      <c r="C3718" s="1" t="n">
        <v>45212</v>
      </c>
      <c r="D3718" t="inlineStr">
        <is>
          <t>VÄSTRA GÖTALANDS LÄN</t>
        </is>
      </c>
      <c r="E3718" t="inlineStr">
        <is>
          <t>HERRLJUNGA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64556-2019</t>
        </is>
      </c>
      <c r="B3719" s="1" t="n">
        <v>43798</v>
      </c>
      <c r="C3719" s="1" t="n">
        <v>45212</v>
      </c>
      <c r="D3719" t="inlineStr">
        <is>
          <t>VÄSTRA GÖTALANDS LÄN</t>
        </is>
      </c>
      <c r="E3719" t="inlineStr">
        <is>
          <t>MARK</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65964-2019</t>
        </is>
      </c>
      <c r="B3720" s="1" t="n">
        <v>43798</v>
      </c>
      <c r="C3720" s="1" t="n">
        <v>45212</v>
      </c>
      <c r="D3720" t="inlineStr">
        <is>
          <t>VÄSTRA GÖTALANDS LÄN</t>
        </is>
      </c>
      <c r="E3720" t="inlineStr">
        <is>
          <t>FALKÖPING</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64601-2019</t>
        </is>
      </c>
      <c r="B3721" s="1" t="n">
        <v>43798</v>
      </c>
      <c r="C3721" s="1" t="n">
        <v>45212</v>
      </c>
      <c r="D3721" t="inlineStr">
        <is>
          <t>VÄSTRA GÖTALANDS LÄN</t>
        </is>
      </c>
      <c r="E3721" t="inlineStr">
        <is>
          <t>TRANEMO</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64681-2019</t>
        </is>
      </c>
      <c r="B3722" s="1" t="n">
        <v>43798</v>
      </c>
      <c r="C3722" s="1" t="n">
        <v>45212</v>
      </c>
      <c r="D3722" t="inlineStr">
        <is>
          <t>VÄSTRA GÖTALANDS LÄN</t>
        </is>
      </c>
      <c r="E3722" t="inlineStr">
        <is>
          <t>SVENLJUNGA</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65898-2019</t>
        </is>
      </c>
      <c r="B3723" s="1" t="n">
        <v>43798</v>
      </c>
      <c r="C3723" s="1" t="n">
        <v>45212</v>
      </c>
      <c r="D3723" t="inlineStr">
        <is>
          <t>VÄSTRA GÖTALANDS LÄN</t>
        </is>
      </c>
      <c r="E3723" t="inlineStr">
        <is>
          <t>VARA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65974-2019</t>
        </is>
      </c>
      <c r="B3724" s="1" t="n">
        <v>43798</v>
      </c>
      <c r="C3724" s="1" t="n">
        <v>45212</v>
      </c>
      <c r="D3724" t="inlineStr">
        <is>
          <t>VÄSTRA GÖTALANDS LÄN</t>
        </is>
      </c>
      <c r="E3724" t="inlineStr">
        <is>
          <t>ULRICEHAMN</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64721-2019</t>
        </is>
      </c>
      <c r="B3725" s="1" t="n">
        <v>43800</v>
      </c>
      <c r="C3725" s="1" t="n">
        <v>45212</v>
      </c>
      <c r="D3725" t="inlineStr">
        <is>
          <t>VÄSTRA GÖTALANDS LÄN</t>
        </is>
      </c>
      <c r="E3725" t="inlineStr">
        <is>
          <t>HÄRRYDA</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64725-2019</t>
        </is>
      </c>
      <c r="B3726" s="1" t="n">
        <v>43800</v>
      </c>
      <c r="C3726" s="1" t="n">
        <v>45212</v>
      </c>
      <c r="D3726" t="inlineStr">
        <is>
          <t>VÄSTRA GÖTALANDS LÄN</t>
        </is>
      </c>
      <c r="E3726" t="inlineStr">
        <is>
          <t>ULRICEHAMN</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64730-2019</t>
        </is>
      </c>
      <c r="B3727" s="1" t="n">
        <v>43800</v>
      </c>
      <c r="C3727" s="1" t="n">
        <v>45212</v>
      </c>
      <c r="D3727" t="inlineStr">
        <is>
          <t>VÄSTRA GÖTALANDS LÄN</t>
        </is>
      </c>
      <c r="E3727" t="inlineStr">
        <is>
          <t>MARK</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64724-2019</t>
        </is>
      </c>
      <c r="B3728" s="1" t="n">
        <v>43800</v>
      </c>
      <c r="C3728" s="1" t="n">
        <v>45212</v>
      </c>
      <c r="D3728" t="inlineStr">
        <is>
          <t>VÄSTRA GÖTALANDS LÄN</t>
        </is>
      </c>
      <c r="E3728" t="inlineStr">
        <is>
          <t>HÄRRYDA</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64729-2019</t>
        </is>
      </c>
      <c r="B3729" s="1" t="n">
        <v>43800</v>
      </c>
      <c r="C3729" s="1" t="n">
        <v>45212</v>
      </c>
      <c r="D3729" t="inlineStr">
        <is>
          <t>VÄSTRA GÖTALANDS LÄN</t>
        </is>
      </c>
      <c r="E3729" t="inlineStr">
        <is>
          <t>TRANEMO</t>
        </is>
      </c>
      <c r="G3729" t="n">
        <v>1.5</v>
      </c>
      <c r="H3729" t="n">
        <v>0</v>
      </c>
      <c r="I3729" t="n">
        <v>0</v>
      </c>
      <c r="J3729" t="n">
        <v>0</v>
      </c>
      <c r="K3729" t="n">
        <v>0</v>
      </c>
      <c r="L3729" t="n">
        <v>0</v>
      </c>
      <c r="M3729" t="n">
        <v>0</v>
      </c>
      <c r="N3729" t="n">
        <v>0</v>
      </c>
      <c r="O3729" t="n">
        <v>0</v>
      </c>
      <c r="P3729" t="n">
        <v>0</v>
      </c>
      <c r="Q3729" t="n">
        <v>0</v>
      </c>
      <c r="R3729" s="2" t="inlineStr"/>
    </row>
    <row r="3730" ht="15" customHeight="1">
      <c r="A3730" t="inlineStr">
        <is>
          <t>A 64722-2019</t>
        </is>
      </c>
      <c r="B3730" s="1" t="n">
        <v>43800</v>
      </c>
      <c r="C3730" s="1" t="n">
        <v>45212</v>
      </c>
      <c r="D3730" t="inlineStr">
        <is>
          <t>VÄSTRA GÖTALANDS LÄN</t>
        </is>
      </c>
      <c r="E3730" t="inlineStr">
        <is>
          <t>HÄRRYDA</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64794-2019</t>
        </is>
      </c>
      <c r="B3731" s="1" t="n">
        <v>43801</v>
      </c>
      <c r="C3731" s="1" t="n">
        <v>45212</v>
      </c>
      <c r="D3731" t="inlineStr">
        <is>
          <t>VÄSTRA GÖTALANDS LÄN</t>
        </is>
      </c>
      <c r="E3731" t="inlineStr">
        <is>
          <t>HERRLJUNGA</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64907-2019</t>
        </is>
      </c>
      <c r="B3732" s="1" t="n">
        <v>43801</v>
      </c>
      <c r="C3732" s="1" t="n">
        <v>45212</v>
      </c>
      <c r="D3732" t="inlineStr">
        <is>
          <t>VÄSTRA GÖTALANDS LÄN</t>
        </is>
      </c>
      <c r="E3732" t="inlineStr">
        <is>
          <t>VARA</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64871-2019</t>
        </is>
      </c>
      <c r="B3733" s="1" t="n">
        <v>43801</v>
      </c>
      <c r="C3733" s="1" t="n">
        <v>45212</v>
      </c>
      <c r="D3733" t="inlineStr">
        <is>
          <t>VÄSTRA GÖTALANDS LÄN</t>
        </is>
      </c>
      <c r="E3733" t="inlineStr">
        <is>
          <t>VARA</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64999-2019</t>
        </is>
      </c>
      <c r="B3734" s="1" t="n">
        <v>43801</v>
      </c>
      <c r="C3734" s="1" t="n">
        <v>45212</v>
      </c>
      <c r="D3734" t="inlineStr">
        <is>
          <t>VÄSTRA GÖTALANDS LÄN</t>
        </is>
      </c>
      <c r="E3734" t="inlineStr">
        <is>
          <t>MARK</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64939-2019</t>
        </is>
      </c>
      <c r="B3735" s="1" t="n">
        <v>43801</v>
      </c>
      <c r="C3735" s="1" t="n">
        <v>45212</v>
      </c>
      <c r="D3735" t="inlineStr">
        <is>
          <t>VÄSTRA GÖTALANDS LÄN</t>
        </is>
      </c>
      <c r="E3735" t="inlineStr">
        <is>
          <t>VÅRGÅRDA</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65017-2019</t>
        </is>
      </c>
      <c r="B3736" s="1" t="n">
        <v>43801</v>
      </c>
      <c r="C3736" s="1" t="n">
        <v>45212</v>
      </c>
      <c r="D3736" t="inlineStr">
        <is>
          <t>VÄSTRA GÖTALANDS LÄN</t>
        </is>
      </c>
      <c r="E3736" t="inlineStr">
        <is>
          <t>BORÅS</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65022-2019</t>
        </is>
      </c>
      <c r="B3737" s="1" t="n">
        <v>43801</v>
      </c>
      <c r="C3737" s="1" t="n">
        <v>45212</v>
      </c>
      <c r="D3737" t="inlineStr">
        <is>
          <t>VÄSTRA GÖTALANDS LÄN</t>
        </is>
      </c>
      <c r="E3737" t="inlineStr">
        <is>
          <t>LIDKÖPING</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65930-2019</t>
        </is>
      </c>
      <c r="B3738" s="1" t="n">
        <v>43801</v>
      </c>
      <c r="C3738" s="1" t="n">
        <v>45212</v>
      </c>
      <c r="D3738" t="inlineStr">
        <is>
          <t>VÄSTRA GÖTALANDS LÄN</t>
        </is>
      </c>
      <c r="E3738" t="inlineStr">
        <is>
          <t>BENGTSFORS</t>
        </is>
      </c>
      <c r="F3738" t="inlineStr">
        <is>
          <t>Kyrkan</t>
        </is>
      </c>
      <c r="G3738" t="n">
        <v>5.5</v>
      </c>
      <c r="H3738" t="n">
        <v>0</v>
      </c>
      <c r="I3738" t="n">
        <v>0</v>
      </c>
      <c r="J3738" t="n">
        <v>0</v>
      </c>
      <c r="K3738" t="n">
        <v>0</v>
      </c>
      <c r="L3738" t="n">
        <v>0</v>
      </c>
      <c r="M3738" t="n">
        <v>0</v>
      </c>
      <c r="N3738" t="n">
        <v>0</v>
      </c>
      <c r="O3738" t="n">
        <v>0</v>
      </c>
      <c r="P3738" t="n">
        <v>0</v>
      </c>
      <c r="Q3738" t="n">
        <v>0</v>
      </c>
      <c r="R3738" s="2" t="inlineStr"/>
    </row>
    <row r="3739" ht="15" customHeight="1">
      <c r="A3739" t="inlineStr">
        <is>
          <t>A 65268-2019</t>
        </is>
      </c>
      <c r="B3739" s="1" t="n">
        <v>43802</v>
      </c>
      <c r="C3739" s="1" t="n">
        <v>45212</v>
      </c>
      <c r="D3739" t="inlineStr">
        <is>
          <t>VÄSTRA GÖTALANDS LÄN</t>
        </is>
      </c>
      <c r="E3739" t="inlineStr">
        <is>
          <t>HÄRRYDA</t>
        </is>
      </c>
      <c r="G3739" t="n">
        <v>7.8</v>
      </c>
      <c r="H3739" t="n">
        <v>0</v>
      </c>
      <c r="I3739" t="n">
        <v>0</v>
      </c>
      <c r="J3739" t="n">
        <v>0</v>
      </c>
      <c r="K3739" t="n">
        <v>0</v>
      </c>
      <c r="L3739" t="n">
        <v>0</v>
      </c>
      <c r="M3739" t="n">
        <v>0</v>
      </c>
      <c r="N3739" t="n">
        <v>0</v>
      </c>
      <c r="O3739" t="n">
        <v>0</v>
      </c>
      <c r="P3739" t="n">
        <v>0</v>
      </c>
      <c r="Q3739" t="n">
        <v>0</v>
      </c>
      <c r="R3739" s="2" t="inlineStr"/>
    </row>
    <row r="3740" ht="15" customHeight="1">
      <c r="A3740" t="inlineStr">
        <is>
          <t>A 65209-2019</t>
        </is>
      </c>
      <c r="B3740" s="1" t="n">
        <v>43802</v>
      </c>
      <c r="C3740" s="1" t="n">
        <v>45212</v>
      </c>
      <c r="D3740" t="inlineStr">
        <is>
          <t>VÄSTRA GÖTALANDS LÄN</t>
        </is>
      </c>
      <c r="E3740" t="inlineStr">
        <is>
          <t>ALINGSÅS</t>
        </is>
      </c>
      <c r="G3740" t="n">
        <v>0.4</v>
      </c>
      <c r="H3740" t="n">
        <v>0</v>
      </c>
      <c r="I3740" t="n">
        <v>0</v>
      </c>
      <c r="J3740" t="n">
        <v>0</v>
      </c>
      <c r="K3740" t="n">
        <v>0</v>
      </c>
      <c r="L3740" t="n">
        <v>0</v>
      </c>
      <c r="M3740" t="n">
        <v>0</v>
      </c>
      <c r="N3740" t="n">
        <v>0</v>
      </c>
      <c r="O3740" t="n">
        <v>0</v>
      </c>
      <c r="P3740" t="n">
        <v>0</v>
      </c>
      <c r="Q3740" t="n">
        <v>0</v>
      </c>
      <c r="R3740" s="2" t="inlineStr"/>
    </row>
    <row r="3741" ht="15" customHeight="1">
      <c r="A3741" t="inlineStr">
        <is>
          <t>A 66343-2019</t>
        </is>
      </c>
      <c r="B3741" s="1" t="n">
        <v>43802</v>
      </c>
      <c r="C3741" s="1" t="n">
        <v>45212</v>
      </c>
      <c r="D3741" t="inlineStr">
        <is>
          <t>VÄSTRA GÖTALANDS LÄN</t>
        </is>
      </c>
      <c r="E3741" t="inlineStr">
        <is>
          <t>TIDAHOLM</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65115-2019</t>
        </is>
      </c>
      <c r="B3742" s="1" t="n">
        <v>43802</v>
      </c>
      <c r="C3742" s="1" t="n">
        <v>45212</v>
      </c>
      <c r="D3742" t="inlineStr">
        <is>
          <t>VÄSTRA GÖTALANDS LÄN</t>
        </is>
      </c>
      <c r="E3742" t="inlineStr">
        <is>
          <t>MARIESTAD</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65186-2019</t>
        </is>
      </c>
      <c r="B3743" s="1" t="n">
        <v>43802</v>
      </c>
      <c r="C3743" s="1" t="n">
        <v>45212</v>
      </c>
      <c r="D3743" t="inlineStr">
        <is>
          <t>VÄSTRA GÖTALANDS LÄN</t>
        </is>
      </c>
      <c r="E3743" t="inlineStr">
        <is>
          <t>HÄRRYDA</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66345-2019</t>
        </is>
      </c>
      <c r="B3744" s="1" t="n">
        <v>43802</v>
      </c>
      <c r="C3744" s="1" t="n">
        <v>45212</v>
      </c>
      <c r="D3744" t="inlineStr">
        <is>
          <t>VÄSTRA GÖTALANDS LÄN</t>
        </is>
      </c>
      <c r="E3744" t="inlineStr">
        <is>
          <t>TIDAHOLM</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65361-2019</t>
        </is>
      </c>
      <c r="B3745" s="1" t="n">
        <v>43803</v>
      </c>
      <c r="C3745" s="1" t="n">
        <v>45212</v>
      </c>
      <c r="D3745" t="inlineStr">
        <is>
          <t>VÄSTRA GÖTALANDS LÄN</t>
        </is>
      </c>
      <c r="E3745" t="inlineStr">
        <is>
          <t>BENGTSFORS</t>
        </is>
      </c>
      <c r="G3745" t="n">
        <v>7</v>
      </c>
      <c r="H3745" t="n">
        <v>0</v>
      </c>
      <c r="I3745" t="n">
        <v>0</v>
      </c>
      <c r="J3745" t="n">
        <v>0</v>
      </c>
      <c r="K3745" t="n">
        <v>0</v>
      </c>
      <c r="L3745" t="n">
        <v>0</v>
      </c>
      <c r="M3745" t="n">
        <v>0</v>
      </c>
      <c r="N3745" t="n">
        <v>0</v>
      </c>
      <c r="O3745" t="n">
        <v>0</v>
      </c>
      <c r="P3745" t="n">
        <v>0</v>
      </c>
      <c r="Q3745" t="n">
        <v>0</v>
      </c>
      <c r="R3745" s="2" t="inlineStr"/>
    </row>
    <row r="3746" ht="15" customHeight="1">
      <c r="A3746" t="inlineStr">
        <is>
          <t>A 65543-2019</t>
        </is>
      </c>
      <c r="B3746" s="1" t="n">
        <v>43803</v>
      </c>
      <c r="C3746" s="1" t="n">
        <v>45212</v>
      </c>
      <c r="D3746" t="inlineStr">
        <is>
          <t>VÄSTRA GÖTALANDS LÄN</t>
        </is>
      </c>
      <c r="E3746" t="inlineStr">
        <is>
          <t>GRÄSTORP</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65453-2019</t>
        </is>
      </c>
      <c r="B3747" s="1" t="n">
        <v>43803</v>
      </c>
      <c r="C3747" s="1" t="n">
        <v>45212</v>
      </c>
      <c r="D3747" t="inlineStr">
        <is>
          <t>VÄSTRA GÖTALANDS LÄN</t>
        </is>
      </c>
      <c r="E3747" t="inlineStr">
        <is>
          <t>BENGTSFORS</t>
        </is>
      </c>
      <c r="G3747" t="n">
        <v>6.3</v>
      </c>
      <c r="H3747" t="n">
        <v>0</v>
      </c>
      <c r="I3747" t="n">
        <v>0</v>
      </c>
      <c r="J3747" t="n">
        <v>0</v>
      </c>
      <c r="K3747" t="n">
        <v>0</v>
      </c>
      <c r="L3747" t="n">
        <v>0</v>
      </c>
      <c r="M3747" t="n">
        <v>0</v>
      </c>
      <c r="N3747" t="n">
        <v>0</v>
      </c>
      <c r="O3747" t="n">
        <v>0</v>
      </c>
      <c r="P3747" t="n">
        <v>0</v>
      </c>
      <c r="Q3747" t="n">
        <v>0</v>
      </c>
      <c r="R3747" s="2" t="inlineStr"/>
    </row>
    <row r="3748" ht="15" customHeight="1">
      <c r="A3748" t="inlineStr">
        <is>
          <t>A 65524-2019</t>
        </is>
      </c>
      <c r="B3748" s="1" t="n">
        <v>43803</v>
      </c>
      <c r="C3748" s="1" t="n">
        <v>45212</v>
      </c>
      <c r="D3748" t="inlineStr">
        <is>
          <t>VÄSTRA GÖTALANDS LÄN</t>
        </is>
      </c>
      <c r="E3748" t="inlineStr">
        <is>
          <t>SVENLJUNGA</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65411-2019</t>
        </is>
      </c>
      <c r="B3749" s="1" t="n">
        <v>43803</v>
      </c>
      <c r="C3749" s="1" t="n">
        <v>45212</v>
      </c>
      <c r="D3749" t="inlineStr">
        <is>
          <t>VÄSTRA GÖTALANDS LÄN</t>
        </is>
      </c>
      <c r="E3749" t="inlineStr">
        <is>
          <t>HJO</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65437-2019</t>
        </is>
      </c>
      <c r="B3750" s="1" t="n">
        <v>43803</v>
      </c>
      <c r="C3750" s="1" t="n">
        <v>45212</v>
      </c>
      <c r="D3750" t="inlineStr">
        <is>
          <t>VÄSTRA GÖTALANDS LÄN</t>
        </is>
      </c>
      <c r="E3750" t="inlineStr">
        <is>
          <t>DALS-ED</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65474-2019</t>
        </is>
      </c>
      <c r="B3751" s="1" t="n">
        <v>43803</v>
      </c>
      <c r="C3751" s="1" t="n">
        <v>45212</v>
      </c>
      <c r="D3751" t="inlineStr">
        <is>
          <t>VÄSTRA GÖTALANDS LÄN</t>
        </is>
      </c>
      <c r="E3751" t="inlineStr">
        <is>
          <t>FALKÖPING</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65513-2019</t>
        </is>
      </c>
      <c r="B3752" s="1" t="n">
        <v>43803</v>
      </c>
      <c r="C3752" s="1" t="n">
        <v>45212</v>
      </c>
      <c r="D3752" t="inlineStr">
        <is>
          <t>VÄSTRA GÖTALANDS LÄN</t>
        </is>
      </c>
      <c r="E3752" t="inlineStr">
        <is>
          <t>GÖTENE</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65525-2019</t>
        </is>
      </c>
      <c r="B3753" s="1" t="n">
        <v>43803</v>
      </c>
      <c r="C3753" s="1" t="n">
        <v>45212</v>
      </c>
      <c r="D3753" t="inlineStr">
        <is>
          <t>VÄSTRA GÖTALANDS LÄN</t>
        </is>
      </c>
      <c r="E3753" t="inlineStr">
        <is>
          <t>BENGTSFORS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65472-2019</t>
        </is>
      </c>
      <c r="B3754" s="1" t="n">
        <v>43803</v>
      </c>
      <c r="C3754" s="1" t="n">
        <v>45212</v>
      </c>
      <c r="D3754" t="inlineStr">
        <is>
          <t>VÄSTRA GÖTALANDS LÄN</t>
        </is>
      </c>
      <c r="E3754" t="inlineStr">
        <is>
          <t>FALKÖPING</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65519-2019</t>
        </is>
      </c>
      <c r="B3755" s="1" t="n">
        <v>43803</v>
      </c>
      <c r="C3755" s="1" t="n">
        <v>45212</v>
      </c>
      <c r="D3755" t="inlineStr">
        <is>
          <t>VÄSTRA GÖTALANDS LÄN</t>
        </is>
      </c>
      <c r="E3755" t="inlineStr">
        <is>
          <t>SVENLJUNGA</t>
        </is>
      </c>
      <c r="G3755" t="n">
        <v>8.4</v>
      </c>
      <c r="H3755" t="n">
        <v>0</v>
      </c>
      <c r="I3755" t="n">
        <v>0</v>
      </c>
      <c r="J3755" t="n">
        <v>0</v>
      </c>
      <c r="K3755" t="n">
        <v>0</v>
      </c>
      <c r="L3755" t="n">
        <v>0</v>
      </c>
      <c r="M3755" t="n">
        <v>0</v>
      </c>
      <c r="N3755" t="n">
        <v>0</v>
      </c>
      <c r="O3755" t="n">
        <v>0</v>
      </c>
      <c r="P3755" t="n">
        <v>0</v>
      </c>
      <c r="Q3755" t="n">
        <v>0</v>
      </c>
      <c r="R3755" s="2" t="inlineStr"/>
    </row>
    <row r="3756" ht="15" customHeight="1">
      <c r="A3756" t="inlineStr">
        <is>
          <t>A 66579-2019</t>
        </is>
      </c>
      <c r="B3756" s="1" t="n">
        <v>43803</v>
      </c>
      <c r="C3756" s="1" t="n">
        <v>45212</v>
      </c>
      <c r="D3756" t="inlineStr">
        <is>
          <t>VÄSTRA GÖTALANDS LÄN</t>
        </is>
      </c>
      <c r="E3756" t="inlineStr">
        <is>
          <t>GULLSPÅNG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65579-2019</t>
        </is>
      </c>
      <c r="B3757" s="1" t="n">
        <v>43804</v>
      </c>
      <c r="C3757" s="1" t="n">
        <v>45212</v>
      </c>
      <c r="D3757" t="inlineStr">
        <is>
          <t>VÄSTRA GÖTALANDS LÄN</t>
        </is>
      </c>
      <c r="E3757" t="inlineStr">
        <is>
          <t>ORUST</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65610-2019</t>
        </is>
      </c>
      <c r="B3758" s="1" t="n">
        <v>43804</v>
      </c>
      <c r="C3758" s="1" t="n">
        <v>45212</v>
      </c>
      <c r="D3758" t="inlineStr">
        <is>
          <t>VÄSTRA GÖTALANDS LÄN</t>
        </is>
      </c>
      <c r="E3758" t="inlineStr">
        <is>
          <t>KARLSBORG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65617-2019</t>
        </is>
      </c>
      <c r="B3759" s="1" t="n">
        <v>43804</v>
      </c>
      <c r="C3759" s="1" t="n">
        <v>45212</v>
      </c>
      <c r="D3759" t="inlineStr">
        <is>
          <t>VÄSTRA GÖTALANDS LÄN</t>
        </is>
      </c>
      <c r="E3759" t="inlineStr">
        <is>
          <t>KARLSBORG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65670-2019</t>
        </is>
      </c>
      <c r="B3760" s="1" t="n">
        <v>43804</v>
      </c>
      <c r="C3760" s="1" t="n">
        <v>45212</v>
      </c>
      <c r="D3760" t="inlineStr">
        <is>
          <t>VÄSTRA GÖTALANDS LÄN</t>
        </is>
      </c>
      <c r="E3760" t="inlineStr">
        <is>
          <t>HÄRRYDA</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65687-2019</t>
        </is>
      </c>
      <c r="B3761" s="1" t="n">
        <v>43804</v>
      </c>
      <c r="C3761" s="1" t="n">
        <v>45212</v>
      </c>
      <c r="D3761" t="inlineStr">
        <is>
          <t>VÄSTRA GÖTALANDS LÄN</t>
        </is>
      </c>
      <c r="E3761" t="inlineStr">
        <is>
          <t>HÄRRYDA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66624-2019</t>
        </is>
      </c>
      <c r="B3762" s="1" t="n">
        <v>43804</v>
      </c>
      <c r="C3762" s="1" t="n">
        <v>45212</v>
      </c>
      <c r="D3762" t="inlineStr">
        <is>
          <t>VÄSTRA GÖTALANDS LÄN</t>
        </is>
      </c>
      <c r="E3762" t="inlineStr">
        <is>
          <t>HJO</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65600-2019</t>
        </is>
      </c>
      <c r="B3763" s="1" t="n">
        <v>43804</v>
      </c>
      <c r="C3763" s="1" t="n">
        <v>45212</v>
      </c>
      <c r="D3763" t="inlineStr">
        <is>
          <t>VÄSTRA GÖTALANDS LÄN</t>
        </is>
      </c>
      <c r="E3763" t="inlineStr">
        <is>
          <t>KARLSBORG</t>
        </is>
      </c>
      <c r="G3763" t="n">
        <v>9.4</v>
      </c>
      <c r="H3763" t="n">
        <v>0</v>
      </c>
      <c r="I3763" t="n">
        <v>0</v>
      </c>
      <c r="J3763" t="n">
        <v>0</v>
      </c>
      <c r="K3763" t="n">
        <v>0</v>
      </c>
      <c r="L3763" t="n">
        <v>0</v>
      </c>
      <c r="M3763" t="n">
        <v>0</v>
      </c>
      <c r="N3763" t="n">
        <v>0</v>
      </c>
      <c r="O3763" t="n">
        <v>0</v>
      </c>
      <c r="P3763" t="n">
        <v>0</v>
      </c>
      <c r="Q3763" t="n">
        <v>0</v>
      </c>
      <c r="R3763" s="2" t="inlineStr"/>
    </row>
    <row r="3764" ht="15" customHeight="1">
      <c r="A3764" t="inlineStr">
        <is>
          <t>A 65616-2019</t>
        </is>
      </c>
      <c r="B3764" s="1" t="n">
        <v>43804</v>
      </c>
      <c r="C3764" s="1" t="n">
        <v>45212</v>
      </c>
      <c r="D3764" t="inlineStr">
        <is>
          <t>VÄSTRA GÖTALANDS LÄN</t>
        </is>
      </c>
      <c r="E3764" t="inlineStr">
        <is>
          <t>KARLSBORG</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65630-2019</t>
        </is>
      </c>
      <c r="B3765" s="1" t="n">
        <v>43804</v>
      </c>
      <c r="C3765" s="1" t="n">
        <v>45212</v>
      </c>
      <c r="D3765" t="inlineStr">
        <is>
          <t>VÄSTRA GÖTALANDS LÄN</t>
        </is>
      </c>
      <c r="E3765" t="inlineStr">
        <is>
          <t>SKÖVDE</t>
        </is>
      </c>
      <c r="G3765" t="n">
        <v>3.6</v>
      </c>
      <c r="H3765" t="n">
        <v>0</v>
      </c>
      <c r="I3765" t="n">
        <v>0</v>
      </c>
      <c r="J3765" t="n">
        <v>0</v>
      </c>
      <c r="K3765" t="n">
        <v>0</v>
      </c>
      <c r="L3765" t="n">
        <v>0</v>
      </c>
      <c r="M3765" t="n">
        <v>0</v>
      </c>
      <c r="N3765" t="n">
        <v>0</v>
      </c>
      <c r="O3765" t="n">
        <v>0</v>
      </c>
      <c r="P3765" t="n">
        <v>0</v>
      </c>
      <c r="Q3765" t="n">
        <v>0</v>
      </c>
      <c r="R3765" s="2" t="inlineStr"/>
    </row>
    <row r="3766" ht="15" customHeight="1">
      <c r="A3766" t="inlineStr">
        <is>
          <t>A 65666-2019</t>
        </is>
      </c>
      <c r="B3766" s="1" t="n">
        <v>43804</v>
      </c>
      <c r="C3766" s="1" t="n">
        <v>45212</v>
      </c>
      <c r="D3766" t="inlineStr">
        <is>
          <t>VÄSTRA GÖTALANDS LÄN</t>
        </is>
      </c>
      <c r="E3766" t="inlineStr">
        <is>
          <t>BOLLEBYGD</t>
        </is>
      </c>
      <c r="F3766" t="inlineStr">
        <is>
          <t>Sveaskog</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65693-2019</t>
        </is>
      </c>
      <c r="B3767" s="1" t="n">
        <v>43804</v>
      </c>
      <c r="C3767" s="1" t="n">
        <v>45212</v>
      </c>
      <c r="D3767" t="inlineStr">
        <is>
          <t>VÄSTRA GÖTALANDS LÄN</t>
        </is>
      </c>
      <c r="E3767" t="inlineStr">
        <is>
          <t>HÄRRYDA</t>
        </is>
      </c>
      <c r="G3767" t="n">
        <v>0.3</v>
      </c>
      <c r="H3767" t="n">
        <v>0</v>
      </c>
      <c r="I3767" t="n">
        <v>0</v>
      </c>
      <c r="J3767" t="n">
        <v>0</v>
      </c>
      <c r="K3767" t="n">
        <v>0</v>
      </c>
      <c r="L3767" t="n">
        <v>0</v>
      </c>
      <c r="M3767" t="n">
        <v>0</v>
      </c>
      <c r="N3767" t="n">
        <v>0</v>
      </c>
      <c r="O3767" t="n">
        <v>0</v>
      </c>
      <c r="P3767" t="n">
        <v>0</v>
      </c>
      <c r="Q3767" t="n">
        <v>0</v>
      </c>
      <c r="R3767" s="2" t="inlineStr"/>
    </row>
    <row r="3768" ht="15" customHeight="1">
      <c r="A3768" t="inlineStr">
        <is>
          <t>A 65688-2019</t>
        </is>
      </c>
      <c r="B3768" s="1" t="n">
        <v>43804</v>
      </c>
      <c r="C3768" s="1" t="n">
        <v>45212</v>
      </c>
      <c r="D3768" t="inlineStr">
        <is>
          <t>VÄSTRA GÖTALANDS LÄN</t>
        </is>
      </c>
      <c r="E3768" t="inlineStr">
        <is>
          <t>HÄRRYDA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65696-2019</t>
        </is>
      </c>
      <c r="B3769" s="1" t="n">
        <v>43804</v>
      </c>
      <c r="C3769" s="1" t="n">
        <v>45212</v>
      </c>
      <c r="D3769" t="inlineStr">
        <is>
          <t>VÄSTRA GÖTALANDS LÄN</t>
        </is>
      </c>
      <c r="E3769" t="inlineStr">
        <is>
          <t>LILLA EDET</t>
        </is>
      </c>
      <c r="G3769" t="n">
        <v>11.9</v>
      </c>
      <c r="H3769" t="n">
        <v>0</v>
      </c>
      <c r="I3769" t="n">
        <v>0</v>
      </c>
      <c r="J3769" t="n">
        <v>0</v>
      </c>
      <c r="K3769" t="n">
        <v>0</v>
      </c>
      <c r="L3769" t="n">
        <v>0</v>
      </c>
      <c r="M3769" t="n">
        <v>0</v>
      </c>
      <c r="N3769" t="n">
        <v>0</v>
      </c>
      <c r="O3769" t="n">
        <v>0</v>
      </c>
      <c r="P3769" t="n">
        <v>0</v>
      </c>
      <c r="Q3769" t="n">
        <v>0</v>
      </c>
      <c r="R3769" s="2" t="inlineStr"/>
    </row>
    <row r="3770" ht="15" customHeight="1">
      <c r="A3770" t="inlineStr">
        <is>
          <t>A 65732-2019</t>
        </is>
      </c>
      <c r="B3770" s="1" t="n">
        <v>43804</v>
      </c>
      <c r="C3770" s="1" t="n">
        <v>45212</v>
      </c>
      <c r="D3770" t="inlineStr">
        <is>
          <t>VÄSTRA GÖTALANDS LÄN</t>
        </is>
      </c>
      <c r="E3770" t="inlineStr">
        <is>
          <t>UDDEVALLA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65700-2019</t>
        </is>
      </c>
      <c r="B3771" s="1" t="n">
        <v>43804</v>
      </c>
      <c r="C3771" s="1" t="n">
        <v>45212</v>
      </c>
      <c r="D3771" t="inlineStr">
        <is>
          <t>VÄSTRA GÖTALANDS LÄN</t>
        </is>
      </c>
      <c r="E3771" t="inlineStr">
        <is>
          <t>SVENLJUNGA</t>
        </is>
      </c>
      <c r="F3771" t="inlineStr">
        <is>
          <t>Kommuner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65886-2019</t>
        </is>
      </c>
      <c r="B3772" s="1" t="n">
        <v>43805</v>
      </c>
      <c r="C3772" s="1" t="n">
        <v>45212</v>
      </c>
      <c r="D3772" t="inlineStr">
        <is>
          <t>VÄSTRA GÖTALANDS LÄN</t>
        </is>
      </c>
      <c r="E3772" t="inlineStr">
        <is>
          <t>MELLERUD</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66029-2019</t>
        </is>
      </c>
      <c r="B3773" s="1" t="n">
        <v>43805</v>
      </c>
      <c r="C3773" s="1" t="n">
        <v>45212</v>
      </c>
      <c r="D3773" t="inlineStr">
        <is>
          <t>VÄSTRA GÖTALANDS LÄN</t>
        </is>
      </c>
      <c r="E3773" t="inlineStr">
        <is>
          <t>TIDAHOLM</t>
        </is>
      </c>
      <c r="G3773" t="n">
        <v>5.5</v>
      </c>
      <c r="H3773" t="n">
        <v>0</v>
      </c>
      <c r="I3773" t="n">
        <v>0</v>
      </c>
      <c r="J3773" t="n">
        <v>0</v>
      </c>
      <c r="K3773" t="n">
        <v>0</v>
      </c>
      <c r="L3773" t="n">
        <v>0</v>
      </c>
      <c r="M3773" t="n">
        <v>0</v>
      </c>
      <c r="N3773" t="n">
        <v>0</v>
      </c>
      <c r="O3773" t="n">
        <v>0</v>
      </c>
      <c r="P3773" t="n">
        <v>0</v>
      </c>
      <c r="Q3773" t="n">
        <v>0</v>
      </c>
      <c r="R3773" s="2" t="inlineStr"/>
    </row>
    <row r="3774" ht="15" customHeight="1">
      <c r="A3774" t="inlineStr">
        <is>
          <t>A 65928-2019</t>
        </is>
      </c>
      <c r="B3774" s="1" t="n">
        <v>43805</v>
      </c>
      <c r="C3774" s="1" t="n">
        <v>45212</v>
      </c>
      <c r="D3774" t="inlineStr">
        <is>
          <t>VÄSTRA GÖTALANDS LÄN</t>
        </is>
      </c>
      <c r="E3774" t="inlineStr">
        <is>
          <t>GULLSPÅNG</t>
        </is>
      </c>
      <c r="F3774" t="inlineStr">
        <is>
          <t>Kyrkan</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66036-2019</t>
        </is>
      </c>
      <c r="B3775" s="1" t="n">
        <v>43805</v>
      </c>
      <c r="C3775" s="1" t="n">
        <v>45212</v>
      </c>
      <c r="D3775" t="inlineStr">
        <is>
          <t>VÄSTRA GÖTALANDS LÄN</t>
        </is>
      </c>
      <c r="E3775" t="inlineStr">
        <is>
          <t>TANUM</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65794-2019</t>
        </is>
      </c>
      <c r="B3776" s="1" t="n">
        <v>43805</v>
      </c>
      <c r="C3776" s="1" t="n">
        <v>45212</v>
      </c>
      <c r="D3776" t="inlineStr">
        <is>
          <t>VÄSTRA GÖTALANDS LÄN</t>
        </is>
      </c>
      <c r="E3776" t="inlineStr">
        <is>
          <t>SKÖVDE</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65852-2019</t>
        </is>
      </c>
      <c r="B3777" s="1" t="n">
        <v>43805</v>
      </c>
      <c r="C3777" s="1" t="n">
        <v>45212</v>
      </c>
      <c r="D3777" t="inlineStr">
        <is>
          <t>VÄSTRA GÖTALANDS LÄN</t>
        </is>
      </c>
      <c r="E3777" t="inlineStr">
        <is>
          <t>BENGTSFORS</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66027-2019</t>
        </is>
      </c>
      <c r="B3778" s="1" t="n">
        <v>43805</v>
      </c>
      <c r="C3778" s="1" t="n">
        <v>45212</v>
      </c>
      <c r="D3778" t="inlineStr">
        <is>
          <t>VÄSTRA GÖTALANDS LÄN</t>
        </is>
      </c>
      <c r="E3778" t="inlineStr">
        <is>
          <t>TIDAHOLM</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66114-2019</t>
        </is>
      </c>
      <c r="B3779" s="1" t="n">
        <v>43808</v>
      </c>
      <c r="C3779" s="1" t="n">
        <v>45212</v>
      </c>
      <c r="D3779" t="inlineStr">
        <is>
          <t>VÄSTRA GÖTALANDS LÄN</t>
        </is>
      </c>
      <c r="E3779" t="inlineStr">
        <is>
          <t>SKÖVDE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67603-2019</t>
        </is>
      </c>
      <c r="B3780" s="1" t="n">
        <v>43808</v>
      </c>
      <c r="C3780" s="1" t="n">
        <v>45212</v>
      </c>
      <c r="D3780" t="inlineStr">
        <is>
          <t>VÄSTRA GÖTALANDS LÄN</t>
        </is>
      </c>
      <c r="E3780" t="inlineStr">
        <is>
          <t>BORÅS</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67627-2019</t>
        </is>
      </c>
      <c r="B3781" s="1" t="n">
        <v>43808</v>
      </c>
      <c r="C3781" s="1" t="n">
        <v>45212</v>
      </c>
      <c r="D3781" t="inlineStr">
        <is>
          <t>VÄSTRA GÖTALANDS LÄN</t>
        </is>
      </c>
      <c r="E3781" t="inlineStr">
        <is>
          <t>BORÅS</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67622-2019</t>
        </is>
      </c>
      <c r="B3782" s="1" t="n">
        <v>43808</v>
      </c>
      <c r="C3782" s="1" t="n">
        <v>45212</v>
      </c>
      <c r="D3782" t="inlineStr">
        <is>
          <t>VÄSTRA GÖTALANDS LÄN</t>
        </is>
      </c>
      <c r="E3782" t="inlineStr">
        <is>
          <t>BORÅS</t>
        </is>
      </c>
      <c r="G3782" t="n">
        <v>1.4</v>
      </c>
      <c r="H3782" t="n">
        <v>0</v>
      </c>
      <c r="I3782" t="n">
        <v>0</v>
      </c>
      <c r="J3782" t="n">
        <v>0</v>
      </c>
      <c r="K3782" t="n">
        <v>0</v>
      </c>
      <c r="L3782" t="n">
        <v>0</v>
      </c>
      <c r="M3782" t="n">
        <v>0</v>
      </c>
      <c r="N3782" t="n">
        <v>0</v>
      </c>
      <c r="O3782" t="n">
        <v>0</v>
      </c>
      <c r="P3782" t="n">
        <v>0</v>
      </c>
      <c r="Q3782" t="n">
        <v>0</v>
      </c>
      <c r="R3782" s="2" t="inlineStr"/>
    </row>
    <row r="3783" ht="15" customHeight="1">
      <c r="A3783" t="inlineStr">
        <is>
          <t>A 67335-2019</t>
        </is>
      </c>
      <c r="B3783" s="1" t="n">
        <v>43808</v>
      </c>
      <c r="C3783" s="1" t="n">
        <v>45212</v>
      </c>
      <c r="D3783" t="inlineStr">
        <is>
          <t>VÄSTRA GÖTALANDS LÄN</t>
        </is>
      </c>
      <c r="E3783" t="inlineStr">
        <is>
          <t>BORÅS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67600-2019</t>
        </is>
      </c>
      <c r="B3784" s="1" t="n">
        <v>43808</v>
      </c>
      <c r="C3784" s="1" t="n">
        <v>45212</v>
      </c>
      <c r="D3784" t="inlineStr">
        <is>
          <t>VÄSTRA GÖTALANDS LÄN</t>
        </is>
      </c>
      <c r="E3784" t="inlineStr">
        <is>
          <t>BORÅS</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67623-2019</t>
        </is>
      </c>
      <c r="B3785" s="1" t="n">
        <v>43808</v>
      </c>
      <c r="C3785" s="1" t="n">
        <v>45212</v>
      </c>
      <c r="D3785" t="inlineStr">
        <is>
          <t>VÄSTRA GÖTALANDS LÄN</t>
        </is>
      </c>
      <c r="E3785" t="inlineStr">
        <is>
          <t>BORÅS</t>
        </is>
      </c>
      <c r="G3785" t="n">
        <v>2.1</v>
      </c>
      <c r="H3785" t="n">
        <v>0</v>
      </c>
      <c r="I3785" t="n">
        <v>0</v>
      </c>
      <c r="J3785" t="n">
        <v>0</v>
      </c>
      <c r="K3785" t="n">
        <v>0</v>
      </c>
      <c r="L3785" t="n">
        <v>0</v>
      </c>
      <c r="M3785" t="n">
        <v>0</v>
      </c>
      <c r="N3785" t="n">
        <v>0</v>
      </c>
      <c r="O3785" t="n">
        <v>0</v>
      </c>
      <c r="P3785" t="n">
        <v>0</v>
      </c>
      <c r="Q3785" t="n">
        <v>0</v>
      </c>
      <c r="R3785" s="2" t="inlineStr"/>
    </row>
    <row r="3786" ht="15" customHeight="1">
      <c r="A3786" t="inlineStr">
        <is>
          <t>A 67648-2019</t>
        </is>
      </c>
      <c r="B3786" s="1" t="n">
        <v>43809</v>
      </c>
      <c r="C3786" s="1" t="n">
        <v>45212</v>
      </c>
      <c r="D3786" t="inlineStr">
        <is>
          <t>VÄSTRA GÖTALANDS LÄN</t>
        </is>
      </c>
      <c r="E3786" t="inlineStr">
        <is>
          <t>BENGTSFORS</t>
        </is>
      </c>
      <c r="F3786" t="inlineStr">
        <is>
          <t>Kyrkan</t>
        </is>
      </c>
      <c r="G3786" t="n">
        <v>4.8</v>
      </c>
      <c r="H3786" t="n">
        <v>0</v>
      </c>
      <c r="I3786" t="n">
        <v>0</v>
      </c>
      <c r="J3786" t="n">
        <v>0</v>
      </c>
      <c r="K3786" t="n">
        <v>0</v>
      </c>
      <c r="L3786" t="n">
        <v>0</v>
      </c>
      <c r="M3786" t="n">
        <v>0</v>
      </c>
      <c r="N3786" t="n">
        <v>0</v>
      </c>
      <c r="O3786" t="n">
        <v>0</v>
      </c>
      <c r="P3786" t="n">
        <v>0</v>
      </c>
      <c r="Q3786" t="n">
        <v>0</v>
      </c>
      <c r="R3786" s="2" t="inlineStr"/>
    </row>
    <row r="3787" ht="15" customHeight="1">
      <c r="A3787" t="inlineStr">
        <is>
          <t>A 66610-2019</t>
        </is>
      </c>
      <c r="B3787" s="1" t="n">
        <v>43809</v>
      </c>
      <c r="C3787" s="1" t="n">
        <v>45212</v>
      </c>
      <c r="D3787" t="inlineStr">
        <is>
          <t>VÄSTRA GÖTALANDS LÄN</t>
        </is>
      </c>
      <c r="E3787" t="inlineStr">
        <is>
          <t>BENGTSFORS</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66408-2019</t>
        </is>
      </c>
      <c r="B3788" s="1" t="n">
        <v>43809</v>
      </c>
      <c r="C3788" s="1" t="n">
        <v>45212</v>
      </c>
      <c r="D3788" t="inlineStr">
        <is>
          <t>VÄSTRA GÖTALANDS LÄN</t>
        </is>
      </c>
      <c r="E3788" t="inlineStr">
        <is>
          <t>MARK</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66692-2019</t>
        </is>
      </c>
      <c r="B3789" s="1" t="n">
        <v>43809</v>
      </c>
      <c r="C3789" s="1" t="n">
        <v>45212</v>
      </c>
      <c r="D3789" t="inlineStr">
        <is>
          <t>VÄSTRA GÖTALANDS LÄN</t>
        </is>
      </c>
      <c r="E3789" t="inlineStr">
        <is>
          <t>TANUM</t>
        </is>
      </c>
      <c r="G3789" t="n">
        <v>5.2</v>
      </c>
      <c r="H3789" t="n">
        <v>0</v>
      </c>
      <c r="I3789" t="n">
        <v>0</v>
      </c>
      <c r="J3789" t="n">
        <v>0</v>
      </c>
      <c r="K3789" t="n">
        <v>0</v>
      </c>
      <c r="L3789" t="n">
        <v>0</v>
      </c>
      <c r="M3789" t="n">
        <v>0</v>
      </c>
      <c r="N3789" t="n">
        <v>0</v>
      </c>
      <c r="O3789" t="n">
        <v>0</v>
      </c>
      <c r="P3789" t="n">
        <v>0</v>
      </c>
      <c r="Q3789" t="n">
        <v>0</v>
      </c>
      <c r="R3789" s="2" t="inlineStr"/>
    </row>
    <row r="3790" ht="15" customHeight="1">
      <c r="A3790" t="inlineStr">
        <is>
          <t>A 66678-2019</t>
        </is>
      </c>
      <c r="B3790" s="1" t="n">
        <v>43809</v>
      </c>
      <c r="C3790" s="1" t="n">
        <v>45212</v>
      </c>
      <c r="D3790" t="inlineStr">
        <is>
          <t>VÄSTRA GÖTALANDS LÄN</t>
        </is>
      </c>
      <c r="E3790" t="inlineStr">
        <is>
          <t>TROLLHÄTTAN</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67845-2019</t>
        </is>
      </c>
      <c r="B3791" s="1" t="n">
        <v>43810</v>
      </c>
      <c r="C3791" s="1" t="n">
        <v>45212</v>
      </c>
      <c r="D3791" t="inlineStr">
        <is>
          <t>VÄSTRA GÖTALANDS LÄN</t>
        </is>
      </c>
      <c r="E3791" t="inlineStr">
        <is>
          <t>FÄRGELANDA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66797-2019</t>
        </is>
      </c>
      <c r="B3792" s="1" t="n">
        <v>43810</v>
      </c>
      <c r="C3792" s="1" t="n">
        <v>45212</v>
      </c>
      <c r="D3792" t="inlineStr">
        <is>
          <t>VÄSTRA GÖTALANDS LÄN</t>
        </is>
      </c>
      <c r="E3792" t="inlineStr">
        <is>
          <t>UDDEVALLA</t>
        </is>
      </c>
      <c r="G3792" t="n">
        <v>8.9</v>
      </c>
      <c r="H3792" t="n">
        <v>0</v>
      </c>
      <c r="I3792" t="n">
        <v>0</v>
      </c>
      <c r="J3792" t="n">
        <v>0</v>
      </c>
      <c r="K3792" t="n">
        <v>0</v>
      </c>
      <c r="L3792" t="n">
        <v>0</v>
      </c>
      <c r="M3792" t="n">
        <v>0</v>
      </c>
      <c r="N3792" t="n">
        <v>0</v>
      </c>
      <c r="O3792" t="n">
        <v>0</v>
      </c>
      <c r="P3792" t="n">
        <v>0</v>
      </c>
      <c r="Q3792" t="n">
        <v>0</v>
      </c>
      <c r="R3792" s="2" t="inlineStr"/>
    </row>
    <row r="3793" ht="15" customHeight="1">
      <c r="A3793" t="inlineStr">
        <is>
          <t>A 67760-2019</t>
        </is>
      </c>
      <c r="B3793" s="1" t="n">
        <v>43810</v>
      </c>
      <c r="C3793" s="1" t="n">
        <v>45212</v>
      </c>
      <c r="D3793" t="inlineStr">
        <is>
          <t>VÄSTRA GÖTALANDS LÄN</t>
        </is>
      </c>
      <c r="E3793" t="inlineStr">
        <is>
          <t>KARLSBORG</t>
        </is>
      </c>
      <c r="G3793" t="n">
        <v>6.4</v>
      </c>
      <c r="H3793" t="n">
        <v>0</v>
      </c>
      <c r="I3793" t="n">
        <v>0</v>
      </c>
      <c r="J3793" t="n">
        <v>0</v>
      </c>
      <c r="K3793" t="n">
        <v>0</v>
      </c>
      <c r="L3793" t="n">
        <v>0</v>
      </c>
      <c r="M3793" t="n">
        <v>0</v>
      </c>
      <c r="N3793" t="n">
        <v>0</v>
      </c>
      <c r="O3793" t="n">
        <v>0</v>
      </c>
      <c r="P3793" t="n">
        <v>0</v>
      </c>
      <c r="Q3793" t="n">
        <v>0</v>
      </c>
      <c r="R3793" s="2" t="inlineStr"/>
    </row>
    <row r="3794" ht="15" customHeight="1">
      <c r="A3794" t="inlineStr">
        <is>
          <t>A 66947-2019</t>
        </is>
      </c>
      <c r="B3794" s="1" t="n">
        <v>43810</v>
      </c>
      <c r="C3794" s="1" t="n">
        <v>45212</v>
      </c>
      <c r="D3794" t="inlineStr">
        <is>
          <t>VÄSTRA GÖTALANDS LÄN</t>
        </is>
      </c>
      <c r="E3794" t="inlineStr">
        <is>
          <t>BOLLEBYGD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66741-2019</t>
        </is>
      </c>
      <c r="B3795" s="1" t="n">
        <v>43810</v>
      </c>
      <c r="C3795" s="1" t="n">
        <v>45212</v>
      </c>
      <c r="D3795" t="inlineStr">
        <is>
          <t>VÄSTRA GÖTALANDS LÄN</t>
        </is>
      </c>
      <c r="E3795" t="inlineStr">
        <is>
          <t>LILLA EDET</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66956-2019</t>
        </is>
      </c>
      <c r="B3796" s="1" t="n">
        <v>43810</v>
      </c>
      <c r="C3796" s="1" t="n">
        <v>45212</v>
      </c>
      <c r="D3796" t="inlineStr">
        <is>
          <t>VÄSTRA GÖTALANDS LÄN</t>
        </is>
      </c>
      <c r="E3796" t="inlineStr">
        <is>
          <t>MELLERUD</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67850-2019</t>
        </is>
      </c>
      <c r="B3797" s="1" t="n">
        <v>43810</v>
      </c>
      <c r="C3797" s="1" t="n">
        <v>45212</v>
      </c>
      <c r="D3797" t="inlineStr">
        <is>
          <t>VÄSTRA GÖTALANDS LÄN</t>
        </is>
      </c>
      <c r="E3797" t="inlineStr">
        <is>
          <t>FÄRGELANDA</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67026-2019</t>
        </is>
      </c>
      <c r="B3798" s="1" t="n">
        <v>43811</v>
      </c>
      <c r="C3798" s="1" t="n">
        <v>45212</v>
      </c>
      <c r="D3798" t="inlineStr">
        <is>
          <t>VÄSTRA GÖTALANDS LÄN</t>
        </is>
      </c>
      <c r="E3798" t="inlineStr">
        <is>
          <t>GULLSPÅNG</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67036-2019</t>
        </is>
      </c>
      <c r="B3799" s="1" t="n">
        <v>43811</v>
      </c>
      <c r="C3799" s="1" t="n">
        <v>45212</v>
      </c>
      <c r="D3799" t="inlineStr">
        <is>
          <t>VÄSTRA GÖTALANDS LÄN</t>
        </is>
      </c>
      <c r="E3799" t="inlineStr">
        <is>
          <t>GULLSPÅNG</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67129-2019</t>
        </is>
      </c>
      <c r="B3800" s="1" t="n">
        <v>43811</v>
      </c>
      <c r="C3800" s="1" t="n">
        <v>45212</v>
      </c>
      <c r="D3800" t="inlineStr">
        <is>
          <t>VÄSTRA GÖTALANDS LÄN</t>
        </is>
      </c>
      <c r="E3800" t="inlineStr">
        <is>
          <t>BENGTSFORS</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68007-2019</t>
        </is>
      </c>
      <c r="B3801" s="1" t="n">
        <v>43811</v>
      </c>
      <c r="C3801" s="1" t="n">
        <v>45212</v>
      </c>
      <c r="D3801" t="inlineStr">
        <is>
          <t>VÄSTRA GÖTALANDS LÄN</t>
        </is>
      </c>
      <c r="E3801" t="inlineStr">
        <is>
          <t>TANUM</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67030-2019</t>
        </is>
      </c>
      <c r="B3802" s="1" t="n">
        <v>43811</v>
      </c>
      <c r="C3802" s="1" t="n">
        <v>45212</v>
      </c>
      <c r="D3802" t="inlineStr">
        <is>
          <t>VÄSTRA GÖTALANDS LÄN</t>
        </is>
      </c>
      <c r="E3802" t="inlineStr">
        <is>
          <t>GULLSPÅNG</t>
        </is>
      </c>
      <c r="G3802" t="n">
        <v>1.5</v>
      </c>
      <c r="H3802" t="n">
        <v>0</v>
      </c>
      <c r="I3802" t="n">
        <v>0</v>
      </c>
      <c r="J3802" t="n">
        <v>0</v>
      </c>
      <c r="K3802" t="n">
        <v>0</v>
      </c>
      <c r="L3802" t="n">
        <v>0</v>
      </c>
      <c r="M3802" t="n">
        <v>0</v>
      </c>
      <c r="N3802" t="n">
        <v>0</v>
      </c>
      <c r="O3802" t="n">
        <v>0</v>
      </c>
      <c r="P3802" t="n">
        <v>0</v>
      </c>
      <c r="Q3802" t="n">
        <v>0</v>
      </c>
      <c r="R3802" s="2" t="inlineStr"/>
    </row>
    <row r="3803" ht="15" customHeight="1">
      <c r="A3803" t="inlineStr">
        <is>
          <t>A 67074-2019</t>
        </is>
      </c>
      <c r="B3803" s="1" t="n">
        <v>43811</v>
      </c>
      <c r="C3803" s="1" t="n">
        <v>45212</v>
      </c>
      <c r="D3803" t="inlineStr">
        <is>
          <t>VÄSTRA GÖTALANDS LÄN</t>
        </is>
      </c>
      <c r="E3803" t="inlineStr">
        <is>
          <t>FÄRGELANDA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67177-2019</t>
        </is>
      </c>
      <c r="B3804" s="1" t="n">
        <v>43811</v>
      </c>
      <c r="C3804" s="1" t="n">
        <v>45212</v>
      </c>
      <c r="D3804" t="inlineStr">
        <is>
          <t>VÄSTRA GÖTALANDS LÄN</t>
        </is>
      </c>
      <c r="E3804" t="inlineStr">
        <is>
          <t>VÄNERSBORG</t>
        </is>
      </c>
      <c r="G3804" t="n">
        <v>3.2</v>
      </c>
      <c r="H3804" t="n">
        <v>0</v>
      </c>
      <c r="I3804" t="n">
        <v>0</v>
      </c>
      <c r="J3804" t="n">
        <v>0</v>
      </c>
      <c r="K3804" t="n">
        <v>0</v>
      </c>
      <c r="L3804" t="n">
        <v>0</v>
      </c>
      <c r="M3804" t="n">
        <v>0</v>
      </c>
      <c r="N3804" t="n">
        <v>0</v>
      </c>
      <c r="O3804" t="n">
        <v>0</v>
      </c>
      <c r="P3804" t="n">
        <v>0</v>
      </c>
      <c r="Q3804" t="n">
        <v>0</v>
      </c>
      <c r="R3804" s="2" t="inlineStr"/>
    </row>
    <row r="3805" ht="15" customHeight="1">
      <c r="A3805" t="inlineStr">
        <is>
          <t>A 67040-2019</t>
        </is>
      </c>
      <c r="B3805" s="1" t="n">
        <v>43811</v>
      </c>
      <c r="C3805" s="1" t="n">
        <v>45212</v>
      </c>
      <c r="D3805" t="inlineStr">
        <is>
          <t>VÄSTRA GÖTALANDS LÄN</t>
        </is>
      </c>
      <c r="E3805" t="inlineStr">
        <is>
          <t>BOLLEBYGD</t>
        </is>
      </c>
      <c r="G3805" t="n">
        <v>5.5</v>
      </c>
      <c r="H3805" t="n">
        <v>0</v>
      </c>
      <c r="I3805" t="n">
        <v>0</v>
      </c>
      <c r="J3805" t="n">
        <v>0</v>
      </c>
      <c r="K3805" t="n">
        <v>0</v>
      </c>
      <c r="L3805" t="n">
        <v>0</v>
      </c>
      <c r="M3805" t="n">
        <v>0</v>
      </c>
      <c r="N3805" t="n">
        <v>0</v>
      </c>
      <c r="O3805" t="n">
        <v>0</v>
      </c>
      <c r="P3805" t="n">
        <v>0</v>
      </c>
      <c r="Q3805" t="n">
        <v>0</v>
      </c>
      <c r="R3805" s="2" t="inlineStr"/>
    </row>
    <row r="3806" ht="15" customHeight="1">
      <c r="A3806" t="inlineStr">
        <is>
          <t>A 68004-2019</t>
        </is>
      </c>
      <c r="B3806" s="1" t="n">
        <v>43811</v>
      </c>
      <c r="C3806" s="1" t="n">
        <v>45212</v>
      </c>
      <c r="D3806" t="inlineStr">
        <is>
          <t>VÄSTRA GÖTALANDS LÄN</t>
        </is>
      </c>
      <c r="E3806" t="inlineStr">
        <is>
          <t>TANUM</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66978-2019</t>
        </is>
      </c>
      <c r="B3807" s="1" t="n">
        <v>43811</v>
      </c>
      <c r="C3807" s="1" t="n">
        <v>45212</v>
      </c>
      <c r="D3807" t="inlineStr">
        <is>
          <t>VÄSTRA GÖTALANDS LÄN</t>
        </is>
      </c>
      <c r="E3807" t="inlineStr">
        <is>
          <t>TANUM</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67002-2019</t>
        </is>
      </c>
      <c r="B3808" s="1" t="n">
        <v>43811</v>
      </c>
      <c r="C3808" s="1" t="n">
        <v>45212</v>
      </c>
      <c r="D3808" t="inlineStr">
        <is>
          <t>VÄSTRA GÖTALANDS LÄN</t>
        </is>
      </c>
      <c r="E3808" t="inlineStr">
        <is>
          <t>BOLLEBYGD</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67096-2019</t>
        </is>
      </c>
      <c r="B3809" s="1" t="n">
        <v>43811</v>
      </c>
      <c r="C3809" s="1" t="n">
        <v>45212</v>
      </c>
      <c r="D3809" t="inlineStr">
        <is>
          <t>VÄSTRA GÖTALANDS LÄN</t>
        </is>
      </c>
      <c r="E3809" t="inlineStr">
        <is>
          <t>TRANEMO</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68753-2019</t>
        </is>
      </c>
      <c r="B3810" s="1" t="n">
        <v>43812</v>
      </c>
      <c r="C3810" s="1" t="n">
        <v>45212</v>
      </c>
      <c r="D3810" t="inlineStr">
        <is>
          <t>VÄSTRA GÖTALANDS LÄN</t>
        </is>
      </c>
      <c r="E3810" t="inlineStr">
        <is>
          <t>TANUM</t>
        </is>
      </c>
      <c r="F3810" t="inlineStr">
        <is>
          <t>Kyrkan</t>
        </is>
      </c>
      <c r="G3810" t="n">
        <v>8</v>
      </c>
      <c r="H3810" t="n">
        <v>0</v>
      </c>
      <c r="I3810" t="n">
        <v>0</v>
      </c>
      <c r="J3810" t="n">
        <v>0</v>
      </c>
      <c r="K3810" t="n">
        <v>0</v>
      </c>
      <c r="L3810" t="n">
        <v>0</v>
      </c>
      <c r="M3810" t="n">
        <v>0</v>
      </c>
      <c r="N3810" t="n">
        <v>0</v>
      </c>
      <c r="O3810" t="n">
        <v>0</v>
      </c>
      <c r="P3810" t="n">
        <v>0</v>
      </c>
      <c r="Q3810" t="n">
        <v>0</v>
      </c>
      <c r="R3810" s="2" t="inlineStr"/>
    </row>
    <row r="3811" ht="15" customHeight="1">
      <c r="A3811" t="inlineStr">
        <is>
          <t>A 67349-2019</t>
        </is>
      </c>
      <c r="B3811" s="1" t="n">
        <v>43812</v>
      </c>
      <c r="C3811" s="1" t="n">
        <v>45212</v>
      </c>
      <c r="D3811" t="inlineStr">
        <is>
          <t>VÄSTRA GÖTALANDS LÄN</t>
        </is>
      </c>
      <c r="E3811" t="inlineStr">
        <is>
          <t>UDDEVALLA</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67288-2019</t>
        </is>
      </c>
      <c r="B3812" s="1" t="n">
        <v>43812</v>
      </c>
      <c r="C3812" s="1" t="n">
        <v>45212</v>
      </c>
      <c r="D3812" t="inlineStr">
        <is>
          <t>VÄSTRA GÖTALANDS LÄN</t>
        </is>
      </c>
      <c r="E3812" t="inlineStr">
        <is>
          <t>MUNKEDAL</t>
        </is>
      </c>
      <c r="G3812" t="n">
        <v>5.5</v>
      </c>
      <c r="H3812" t="n">
        <v>0</v>
      </c>
      <c r="I3812" t="n">
        <v>0</v>
      </c>
      <c r="J3812" t="n">
        <v>0</v>
      </c>
      <c r="K3812" t="n">
        <v>0</v>
      </c>
      <c r="L3812" t="n">
        <v>0</v>
      </c>
      <c r="M3812" t="n">
        <v>0</v>
      </c>
      <c r="N3812" t="n">
        <v>0</v>
      </c>
      <c r="O3812" t="n">
        <v>0</v>
      </c>
      <c r="P3812" t="n">
        <v>0</v>
      </c>
      <c r="Q3812" t="n">
        <v>0</v>
      </c>
      <c r="R3812" s="2" t="inlineStr"/>
    </row>
    <row r="3813" ht="15" customHeight="1">
      <c r="A3813" t="inlineStr">
        <is>
          <t>A 68762-2019</t>
        </is>
      </c>
      <c r="B3813" s="1" t="n">
        <v>43812</v>
      </c>
      <c r="C3813" s="1" t="n">
        <v>45212</v>
      </c>
      <c r="D3813" t="inlineStr">
        <is>
          <t>VÄSTRA GÖTALANDS LÄN</t>
        </is>
      </c>
      <c r="E3813" t="inlineStr">
        <is>
          <t>TANUM</t>
        </is>
      </c>
      <c r="F3813" t="inlineStr">
        <is>
          <t>Kyrkan</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67282-2019</t>
        </is>
      </c>
      <c r="B3814" s="1" t="n">
        <v>43812</v>
      </c>
      <c r="C3814" s="1" t="n">
        <v>45212</v>
      </c>
      <c r="D3814" t="inlineStr">
        <is>
          <t>VÄSTRA GÖTALANDS LÄN</t>
        </is>
      </c>
      <c r="E3814" t="inlineStr">
        <is>
          <t>TANUM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67353-2019</t>
        </is>
      </c>
      <c r="B3815" s="1" t="n">
        <v>43812</v>
      </c>
      <c r="C3815" s="1" t="n">
        <v>45212</v>
      </c>
      <c r="D3815" t="inlineStr">
        <is>
          <t>VÄSTRA GÖTALANDS LÄN</t>
        </is>
      </c>
      <c r="E3815" t="inlineStr">
        <is>
          <t>FALKÖPING</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67421-2019</t>
        </is>
      </c>
      <c r="B3816" s="1" t="n">
        <v>43812</v>
      </c>
      <c r="C3816" s="1" t="n">
        <v>45212</v>
      </c>
      <c r="D3816" t="inlineStr">
        <is>
          <t>VÄSTRA GÖTALANDS LÄN</t>
        </is>
      </c>
      <c r="E3816" t="inlineStr">
        <is>
          <t>BENGTSFORS</t>
        </is>
      </c>
      <c r="G3816" t="n">
        <v>3.8</v>
      </c>
      <c r="H3816" t="n">
        <v>0</v>
      </c>
      <c r="I3816" t="n">
        <v>0</v>
      </c>
      <c r="J3816" t="n">
        <v>0</v>
      </c>
      <c r="K3816" t="n">
        <v>0</v>
      </c>
      <c r="L3816" t="n">
        <v>0</v>
      </c>
      <c r="M3816" t="n">
        <v>0</v>
      </c>
      <c r="N3816" t="n">
        <v>0</v>
      </c>
      <c r="O3816" t="n">
        <v>0</v>
      </c>
      <c r="P3816" t="n">
        <v>0</v>
      </c>
      <c r="Q3816" t="n">
        <v>0</v>
      </c>
      <c r="R3816" s="2" t="inlineStr"/>
    </row>
    <row r="3817" ht="15" customHeight="1">
      <c r="A3817" t="inlineStr">
        <is>
          <t>A 67687-2019</t>
        </is>
      </c>
      <c r="B3817" s="1" t="n">
        <v>43815</v>
      </c>
      <c r="C3817" s="1" t="n">
        <v>45212</v>
      </c>
      <c r="D3817" t="inlineStr">
        <is>
          <t>VÄSTRA GÖTALANDS LÄN</t>
        </is>
      </c>
      <c r="E3817" t="inlineStr">
        <is>
          <t>BENGTSFORS</t>
        </is>
      </c>
      <c r="G3817" t="n">
        <v>5.4</v>
      </c>
      <c r="H3817" t="n">
        <v>0</v>
      </c>
      <c r="I3817" t="n">
        <v>0</v>
      </c>
      <c r="J3817" t="n">
        <v>0</v>
      </c>
      <c r="K3817" t="n">
        <v>0</v>
      </c>
      <c r="L3817" t="n">
        <v>0</v>
      </c>
      <c r="M3817" t="n">
        <v>0</v>
      </c>
      <c r="N3817" t="n">
        <v>0</v>
      </c>
      <c r="O3817" t="n">
        <v>0</v>
      </c>
      <c r="P3817" t="n">
        <v>0</v>
      </c>
      <c r="Q3817" t="n">
        <v>0</v>
      </c>
      <c r="R3817" s="2" t="inlineStr"/>
    </row>
    <row r="3818" ht="15" customHeight="1">
      <c r="A3818" t="inlineStr">
        <is>
          <t>A 67831-2019</t>
        </is>
      </c>
      <c r="B3818" s="1" t="n">
        <v>43815</v>
      </c>
      <c r="C3818" s="1" t="n">
        <v>45212</v>
      </c>
      <c r="D3818" t="inlineStr">
        <is>
          <t>VÄSTRA GÖTALANDS LÄN</t>
        </is>
      </c>
      <c r="E3818" t="inlineStr">
        <is>
          <t>UDDEVALLA</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67685-2019</t>
        </is>
      </c>
      <c r="B3819" s="1" t="n">
        <v>43815</v>
      </c>
      <c r="C3819" s="1" t="n">
        <v>45212</v>
      </c>
      <c r="D3819" t="inlineStr">
        <is>
          <t>VÄSTRA GÖTALANDS LÄN</t>
        </is>
      </c>
      <c r="E3819" t="inlineStr">
        <is>
          <t>BENGTSFORS</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67771-2019</t>
        </is>
      </c>
      <c r="B3820" s="1" t="n">
        <v>43815</v>
      </c>
      <c r="C3820" s="1" t="n">
        <v>45212</v>
      </c>
      <c r="D3820" t="inlineStr">
        <is>
          <t>VÄSTRA GÖTALANDS LÄN</t>
        </is>
      </c>
      <c r="E3820" t="inlineStr">
        <is>
          <t>KARLSBORG</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67629-2019</t>
        </is>
      </c>
      <c r="B3821" s="1" t="n">
        <v>43815</v>
      </c>
      <c r="C3821" s="1" t="n">
        <v>45212</v>
      </c>
      <c r="D3821" t="inlineStr">
        <is>
          <t>VÄSTRA GÖTALANDS LÄN</t>
        </is>
      </c>
      <c r="E3821" t="inlineStr">
        <is>
          <t>TROLLHÄTTAN</t>
        </is>
      </c>
      <c r="F3821" t="inlineStr">
        <is>
          <t>Kommuner</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67645-2019</t>
        </is>
      </c>
      <c r="B3822" s="1" t="n">
        <v>43815</v>
      </c>
      <c r="C3822" s="1" t="n">
        <v>45212</v>
      </c>
      <c r="D3822" t="inlineStr">
        <is>
          <t>VÄSTRA GÖTALANDS LÄN</t>
        </is>
      </c>
      <c r="E3822" t="inlineStr">
        <is>
          <t>SKARA</t>
        </is>
      </c>
      <c r="G3822" t="n">
        <v>7.3</v>
      </c>
      <c r="H3822" t="n">
        <v>0</v>
      </c>
      <c r="I3822" t="n">
        <v>0</v>
      </c>
      <c r="J3822" t="n">
        <v>0</v>
      </c>
      <c r="K3822" t="n">
        <v>0</v>
      </c>
      <c r="L3822" t="n">
        <v>0</v>
      </c>
      <c r="M3822" t="n">
        <v>0</v>
      </c>
      <c r="N3822" t="n">
        <v>0</v>
      </c>
      <c r="O3822" t="n">
        <v>0</v>
      </c>
      <c r="P3822" t="n">
        <v>0</v>
      </c>
      <c r="Q3822" t="n">
        <v>0</v>
      </c>
      <c r="R3822" s="2" t="inlineStr"/>
    </row>
    <row r="3823" ht="15" customHeight="1">
      <c r="A3823" t="inlineStr">
        <is>
          <t>A 67767-2019</t>
        </is>
      </c>
      <c r="B3823" s="1" t="n">
        <v>43815</v>
      </c>
      <c r="C3823" s="1" t="n">
        <v>45212</v>
      </c>
      <c r="D3823" t="inlineStr">
        <is>
          <t>VÄSTRA GÖTALANDS LÄN</t>
        </is>
      </c>
      <c r="E3823" t="inlineStr">
        <is>
          <t>KARLSBORG</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67977-2019</t>
        </is>
      </c>
      <c r="B3824" s="1" t="n">
        <v>43816</v>
      </c>
      <c r="C3824" s="1" t="n">
        <v>45212</v>
      </c>
      <c r="D3824" t="inlineStr">
        <is>
          <t>VÄSTRA GÖTALANDS LÄN</t>
        </is>
      </c>
      <c r="E3824" t="inlineStr">
        <is>
          <t>MARK</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67895-2019</t>
        </is>
      </c>
      <c r="B3825" s="1" t="n">
        <v>43816</v>
      </c>
      <c r="C3825" s="1" t="n">
        <v>45212</v>
      </c>
      <c r="D3825" t="inlineStr">
        <is>
          <t>VÄSTRA GÖTALANDS LÄN</t>
        </is>
      </c>
      <c r="E3825" t="inlineStr">
        <is>
          <t>ALINGSÅS</t>
        </is>
      </c>
      <c r="G3825" t="n">
        <v>3.2</v>
      </c>
      <c r="H3825" t="n">
        <v>0</v>
      </c>
      <c r="I3825" t="n">
        <v>0</v>
      </c>
      <c r="J3825" t="n">
        <v>0</v>
      </c>
      <c r="K3825" t="n">
        <v>0</v>
      </c>
      <c r="L3825" t="n">
        <v>0</v>
      </c>
      <c r="M3825" t="n">
        <v>0</v>
      </c>
      <c r="N3825" t="n">
        <v>0</v>
      </c>
      <c r="O3825" t="n">
        <v>0</v>
      </c>
      <c r="P3825" t="n">
        <v>0</v>
      </c>
      <c r="Q3825" t="n">
        <v>0</v>
      </c>
      <c r="R3825" s="2" t="inlineStr"/>
    </row>
    <row r="3826" ht="15" customHeight="1">
      <c r="A3826" t="inlineStr">
        <is>
          <t>A 67925-2019</t>
        </is>
      </c>
      <c r="B3826" s="1" t="n">
        <v>43816</v>
      </c>
      <c r="C3826" s="1" t="n">
        <v>45212</v>
      </c>
      <c r="D3826" t="inlineStr">
        <is>
          <t>VÄSTRA GÖTALANDS LÄN</t>
        </is>
      </c>
      <c r="E3826" t="inlineStr">
        <is>
          <t>SKARA</t>
        </is>
      </c>
      <c r="F3826" t="inlineStr">
        <is>
          <t>Övriga statliga verk och myndigheter</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67973-2019</t>
        </is>
      </c>
      <c r="B3827" s="1" t="n">
        <v>43816</v>
      </c>
      <c r="C3827" s="1" t="n">
        <v>45212</v>
      </c>
      <c r="D3827" t="inlineStr">
        <is>
          <t>VÄSTRA GÖTALANDS LÄN</t>
        </is>
      </c>
      <c r="E3827" t="inlineStr">
        <is>
          <t>MARK</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68068-2019</t>
        </is>
      </c>
      <c r="B3828" s="1" t="n">
        <v>43816</v>
      </c>
      <c r="C3828" s="1" t="n">
        <v>45212</v>
      </c>
      <c r="D3828" t="inlineStr">
        <is>
          <t>VÄSTRA GÖTALANDS LÄN</t>
        </is>
      </c>
      <c r="E3828" t="inlineStr">
        <is>
          <t>GULLSPÅNG</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67836-2019</t>
        </is>
      </c>
      <c r="B3829" s="1" t="n">
        <v>43816</v>
      </c>
      <c r="C3829" s="1" t="n">
        <v>45212</v>
      </c>
      <c r="D3829" t="inlineStr">
        <is>
          <t>VÄSTRA GÖTALANDS LÄN</t>
        </is>
      </c>
      <c r="E3829" t="inlineStr">
        <is>
          <t>ÅMÅL</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67868-2019</t>
        </is>
      </c>
      <c r="B3830" s="1" t="n">
        <v>43816</v>
      </c>
      <c r="C3830" s="1" t="n">
        <v>45212</v>
      </c>
      <c r="D3830" t="inlineStr">
        <is>
          <t>VÄSTRA GÖTALANDS LÄN</t>
        </is>
      </c>
      <c r="E3830" t="inlineStr">
        <is>
          <t>DALS-ED</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67890-2019</t>
        </is>
      </c>
      <c r="B3831" s="1" t="n">
        <v>43816</v>
      </c>
      <c r="C3831" s="1" t="n">
        <v>45212</v>
      </c>
      <c r="D3831" t="inlineStr">
        <is>
          <t>VÄSTRA GÖTALANDS LÄN</t>
        </is>
      </c>
      <c r="E3831" t="inlineStr">
        <is>
          <t>VÄNERSBORG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67923-2019</t>
        </is>
      </c>
      <c r="B3832" s="1" t="n">
        <v>43816</v>
      </c>
      <c r="C3832" s="1" t="n">
        <v>45212</v>
      </c>
      <c r="D3832" t="inlineStr">
        <is>
          <t>VÄSTRA GÖTALANDS LÄN</t>
        </is>
      </c>
      <c r="E3832" t="inlineStr">
        <is>
          <t>SKARA</t>
        </is>
      </c>
      <c r="F3832" t="inlineStr">
        <is>
          <t>Övriga statliga verk och myndigheter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68140-2019</t>
        </is>
      </c>
      <c r="B3833" s="1" t="n">
        <v>43817</v>
      </c>
      <c r="C3833" s="1" t="n">
        <v>45212</v>
      </c>
      <c r="D3833" t="inlineStr">
        <is>
          <t>VÄSTRA GÖTALANDS LÄN</t>
        </is>
      </c>
      <c r="E3833" t="inlineStr">
        <is>
          <t>BENGTSFORS</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68100-2019</t>
        </is>
      </c>
      <c r="B3834" s="1" t="n">
        <v>43817</v>
      </c>
      <c r="C3834" s="1" t="n">
        <v>45212</v>
      </c>
      <c r="D3834" t="inlineStr">
        <is>
          <t>VÄSTRA GÖTALANDS LÄN</t>
        </is>
      </c>
      <c r="E3834" t="inlineStr">
        <is>
          <t>SVENLJUNGA</t>
        </is>
      </c>
      <c r="F3834" t="inlineStr">
        <is>
          <t>Kyrkan</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68138-2019</t>
        </is>
      </c>
      <c r="B3835" s="1" t="n">
        <v>43817</v>
      </c>
      <c r="C3835" s="1" t="n">
        <v>45212</v>
      </c>
      <c r="D3835" t="inlineStr">
        <is>
          <t>VÄSTRA GÖTALANDS LÄN</t>
        </is>
      </c>
      <c r="E3835" t="inlineStr">
        <is>
          <t>BENGTSFORS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68256-2019</t>
        </is>
      </c>
      <c r="B3836" s="1" t="n">
        <v>43817</v>
      </c>
      <c r="C3836" s="1" t="n">
        <v>45212</v>
      </c>
      <c r="D3836" t="inlineStr">
        <is>
          <t>VÄSTRA GÖTALANDS LÄN</t>
        </is>
      </c>
      <c r="E3836" t="inlineStr">
        <is>
          <t>LILLA EDET</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68440-2019</t>
        </is>
      </c>
      <c r="B3837" s="1" t="n">
        <v>43818</v>
      </c>
      <c r="C3837" s="1" t="n">
        <v>45212</v>
      </c>
      <c r="D3837" t="inlineStr">
        <is>
          <t>VÄSTRA GÖTALANDS LÄN</t>
        </is>
      </c>
      <c r="E3837" t="inlineStr">
        <is>
          <t>TRANEMO</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68437-2019</t>
        </is>
      </c>
      <c r="B3838" s="1" t="n">
        <v>43818</v>
      </c>
      <c r="C3838" s="1" t="n">
        <v>45212</v>
      </c>
      <c r="D3838" t="inlineStr">
        <is>
          <t>VÄSTRA GÖTALANDS LÄN</t>
        </is>
      </c>
      <c r="E3838" t="inlineStr">
        <is>
          <t>BENGTSFORS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68452-2019</t>
        </is>
      </c>
      <c r="B3839" s="1" t="n">
        <v>43818</v>
      </c>
      <c r="C3839" s="1" t="n">
        <v>45212</v>
      </c>
      <c r="D3839" t="inlineStr">
        <is>
          <t>VÄSTRA GÖTALANDS LÄN</t>
        </is>
      </c>
      <c r="E3839" t="inlineStr">
        <is>
          <t>SVENLJUNGA</t>
        </is>
      </c>
      <c r="F3839" t="inlineStr">
        <is>
          <t>Kyrkan</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968-2020</t>
        </is>
      </c>
      <c r="B3840" s="1" t="n">
        <v>43819</v>
      </c>
      <c r="C3840" s="1" t="n">
        <v>45212</v>
      </c>
      <c r="D3840" t="inlineStr">
        <is>
          <t>VÄSTRA GÖTALANDS LÄN</t>
        </is>
      </c>
      <c r="E3840" t="inlineStr">
        <is>
          <t>TIBRO</t>
        </is>
      </c>
      <c r="G3840" t="n">
        <v>1.7</v>
      </c>
      <c r="H3840" t="n">
        <v>0</v>
      </c>
      <c r="I3840" t="n">
        <v>0</v>
      </c>
      <c r="J3840" t="n">
        <v>0</v>
      </c>
      <c r="K3840" t="n">
        <v>0</v>
      </c>
      <c r="L3840" t="n">
        <v>0</v>
      </c>
      <c r="M3840" t="n">
        <v>0</v>
      </c>
      <c r="N3840" t="n">
        <v>0</v>
      </c>
      <c r="O3840" t="n">
        <v>0</v>
      </c>
      <c r="P3840" t="n">
        <v>0</v>
      </c>
      <c r="Q3840" t="n">
        <v>0</v>
      </c>
      <c r="R3840" s="2" t="inlineStr"/>
    </row>
    <row r="3841" ht="15" customHeight="1">
      <c r="A3841" t="inlineStr">
        <is>
          <t>A 68696-2019</t>
        </is>
      </c>
      <c r="B3841" s="1" t="n">
        <v>43819</v>
      </c>
      <c r="C3841" s="1" t="n">
        <v>45212</v>
      </c>
      <c r="D3841" t="inlineStr">
        <is>
          <t>VÄSTRA GÖTALANDS LÄN</t>
        </is>
      </c>
      <c r="E3841" t="inlineStr">
        <is>
          <t>GULLSPÅNG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68821-2019</t>
        </is>
      </c>
      <c r="B3842" s="1" t="n">
        <v>43819</v>
      </c>
      <c r="C3842" s="1" t="n">
        <v>45212</v>
      </c>
      <c r="D3842" t="inlineStr">
        <is>
          <t>VÄSTRA GÖTALANDS LÄN</t>
        </is>
      </c>
      <c r="E3842" t="inlineStr">
        <is>
          <t>TJÖRN</t>
        </is>
      </c>
      <c r="G3842" t="n">
        <v>4.6</v>
      </c>
      <c r="H3842" t="n">
        <v>0</v>
      </c>
      <c r="I3842" t="n">
        <v>0</v>
      </c>
      <c r="J3842" t="n">
        <v>0</v>
      </c>
      <c r="K3842" t="n">
        <v>0</v>
      </c>
      <c r="L3842" t="n">
        <v>0</v>
      </c>
      <c r="M3842" t="n">
        <v>0</v>
      </c>
      <c r="N3842" t="n">
        <v>0</v>
      </c>
      <c r="O3842" t="n">
        <v>0</v>
      </c>
      <c r="P3842" t="n">
        <v>0</v>
      </c>
      <c r="Q3842" t="n">
        <v>0</v>
      </c>
      <c r="R3842" s="2" t="inlineStr"/>
    </row>
    <row r="3843" ht="15" customHeight="1">
      <c r="A3843" t="inlineStr">
        <is>
          <t>A 1025-2020</t>
        </is>
      </c>
      <c r="B3843" s="1" t="n">
        <v>43819</v>
      </c>
      <c r="C3843" s="1" t="n">
        <v>45212</v>
      </c>
      <c r="D3843" t="inlineStr">
        <is>
          <t>VÄSTRA GÖTALANDS LÄN</t>
        </is>
      </c>
      <c r="E3843" t="inlineStr">
        <is>
          <t>TANUM</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68719-2019</t>
        </is>
      </c>
      <c r="B3844" s="1" t="n">
        <v>43819</v>
      </c>
      <c r="C3844" s="1" t="n">
        <v>45212</v>
      </c>
      <c r="D3844" t="inlineStr">
        <is>
          <t>VÄSTRA GÖTALANDS LÄN</t>
        </is>
      </c>
      <c r="E3844" t="inlineStr">
        <is>
          <t>HERRLJUNGA</t>
        </is>
      </c>
      <c r="G3844" t="n">
        <v>4.1</v>
      </c>
      <c r="H3844" t="n">
        <v>0</v>
      </c>
      <c r="I3844" t="n">
        <v>0</v>
      </c>
      <c r="J3844" t="n">
        <v>0</v>
      </c>
      <c r="K3844" t="n">
        <v>0</v>
      </c>
      <c r="L3844" t="n">
        <v>0</v>
      </c>
      <c r="M3844" t="n">
        <v>0</v>
      </c>
      <c r="N3844" t="n">
        <v>0</v>
      </c>
      <c r="O3844" t="n">
        <v>0</v>
      </c>
      <c r="P3844" t="n">
        <v>0</v>
      </c>
      <c r="Q3844" t="n">
        <v>0</v>
      </c>
      <c r="R3844" s="2" t="inlineStr"/>
    </row>
    <row r="3845" ht="15" customHeight="1">
      <c r="A3845" t="inlineStr">
        <is>
          <t>A 68697-2019</t>
        </is>
      </c>
      <c r="B3845" s="1" t="n">
        <v>43819</v>
      </c>
      <c r="C3845" s="1" t="n">
        <v>45212</v>
      </c>
      <c r="D3845" t="inlineStr">
        <is>
          <t>VÄSTRA GÖTALANDS LÄN</t>
        </is>
      </c>
      <c r="E3845" t="inlineStr">
        <is>
          <t>BENGTSFORS</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68739-2019</t>
        </is>
      </c>
      <c r="B3846" s="1" t="n">
        <v>43819</v>
      </c>
      <c r="C3846" s="1" t="n">
        <v>45212</v>
      </c>
      <c r="D3846" t="inlineStr">
        <is>
          <t>VÄSTRA GÖTALANDS LÄN</t>
        </is>
      </c>
      <c r="E3846" t="inlineStr">
        <is>
          <t>MARK</t>
        </is>
      </c>
      <c r="G3846" t="n">
        <v>10.3</v>
      </c>
      <c r="H3846" t="n">
        <v>0</v>
      </c>
      <c r="I3846" t="n">
        <v>0</v>
      </c>
      <c r="J3846" t="n">
        <v>0</v>
      </c>
      <c r="K3846" t="n">
        <v>0</v>
      </c>
      <c r="L3846" t="n">
        <v>0</v>
      </c>
      <c r="M3846" t="n">
        <v>0</v>
      </c>
      <c r="N3846" t="n">
        <v>0</v>
      </c>
      <c r="O3846" t="n">
        <v>0</v>
      </c>
      <c r="P3846" t="n">
        <v>0</v>
      </c>
      <c r="Q3846" t="n">
        <v>0</v>
      </c>
      <c r="R3846" s="2" t="inlineStr"/>
    </row>
    <row r="3847" ht="15" customHeight="1">
      <c r="A3847" t="inlineStr">
        <is>
          <t>A 68909-2019</t>
        </is>
      </c>
      <c r="B3847" s="1" t="n">
        <v>43822</v>
      </c>
      <c r="C3847" s="1" t="n">
        <v>45212</v>
      </c>
      <c r="D3847" t="inlineStr">
        <is>
          <t>VÄSTRA GÖTALANDS LÄN</t>
        </is>
      </c>
      <c r="E3847" t="inlineStr">
        <is>
          <t>ALINGSÅS</t>
        </is>
      </c>
      <c r="G3847" t="n">
        <v>7.3</v>
      </c>
      <c r="H3847" t="n">
        <v>0</v>
      </c>
      <c r="I3847" t="n">
        <v>0</v>
      </c>
      <c r="J3847" t="n">
        <v>0</v>
      </c>
      <c r="K3847" t="n">
        <v>0</v>
      </c>
      <c r="L3847" t="n">
        <v>0</v>
      </c>
      <c r="M3847" t="n">
        <v>0</v>
      </c>
      <c r="N3847" t="n">
        <v>0</v>
      </c>
      <c r="O3847" t="n">
        <v>0</v>
      </c>
      <c r="P3847" t="n">
        <v>0</v>
      </c>
      <c r="Q3847" t="n">
        <v>0</v>
      </c>
      <c r="R3847" s="2" t="inlineStr"/>
    </row>
    <row r="3848" ht="15" customHeight="1">
      <c r="A3848" t="inlineStr">
        <is>
          <t>A 68981-2019</t>
        </is>
      </c>
      <c r="B3848" s="1" t="n">
        <v>43824</v>
      </c>
      <c r="C3848" s="1" t="n">
        <v>45212</v>
      </c>
      <c r="D3848" t="inlineStr">
        <is>
          <t>VÄSTRA GÖTALANDS LÄN</t>
        </is>
      </c>
      <c r="E3848" t="inlineStr">
        <is>
          <t>VARA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68978-2019</t>
        </is>
      </c>
      <c r="B3849" s="1" t="n">
        <v>43824</v>
      </c>
      <c r="C3849" s="1" t="n">
        <v>45212</v>
      </c>
      <c r="D3849" t="inlineStr">
        <is>
          <t>VÄSTRA GÖTALANDS LÄN</t>
        </is>
      </c>
      <c r="E3849" t="inlineStr">
        <is>
          <t>LILLA EDET</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1502-2020</t>
        </is>
      </c>
      <c r="B3850" s="1" t="n">
        <v>43826</v>
      </c>
      <c r="C3850" s="1" t="n">
        <v>45212</v>
      </c>
      <c r="D3850" t="inlineStr">
        <is>
          <t>VÄSTRA GÖTALANDS LÄN</t>
        </is>
      </c>
      <c r="E3850" t="inlineStr">
        <is>
          <t>HÄRRYDA</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1515-2020</t>
        </is>
      </c>
      <c r="B3851" s="1" t="n">
        <v>43826</v>
      </c>
      <c r="C3851" s="1" t="n">
        <v>45212</v>
      </c>
      <c r="D3851" t="inlineStr">
        <is>
          <t>VÄSTRA GÖTALANDS LÄN</t>
        </is>
      </c>
      <c r="E3851" t="inlineStr">
        <is>
          <t>STRÖMSTAD</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69001-2019</t>
        </is>
      </c>
      <c r="B3852" s="1" t="n">
        <v>43826</v>
      </c>
      <c r="C3852" s="1" t="n">
        <v>45212</v>
      </c>
      <c r="D3852" t="inlineStr">
        <is>
          <t>VÄSTRA GÖTALANDS LÄN</t>
        </is>
      </c>
      <c r="E3852" t="inlineStr">
        <is>
          <t>FALKÖPING</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1524-2020</t>
        </is>
      </c>
      <c r="B3853" s="1" t="n">
        <v>43826</v>
      </c>
      <c r="C3853" s="1" t="n">
        <v>45212</v>
      </c>
      <c r="D3853" t="inlineStr">
        <is>
          <t>VÄSTRA GÖTALANDS LÄN</t>
        </is>
      </c>
      <c r="E3853" t="inlineStr">
        <is>
          <t>FALKÖPING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69030-2019</t>
        </is>
      </c>
      <c r="B3854" s="1" t="n">
        <v>43826</v>
      </c>
      <c r="C3854" s="1" t="n">
        <v>45212</v>
      </c>
      <c r="D3854" t="inlineStr">
        <is>
          <t>VÄSTRA GÖTALANDS LÄN</t>
        </is>
      </c>
      <c r="E3854" t="inlineStr">
        <is>
          <t>LILLA EDET</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1617-2020</t>
        </is>
      </c>
      <c r="B3855" s="1" t="n">
        <v>43829</v>
      </c>
      <c r="C3855" s="1" t="n">
        <v>45212</v>
      </c>
      <c r="D3855" t="inlineStr">
        <is>
          <t>VÄSTRA GÖTALANDS LÄN</t>
        </is>
      </c>
      <c r="E3855" t="inlineStr">
        <is>
          <t>ULRICEHAMN</t>
        </is>
      </c>
      <c r="G3855" t="n">
        <v>2.9</v>
      </c>
      <c r="H3855" t="n">
        <v>0</v>
      </c>
      <c r="I3855" t="n">
        <v>0</v>
      </c>
      <c r="J3855" t="n">
        <v>0</v>
      </c>
      <c r="K3855" t="n">
        <v>0</v>
      </c>
      <c r="L3855" t="n">
        <v>0</v>
      </c>
      <c r="M3855" t="n">
        <v>0</v>
      </c>
      <c r="N3855" t="n">
        <v>0</v>
      </c>
      <c r="O3855" t="n">
        <v>0</v>
      </c>
      <c r="P3855" t="n">
        <v>0</v>
      </c>
      <c r="Q3855" t="n">
        <v>0</v>
      </c>
      <c r="R3855" s="2" t="inlineStr"/>
    </row>
    <row r="3856" ht="15" customHeight="1">
      <c r="A3856" t="inlineStr">
        <is>
          <t>A 69134-2019</t>
        </is>
      </c>
      <c r="B3856" s="1" t="n">
        <v>43829</v>
      </c>
      <c r="C3856" s="1" t="n">
        <v>45212</v>
      </c>
      <c r="D3856" t="inlineStr">
        <is>
          <t>VÄSTRA GÖTALANDS LÄN</t>
        </is>
      </c>
      <c r="E3856" t="inlineStr">
        <is>
          <t>VÄNERSBORG</t>
        </is>
      </c>
      <c r="F3856" t="inlineStr">
        <is>
          <t>Kommuner</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1608-2020</t>
        </is>
      </c>
      <c r="B3857" s="1" t="n">
        <v>43829</v>
      </c>
      <c r="C3857" s="1" t="n">
        <v>45212</v>
      </c>
      <c r="D3857" t="inlineStr">
        <is>
          <t>VÄSTRA GÖTALANDS LÄN</t>
        </is>
      </c>
      <c r="E3857" t="inlineStr">
        <is>
          <t>MUNKEDAL</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59-2020</t>
        </is>
      </c>
      <c r="B3858" s="1" t="n">
        <v>43832</v>
      </c>
      <c r="C3858" s="1" t="n">
        <v>45212</v>
      </c>
      <c r="D3858" t="inlineStr">
        <is>
          <t>VÄSTRA GÖTALANDS LÄN</t>
        </is>
      </c>
      <c r="E3858" t="inlineStr">
        <is>
          <t>VARA</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1737-2020</t>
        </is>
      </c>
      <c r="B3859" s="1" t="n">
        <v>43832</v>
      </c>
      <c r="C3859" s="1" t="n">
        <v>45212</v>
      </c>
      <c r="D3859" t="inlineStr">
        <is>
          <t>VÄSTRA GÖTALANDS LÄN</t>
        </is>
      </c>
      <c r="E3859" t="inlineStr">
        <is>
          <t>GÖTENE</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79-2020</t>
        </is>
      </c>
      <c r="B3860" s="1" t="n">
        <v>43832</v>
      </c>
      <c r="C3860" s="1" t="n">
        <v>45212</v>
      </c>
      <c r="D3860" t="inlineStr">
        <is>
          <t>VÄSTRA GÖTALANDS LÄN</t>
        </is>
      </c>
      <c r="E3860" t="inlineStr">
        <is>
          <t>MUNKEDAL</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1726-2020</t>
        </is>
      </c>
      <c r="B3861" s="1" t="n">
        <v>43832</v>
      </c>
      <c r="C3861" s="1" t="n">
        <v>45212</v>
      </c>
      <c r="D3861" t="inlineStr">
        <is>
          <t>VÄSTRA GÖTALANDS LÄN</t>
        </is>
      </c>
      <c r="E3861" t="inlineStr">
        <is>
          <t>GÖTENE</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15-2020</t>
        </is>
      </c>
      <c r="B3862" s="1" t="n">
        <v>43832</v>
      </c>
      <c r="C3862" s="1" t="n">
        <v>45212</v>
      </c>
      <c r="D3862" t="inlineStr">
        <is>
          <t>VÄSTRA GÖTALANDS LÄN</t>
        </is>
      </c>
      <c r="E3862" t="inlineStr">
        <is>
          <t>SVENLJUNGA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83-2020</t>
        </is>
      </c>
      <c r="B3863" s="1" t="n">
        <v>43832</v>
      </c>
      <c r="C3863" s="1" t="n">
        <v>45212</v>
      </c>
      <c r="D3863" t="inlineStr">
        <is>
          <t>VÄSTRA GÖTALANDS LÄN</t>
        </is>
      </c>
      <c r="E3863" t="inlineStr">
        <is>
          <t>MUNKEDAL</t>
        </is>
      </c>
      <c r="G3863" t="n">
        <v>3.5</v>
      </c>
      <c r="H3863" t="n">
        <v>0</v>
      </c>
      <c r="I3863" t="n">
        <v>0</v>
      </c>
      <c r="J3863" t="n">
        <v>0</v>
      </c>
      <c r="K3863" t="n">
        <v>0</v>
      </c>
      <c r="L3863" t="n">
        <v>0</v>
      </c>
      <c r="M3863" t="n">
        <v>0</v>
      </c>
      <c r="N3863" t="n">
        <v>0</v>
      </c>
      <c r="O3863" t="n">
        <v>0</v>
      </c>
      <c r="P3863" t="n">
        <v>0</v>
      </c>
      <c r="Q3863" t="n">
        <v>0</v>
      </c>
      <c r="R3863" s="2" t="inlineStr"/>
    </row>
    <row r="3864" ht="15" customHeight="1">
      <c r="A3864" t="inlineStr">
        <is>
          <t>A 86-2020</t>
        </is>
      </c>
      <c r="B3864" s="1" t="n">
        <v>43832</v>
      </c>
      <c r="C3864" s="1" t="n">
        <v>45212</v>
      </c>
      <c r="D3864" t="inlineStr">
        <is>
          <t>VÄSTRA GÖTALANDS LÄN</t>
        </is>
      </c>
      <c r="E3864" t="inlineStr">
        <is>
          <t>HERRLJUNGA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112-2020</t>
        </is>
      </c>
      <c r="B3865" s="1" t="n">
        <v>43832</v>
      </c>
      <c r="C3865" s="1" t="n">
        <v>45212</v>
      </c>
      <c r="D3865" t="inlineStr">
        <is>
          <t>VÄSTRA GÖTALANDS LÄN</t>
        </is>
      </c>
      <c r="E3865" t="inlineStr">
        <is>
          <t>STENUNGSUND</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149-2020</t>
        </is>
      </c>
      <c r="B3866" s="1" t="n">
        <v>43833</v>
      </c>
      <c r="C3866" s="1" t="n">
        <v>45212</v>
      </c>
      <c r="D3866" t="inlineStr">
        <is>
          <t>VÄSTRA GÖTALANDS LÄN</t>
        </is>
      </c>
      <c r="E3866" t="inlineStr">
        <is>
          <t>TANUM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155-2020</t>
        </is>
      </c>
      <c r="B3867" s="1" t="n">
        <v>43833</v>
      </c>
      <c r="C3867" s="1" t="n">
        <v>45212</v>
      </c>
      <c r="D3867" t="inlineStr">
        <is>
          <t>VÄSTRA GÖTALANDS LÄN</t>
        </is>
      </c>
      <c r="E3867" t="inlineStr">
        <is>
          <t>ULRICEHAMN</t>
        </is>
      </c>
      <c r="G3867" t="n">
        <v>5.2</v>
      </c>
      <c r="H3867" t="n">
        <v>0</v>
      </c>
      <c r="I3867" t="n">
        <v>0</v>
      </c>
      <c r="J3867" t="n">
        <v>0</v>
      </c>
      <c r="K3867" t="n">
        <v>0</v>
      </c>
      <c r="L3867" t="n">
        <v>0</v>
      </c>
      <c r="M3867" t="n">
        <v>0</v>
      </c>
      <c r="N3867" t="n">
        <v>0</v>
      </c>
      <c r="O3867" t="n">
        <v>0</v>
      </c>
      <c r="P3867" t="n">
        <v>0</v>
      </c>
      <c r="Q3867" t="n">
        <v>0</v>
      </c>
      <c r="R3867" s="2" t="inlineStr"/>
    </row>
    <row r="3868" ht="15" customHeight="1">
      <c r="A3868" t="inlineStr">
        <is>
          <t>A 190-2020</t>
        </is>
      </c>
      <c r="B3868" s="1" t="n">
        <v>43833</v>
      </c>
      <c r="C3868" s="1" t="n">
        <v>45212</v>
      </c>
      <c r="D3868" t="inlineStr">
        <is>
          <t>VÄSTRA GÖTALANDS LÄN</t>
        </is>
      </c>
      <c r="E3868" t="inlineStr">
        <is>
          <t>LERUM</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143-2020</t>
        </is>
      </c>
      <c r="B3869" s="1" t="n">
        <v>43833</v>
      </c>
      <c r="C3869" s="1" t="n">
        <v>45212</v>
      </c>
      <c r="D3869" t="inlineStr">
        <is>
          <t>VÄSTRA GÖTALANDS LÄN</t>
        </is>
      </c>
      <c r="E3869" t="inlineStr">
        <is>
          <t>MUNKEDAL</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188-2020</t>
        </is>
      </c>
      <c r="B3870" s="1" t="n">
        <v>43833</v>
      </c>
      <c r="C3870" s="1" t="n">
        <v>45212</v>
      </c>
      <c r="D3870" t="inlineStr">
        <is>
          <t>VÄSTRA GÖTALANDS LÄN</t>
        </is>
      </c>
      <c r="E3870" t="inlineStr">
        <is>
          <t>LERUM</t>
        </is>
      </c>
      <c r="G3870" t="n">
        <v>5.3</v>
      </c>
      <c r="H3870" t="n">
        <v>0</v>
      </c>
      <c r="I3870" t="n">
        <v>0</v>
      </c>
      <c r="J3870" t="n">
        <v>0</v>
      </c>
      <c r="K3870" t="n">
        <v>0</v>
      </c>
      <c r="L3870" t="n">
        <v>0</v>
      </c>
      <c r="M3870" t="n">
        <v>0</v>
      </c>
      <c r="N3870" t="n">
        <v>0</v>
      </c>
      <c r="O3870" t="n">
        <v>0</v>
      </c>
      <c r="P3870" t="n">
        <v>0</v>
      </c>
      <c r="Q3870" t="n">
        <v>0</v>
      </c>
      <c r="R3870" s="2" t="inlineStr"/>
    </row>
    <row r="3871" ht="15" customHeight="1">
      <c r="A3871" t="inlineStr">
        <is>
          <t>A 148-2020</t>
        </is>
      </c>
      <c r="B3871" s="1" t="n">
        <v>43833</v>
      </c>
      <c r="C3871" s="1" t="n">
        <v>45212</v>
      </c>
      <c r="D3871" t="inlineStr">
        <is>
          <t>VÄSTRA GÖTALANDS LÄN</t>
        </is>
      </c>
      <c r="E3871" t="inlineStr">
        <is>
          <t>LERUM</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178-2020</t>
        </is>
      </c>
      <c r="B3872" s="1" t="n">
        <v>43833</v>
      </c>
      <c r="C3872" s="1" t="n">
        <v>45212</v>
      </c>
      <c r="D3872" t="inlineStr">
        <is>
          <t>VÄSTRA GÖTALANDS LÄN</t>
        </is>
      </c>
      <c r="E3872" t="inlineStr">
        <is>
          <t>LERUM</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142-2020</t>
        </is>
      </c>
      <c r="B3873" s="1" t="n">
        <v>43833</v>
      </c>
      <c r="C3873" s="1" t="n">
        <v>45212</v>
      </c>
      <c r="D3873" t="inlineStr">
        <is>
          <t>VÄSTRA GÖTALANDS LÄN</t>
        </is>
      </c>
      <c r="E3873" t="inlineStr">
        <is>
          <t>MUNKEDAL</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185-2020</t>
        </is>
      </c>
      <c r="B3874" s="1" t="n">
        <v>43833</v>
      </c>
      <c r="C3874" s="1" t="n">
        <v>45212</v>
      </c>
      <c r="D3874" t="inlineStr">
        <is>
          <t>VÄSTRA GÖTALANDS LÄN</t>
        </is>
      </c>
      <c r="E3874" t="inlineStr">
        <is>
          <t>LERUM</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377-2020</t>
        </is>
      </c>
      <c r="B3875" s="1" t="n">
        <v>43837</v>
      </c>
      <c r="C3875" s="1" t="n">
        <v>45212</v>
      </c>
      <c r="D3875" t="inlineStr">
        <is>
          <t>VÄSTRA GÖTALANDS LÄN</t>
        </is>
      </c>
      <c r="E3875" t="inlineStr">
        <is>
          <t>ALE</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267-2020</t>
        </is>
      </c>
      <c r="B3876" s="1" t="n">
        <v>43837</v>
      </c>
      <c r="C3876" s="1" t="n">
        <v>45212</v>
      </c>
      <c r="D3876" t="inlineStr">
        <is>
          <t>VÄSTRA GÖTALANDS LÄN</t>
        </is>
      </c>
      <c r="E3876" t="inlineStr">
        <is>
          <t>SKÖVDE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282-2020</t>
        </is>
      </c>
      <c r="B3877" s="1" t="n">
        <v>43837</v>
      </c>
      <c r="C3877" s="1" t="n">
        <v>45212</v>
      </c>
      <c r="D3877" t="inlineStr">
        <is>
          <t>VÄSTRA GÖTALANDS LÄN</t>
        </is>
      </c>
      <c r="E3877" t="inlineStr">
        <is>
          <t>TANUM</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355-2020</t>
        </is>
      </c>
      <c r="B3878" s="1" t="n">
        <v>43837</v>
      </c>
      <c r="C3878" s="1" t="n">
        <v>45212</v>
      </c>
      <c r="D3878" t="inlineStr">
        <is>
          <t>VÄSTRA GÖTALANDS LÄN</t>
        </is>
      </c>
      <c r="E3878" t="inlineStr">
        <is>
          <t>ALINGSÅS</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523-2020</t>
        </is>
      </c>
      <c r="B3879" s="1" t="n">
        <v>43837</v>
      </c>
      <c r="C3879" s="1" t="n">
        <v>45212</v>
      </c>
      <c r="D3879" t="inlineStr">
        <is>
          <t>VÄSTRA GÖTALANDS LÄN</t>
        </is>
      </c>
      <c r="E3879" t="inlineStr">
        <is>
          <t>TIDAHOLM</t>
        </is>
      </c>
      <c r="G3879" t="n">
        <v>4.2</v>
      </c>
      <c r="H3879" t="n">
        <v>0</v>
      </c>
      <c r="I3879" t="n">
        <v>0</v>
      </c>
      <c r="J3879" t="n">
        <v>0</v>
      </c>
      <c r="K3879" t="n">
        <v>0</v>
      </c>
      <c r="L3879" t="n">
        <v>0</v>
      </c>
      <c r="M3879" t="n">
        <v>0</v>
      </c>
      <c r="N3879" t="n">
        <v>0</v>
      </c>
      <c r="O3879" t="n">
        <v>0</v>
      </c>
      <c r="P3879" t="n">
        <v>0</v>
      </c>
      <c r="Q3879" t="n">
        <v>0</v>
      </c>
      <c r="R3879" s="2" t="inlineStr"/>
    </row>
    <row r="3880" ht="15" customHeight="1">
      <c r="A3880" t="inlineStr">
        <is>
          <t>A 269-2020</t>
        </is>
      </c>
      <c r="B3880" s="1" t="n">
        <v>43837</v>
      </c>
      <c r="C3880" s="1" t="n">
        <v>45212</v>
      </c>
      <c r="D3880" t="inlineStr">
        <is>
          <t>VÄSTRA GÖTALANDS LÄN</t>
        </is>
      </c>
      <c r="E3880" t="inlineStr">
        <is>
          <t>SKÖVDE</t>
        </is>
      </c>
      <c r="G3880" t="n">
        <v>8.9</v>
      </c>
      <c r="H3880" t="n">
        <v>0</v>
      </c>
      <c r="I3880" t="n">
        <v>0</v>
      </c>
      <c r="J3880" t="n">
        <v>0</v>
      </c>
      <c r="K3880" t="n">
        <v>0</v>
      </c>
      <c r="L3880" t="n">
        <v>0</v>
      </c>
      <c r="M3880" t="n">
        <v>0</v>
      </c>
      <c r="N3880" t="n">
        <v>0</v>
      </c>
      <c r="O3880" t="n">
        <v>0</v>
      </c>
      <c r="P3880" t="n">
        <v>0</v>
      </c>
      <c r="Q3880" t="n">
        <v>0</v>
      </c>
      <c r="R3880" s="2" t="inlineStr"/>
    </row>
    <row r="3881" ht="15" customHeight="1">
      <c r="A3881" t="inlineStr">
        <is>
          <t>A 324-2020</t>
        </is>
      </c>
      <c r="B3881" s="1" t="n">
        <v>43837</v>
      </c>
      <c r="C3881" s="1" t="n">
        <v>45212</v>
      </c>
      <c r="D3881" t="inlineStr">
        <is>
          <t>VÄSTRA GÖTALANDS LÄN</t>
        </is>
      </c>
      <c r="E3881" t="inlineStr">
        <is>
          <t>MELLERUD</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466-2020</t>
        </is>
      </c>
      <c r="B3882" s="1" t="n">
        <v>43837</v>
      </c>
      <c r="C3882" s="1" t="n">
        <v>45212</v>
      </c>
      <c r="D3882" t="inlineStr">
        <is>
          <t>VÄSTRA GÖTALANDS LÄN</t>
        </is>
      </c>
      <c r="E3882" t="inlineStr">
        <is>
          <t>MARK</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268-2020</t>
        </is>
      </c>
      <c r="B3883" s="1" t="n">
        <v>43837</v>
      </c>
      <c r="C3883" s="1" t="n">
        <v>45212</v>
      </c>
      <c r="D3883" t="inlineStr">
        <is>
          <t>VÄSTRA GÖTALANDS LÄN</t>
        </is>
      </c>
      <c r="E3883" t="inlineStr">
        <is>
          <t>SKÖVDE</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506-2020</t>
        </is>
      </c>
      <c r="B3884" s="1" t="n">
        <v>43837</v>
      </c>
      <c r="C3884" s="1" t="n">
        <v>45212</v>
      </c>
      <c r="D3884" t="inlineStr">
        <is>
          <t>VÄSTRA GÖTALANDS LÄN</t>
        </is>
      </c>
      <c r="E3884" t="inlineStr">
        <is>
          <t>BENGTSFORS</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589-2020</t>
        </is>
      </c>
      <c r="B3885" s="1" t="n">
        <v>43838</v>
      </c>
      <c r="C3885" s="1" t="n">
        <v>45212</v>
      </c>
      <c r="D3885" t="inlineStr">
        <is>
          <t>VÄSTRA GÖTALANDS LÄN</t>
        </is>
      </c>
      <c r="E3885" t="inlineStr">
        <is>
          <t>MARK</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657-2020</t>
        </is>
      </c>
      <c r="B3886" s="1" t="n">
        <v>43838</v>
      </c>
      <c r="C3886" s="1" t="n">
        <v>45212</v>
      </c>
      <c r="D3886" t="inlineStr">
        <is>
          <t>VÄSTRA GÖTALANDS LÄN</t>
        </is>
      </c>
      <c r="E3886" t="inlineStr">
        <is>
          <t>ÅMÅL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669-2020</t>
        </is>
      </c>
      <c r="B3887" s="1" t="n">
        <v>43838</v>
      </c>
      <c r="C3887" s="1" t="n">
        <v>45212</v>
      </c>
      <c r="D3887" t="inlineStr">
        <is>
          <t>VÄSTRA GÖTALANDS LÄN</t>
        </is>
      </c>
      <c r="E3887" t="inlineStr">
        <is>
          <t>BENGTSFORS</t>
        </is>
      </c>
      <c r="G3887" t="n">
        <v>3.2</v>
      </c>
      <c r="H3887" t="n">
        <v>0</v>
      </c>
      <c r="I3887" t="n">
        <v>0</v>
      </c>
      <c r="J3887" t="n">
        <v>0</v>
      </c>
      <c r="K3887" t="n">
        <v>0</v>
      </c>
      <c r="L3887" t="n">
        <v>0</v>
      </c>
      <c r="M3887" t="n">
        <v>0</v>
      </c>
      <c r="N3887" t="n">
        <v>0</v>
      </c>
      <c r="O3887" t="n">
        <v>0</v>
      </c>
      <c r="P3887" t="n">
        <v>0</v>
      </c>
      <c r="Q3887" t="n">
        <v>0</v>
      </c>
      <c r="R3887" s="2" t="inlineStr"/>
    </row>
    <row r="3888" ht="15" customHeight="1">
      <c r="A3888" t="inlineStr">
        <is>
          <t>A 597-2020</t>
        </is>
      </c>
      <c r="B3888" s="1" t="n">
        <v>43838</v>
      </c>
      <c r="C3888" s="1" t="n">
        <v>45212</v>
      </c>
      <c r="D3888" t="inlineStr">
        <is>
          <t>VÄSTRA GÖTALANDS LÄN</t>
        </is>
      </c>
      <c r="E3888" t="inlineStr">
        <is>
          <t>GULLSPÅNG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659-2020</t>
        </is>
      </c>
      <c r="B3889" s="1" t="n">
        <v>43838</v>
      </c>
      <c r="C3889" s="1" t="n">
        <v>45212</v>
      </c>
      <c r="D3889" t="inlineStr">
        <is>
          <t>VÄSTRA GÖTALANDS LÄN</t>
        </is>
      </c>
      <c r="E3889" t="inlineStr">
        <is>
          <t>ÅMÅL</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1950-2020</t>
        </is>
      </c>
      <c r="B3890" s="1" t="n">
        <v>43838</v>
      </c>
      <c r="C3890" s="1" t="n">
        <v>45212</v>
      </c>
      <c r="D3890" t="inlineStr">
        <is>
          <t>VÄSTRA GÖTALANDS LÄN</t>
        </is>
      </c>
      <c r="E3890" t="inlineStr">
        <is>
          <t>KARLSBORG</t>
        </is>
      </c>
      <c r="G3890" t="n">
        <v>22.8</v>
      </c>
      <c r="H3890" t="n">
        <v>0</v>
      </c>
      <c r="I3890" t="n">
        <v>0</v>
      </c>
      <c r="J3890" t="n">
        <v>0</v>
      </c>
      <c r="K3890" t="n">
        <v>0</v>
      </c>
      <c r="L3890" t="n">
        <v>0</v>
      </c>
      <c r="M3890" t="n">
        <v>0</v>
      </c>
      <c r="N3890" t="n">
        <v>0</v>
      </c>
      <c r="O3890" t="n">
        <v>0</v>
      </c>
      <c r="P3890" t="n">
        <v>0</v>
      </c>
      <c r="Q3890" t="n">
        <v>0</v>
      </c>
      <c r="R3890" s="2" t="inlineStr"/>
    </row>
    <row r="3891" ht="15" customHeight="1">
      <c r="A3891" t="inlineStr">
        <is>
          <t>A 983-2020</t>
        </is>
      </c>
      <c r="B3891" s="1" t="n">
        <v>43839</v>
      </c>
      <c r="C3891" s="1" t="n">
        <v>45212</v>
      </c>
      <c r="D3891" t="inlineStr">
        <is>
          <t>VÄSTRA GÖTALANDS LÄN</t>
        </is>
      </c>
      <c r="E3891" t="inlineStr">
        <is>
          <t>TIDAHOLM</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848-2020</t>
        </is>
      </c>
      <c r="B3892" s="1" t="n">
        <v>43839</v>
      </c>
      <c r="C3892" s="1" t="n">
        <v>45212</v>
      </c>
      <c r="D3892" t="inlineStr">
        <is>
          <t>VÄSTRA GÖTALANDS LÄN</t>
        </is>
      </c>
      <c r="E3892" t="inlineStr">
        <is>
          <t>TIDAHOLM</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979-2020</t>
        </is>
      </c>
      <c r="B3893" s="1" t="n">
        <v>43839</v>
      </c>
      <c r="C3893" s="1" t="n">
        <v>45212</v>
      </c>
      <c r="D3893" t="inlineStr">
        <is>
          <t>VÄSTRA GÖTALANDS LÄN</t>
        </is>
      </c>
      <c r="E3893" t="inlineStr">
        <is>
          <t>FALKÖPING</t>
        </is>
      </c>
      <c r="G3893" t="n">
        <v>127.7</v>
      </c>
      <c r="H3893" t="n">
        <v>0</v>
      </c>
      <c r="I3893" t="n">
        <v>0</v>
      </c>
      <c r="J3893" t="n">
        <v>0</v>
      </c>
      <c r="K3893" t="n">
        <v>0</v>
      </c>
      <c r="L3893" t="n">
        <v>0</v>
      </c>
      <c r="M3893" t="n">
        <v>0</v>
      </c>
      <c r="N3893" t="n">
        <v>0</v>
      </c>
      <c r="O3893" t="n">
        <v>0</v>
      </c>
      <c r="P3893" t="n">
        <v>0</v>
      </c>
      <c r="Q3893" t="n">
        <v>0</v>
      </c>
      <c r="R3893" s="2" t="inlineStr"/>
    </row>
    <row r="3894" ht="15" customHeight="1">
      <c r="A3894" t="inlineStr">
        <is>
          <t>A 1029-2020</t>
        </is>
      </c>
      <c r="B3894" s="1" t="n">
        <v>43839</v>
      </c>
      <c r="C3894" s="1" t="n">
        <v>45212</v>
      </c>
      <c r="D3894" t="inlineStr">
        <is>
          <t>VÄSTRA GÖTALANDS LÄN</t>
        </is>
      </c>
      <c r="E3894" t="inlineStr">
        <is>
          <t>MARIESTAD</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1040-2020</t>
        </is>
      </c>
      <c r="B3895" s="1" t="n">
        <v>43839</v>
      </c>
      <c r="C3895" s="1" t="n">
        <v>45212</v>
      </c>
      <c r="D3895" t="inlineStr">
        <is>
          <t>VÄSTRA GÖTALANDS LÄN</t>
        </is>
      </c>
      <c r="E3895" t="inlineStr">
        <is>
          <t>GULLSPÅNG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2290-2020</t>
        </is>
      </c>
      <c r="B3896" s="1" t="n">
        <v>43839</v>
      </c>
      <c r="C3896" s="1" t="n">
        <v>45212</v>
      </c>
      <c r="D3896" t="inlineStr">
        <is>
          <t>VÄSTRA GÖTALANDS LÄN</t>
        </is>
      </c>
      <c r="E3896" t="inlineStr">
        <is>
          <t>BORÅS</t>
        </is>
      </c>
      <c r="G3896" t="n">
        <v>5.2</v>
      </c>
      <c r="H3896" t="n">
        <v>0</v>
      </c>
      <c r="I3896" t="n">
        <v>0</v>
      </c>
      <c r="J3896" t="n">
        <v>0</v>
      </c>
      <c r="K3896" t="n">
        <v>0</v>
      </c>
      <c r="L3896" t="n">
        <v>0</v>
      </c>
      <c r="M3896" t="n">
        <v>0</v>
      </c>
      <c r="N3896" t="n">
        <v>0</v>
      </c>
      <c r="O3896" t="n">
        <v>0</v>
      </c>
      <c r="P3896" t="n">
        <v>0</v>
      </c>
      <c r="Q3896" t="n">
        <v>0</v>
      </c>
      <c r="R3896" s="2" t="inlineStr"/>
    </row>
    <row r="3897" ht="15" customHeight="1">
      <c r="A3897" t="inlineStr">
        <is>
          <t>A 846-2020</t>
        </is>
      </c>
      <c r="B3897" s="1" t="n">
        <v>43839</v>
      </c>
      <c r="C3897" s="1" t="n">
        <v>45212</v>
      </c>
      <c r="D3897" t="inlineStr">
        <is>
          <t>VÄSTRA GÖTALANDS LÄN</t>
        </is>
      </c>
      <c r="E3897" t="inlineStr">
        <is>
          <t>HJO</t>
        </is>
      </c>
      <c r="F3897" t="inlineStr">
        <is>
          <t>Sveaskog</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881-2020</t>
        </is>
      </c>
      <c r="B3898" s="1" t="n">
        <v>43839</v>
      </c>
      <c r="C3898" s="1" t="n">
        <v>45212</v>
      </c>
      <c r="D3898" t="inlineStr">
        <is>
          <t>VÄSTRA GÖTALANDS LÄN</t>
        </is>
      </c>
      <c r="E3898" t="inlineStr">
        <is>
          <t>MARIESTAD</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865-2020</t>
        </is>
      </c>
      <c r="B3899" s="1" t="n">
        <v>43839</v>
      </c>
      <c r="C3899" s="1" t="n">
        <v>45212</v>
      </c>
      <c r="D3899" t="inlineStr">
        <is>
          <t>VÄSTRA GÖTALANDS LÄN</t>
        </is>
      </c>
      <c r="E3899" t="inlineStr">
        <is>
          <t>MARIESTAD</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1032-2020</t>
        </is>
      </c>
      <c r="B3900" s="1" t="n">
        <v>43839</v>
      </c>
      <c r="C3900" s="1" t="n">
        <v>45212</v>
      </c>
      <c r="D3900" t="inlineStr">
        <is>
          <t>VÄSTRA GÖTALANDS LÄN</t>
        </is>
      </c>
      <c r="E3900" t="inlineStr">
        <is>
          <t>TIBRO</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1044-2020</t>
        </is>
      </c>
      <c r="B3901" s="1" t="n">
        <v>43839</v>
      </c>
      <c r="C3901" s="1" t="n">
        <v>45212</v>
      </c>
      <c r="D3901" t="inlineStr">
        <is>
          <t>VÄSTRA GÖTALANDS LÄN</t>
        </is>
      </c>
      <c r="E3901" t="inlineStr">
        <is>
          <t>ALINGSÅS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2294-2020</t>
        </is>
      </c>
      <c r="B3902" s="1" t="n">
        <v>43839</v>
      </c>
      <c r="C3902" s="1" t="n">
        <v>45212</v>
      </c>
      <c r="D3902" t="inlineStr">
        <is>
          <t>VÄSTRA GÖTALANDS LÄN</t>
        </is>
      </c>
      <c r="E3902" t="inlineStr">
        <is>
          <t>BORÅS</t>
        </is>
      </c>
      <c r="G3902" t="n">
        <v>14.1</v>
      </c>
      <c r="H3902" t="n">
        <v>0</v>
      </c>
      <c r="I3902" t="n">
        <v>0</v>
      </c>
      <c r="J3902" t="n">
        <v>0</v>
      </c>
      <c r="K3902" t="n">
        <v>0</v>
      </c>
      <c r="L3902" t="n">
        <v>0</v>
      </c>
      <c r="M3902" t="n">
        <v>0</v>
      </c>
      <c r="N3902" t="n">
        <v>0</v>
      </c>
      <c r="O3902" t="n">
        <v>0</v>
      </c>
      <c r="P3902" t="n">
        <v>0</v>
      </c>
      <c r="Q3902" t="n">
        <v>0</v>
      </c>
      <c r="R3902" s="2" t="inlineStr"/>
    </row>
    <row r="3903" ht="15" customHeight="1">
      <c r="A3903" t="inlineStr">
        <is>
          <t>A 1244-2020</t>
        </is>
      </c>
      <c r="B3903" s="1" t="n">
        <v>43840</v>
      </c>
      <c r="C3903" s="1" t="n">
        <v>45212</v>
      </c>
      <c r="D3903" t="inlineStr">
        <is>
          <t>VÄSTRA GÖTALANDS LÄN</t>
        </is>
      </c>
      <c r="E3903" t="inlineStr">
        <is>
          <t>ORUST</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1196-2020</t>
        </is>
      </c>
      <c r="B3904" s="1" t="n">
        <v>43840</v>
      </c>
      <c r="C3904" s="1" t="n">
        <v>45212</v>
      </c>
      <c r="D3904" t="inlineStr">
        <is>
          <t>VÄSTRA GÖTALANDS LÄN</t>
        </is>
      </c>
      <c r="E3904" t="inlineStr">
        <is>
          <t>ÅMÅL</t>
        </is>
      </c>
      <c r="G3904" t="n">
        <v>3.3</v>
      </c>
      <c r="H3904" t="n">
        <v>0</v>
      </c>
      <c r="I3904" t="n">
        <v>0</v>
      </c>
      <c r="J3904" t="n">
        <v>0</v>
      </c>
      <c r="K3904" t="n">
        <v>0</v>
      </c>
      <c r="L3904" t="n">
        <v>0</v>
      </c>
      <c r="M3904" t="n">
        <v>0</v>
      </c>
      <c r="N3904" t="n">
        <v>0</v>
      </c>
      <c r="O3904" t="n">
        <v>0</v>
      </c>
      <c r="P3904" t="n">
        <v>0</v>
      </c>
      <c r="Q3904" t="n">
        <v>0</v>
      </c>
      <c r="R3904" s="2" t="inlineStr"/>
    </row>
    <row r="3905" ht="15" customHeight="1">
      <c r="A3905" t="inlineStr">
        <is>
          <t>A 1240-2020</t>
        </is>
      </c>
      <c r="B3905" s="1" t="n">
        <v>43840</v>
      </c>
      <c r="C3905" s="1" t="n">
        <v>45212</v>
      </c>
      <c r="D3905" t="inlineStr">
        <is>
          <t>VÄSTRA GÖTALANDS LÄN</t>
        </is>
      </c>
      <c r="E3905" t="inlineStr">
        <is>
          <t>ORUST</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1255-2020</t>
        </is>
      </c>
      <c r="B3906" s="1" t="n">
        <v>43840</v>
      </c>
      <c r="C3906" s="1" t="n">
        <v>45212</v>
      </c>
      <c r="D3906" t="inlineStr">
        <is>
          <t>VÄSTRA GÖTALANDS LÄN</t>
        </is>
      </c>
      <c r="E3906" t="inlineStr">
        <is>
          <t>HJO</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2328-2020</t>
        </is>
      </c>
      <c r="B3907" s="1" t="n">
        <v>43840</v>
      </c>
      <c r="C3907" s="1" t="n">
        <v>45212</v>
      </c>
      <c r="D3907" t="inlineStr">
        <is>
          <t>VÄSTRA GÖTALANDS LÄN</t>
        </is>
      </c>
      <c r="E3907" t="inlineStr">
        <is>
          <t>LILLA EDET</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1274-2020</t>
        </is>
      </c>
      <c r="B3908" s="1" t="n">
        <v>43841</v>
      </c>
      <c r="C3908" s="1" t="n">
        <v>45212</v>
      </c>
      <c r="D3908" t="inlineStr">
        <is>
          <t>VÄSTRA GÖTALANDS LÄN</t>
        </is>
      </c>
      <c r="E3908" t="inlineStr">
        <is>
          <t>ÅMÅL</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1290-2020</t>
        </is>
      </c>
      <c r="B3909" s="1" t="n">
        <v>43842</v>
      </c>
      <c r="C3909" s="1" t="n">
        <v>45212</v>
      </c>
      <c r="D3909" t="inlineStr">
        <is>
          <t>VÄSTRA GÖTALANDS LÄN</t>
        </is>
      </c>
      <c r="E3909" t="inlineStr">
        <is>
          <t>BORÅS</t>
        </is>
      </c>
      <c r="G3909" t="n">
        <v>0.4</v>
      </c>
      <c r="H3909" t="n">
        <v>0</v>
      </c>
      <c r="I3909" t="n">
        <v>0</v>
      </c>
      <c r="J3909" t="n">
        <v>0</v>
      </c>
      <c r="K3909" t="n">
        <v>0</v>
      </c>
      <c r="L3909" t="n">
        <v>0</v>
      </c>
      <c r="M3909" t="n">
        <v>0</v>
      </c>
      <c r="N3909" t="n">
        <v>0</v>
      </c>
      <c r="O3909" t="n">
        <v>0</v>
      </c>
      <c r="P3909" t="n">
        <v>0</v>
      </c>
      <c r="Q3909" t="n">
        <v>0</v>
      </c>
      <c r="R3909" s="2" t="inlineStr"/>
    </row>
    <row r="3910" ht="15" customHeight="1">
      <c r="A3910" t="inlineStr">
        <is>
          <t>A 1285-2020</t>
        </is>
      </c>
      <c r="B3910" s="1" t="n">
        <v>43842</v>
      </c>
      <c r="C3910" s="1" t="n">
        <v>45212</v>
      </c>
      <c r="D3910" t="inlineStr">
        <is>
          <t>VÄSTRA GÖTALANDS LÄN</t>
        </is>
      </c>
      <c r="E3910" t="inlineStr">
        <is>
          <t>ULRICEHAMN</t>
        </is>
      </c>
      <c r="G3910" t="n">
        <v>2.4</v>
      </c>
      <c r="H3910" t="n">
        <v>0</v>
      </c>
      <c r="I3910" t="n">
        <v>0</v>
      </c>
      <c r="J3910" t="n">
        <v>0</v>
      </c>
      <c r="K3910" t="n">
        <v>0</v>
      </c>
      <c r="L3910" t="n">
        <v>0</v>
      </c>
      <c r="M3910" t="n">
        <v>0</v>
      </c>
      <c r="N3910" t="n">
        <v>0</v>
      </c>
      <c r="O3910" t="n">
        <v>0</v>
      </c>
      <c r="P3910" t="n">
        <v>0</v>
      </c>
      <c r="Q3910" t="n">
        <v>0</v>
      </c>
      <c r="R3910" s="2" t="inlineStr"/>
      <c r="U3910">
        <f>HYPERLINK("https://klasma.github.io/Logging_1491/knärot/A 1285-2020 knärot.png", "A 1285-2020")</f>
        <v/>
      </c>
      <c r="V3910">
        <f>HYPERLINK("https://klasma.github.io/Logging_1491/klagomål/A 1285-2020 klagomål.docx", "A 1285-2020")</f>
        <v/>
      </c>
      <c r="W3910">
        <f>HYPERLINK("https://klasma.github.io/Logging_1491/klagomålsmail/A 1285-2020 klagomålsmail.docx", "A 1285-2020")</f>
        <v/>
      </c>
      <c r="X3910">
        <f>HYPERLINK("https://klasma.github.io/Logging_1491/tillsyn/A 1285-2020 tillsyn.docx", "A 1285-2020")</f>
        <v/>
      </c>
      <c r="Y3910">
        <f>HYPERLINK("https://klasma.github.io/Logging_1491/tillsynsmail/A 1285-2020 tillsynsmail.docx", "A 1285-2020")</f>
        <v/>
      </c>
    </row>
    <row r="3911" ht="15" customHeight="1">
      <c r="A3911" t="inlineStr">
        <is>
          <t>A 1369-2020</t>
        </is>
      </c>
      <c r="B3911" s="1" t="n">
        <v>43843</v>
      </c>
      <c r="C3911" s="1" t="n">
        <v>45212</v>
      </c>
      <c r="D3911" t="inlineStr">
        <is>
          <t>VÄSTRA GÖTALANDS LÄN</t>
        </is>
      </c>
      <c r="E3911" t="inlineStr">
        <is>
          <t>TJÖRN</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1521-2020</t>
        </is>
      </c>
      <c r="B3912" s="1" t="n">
        <v>43843</v>
      </c>
      <c r="C3912" s="1" t="n">
        <v>45212</v>
      </c>
      <c r="D3912" t="inlineStr">
        <is>
          <t>VÄSTRA GÖTALANDS LÄN</t>
        </is>
      </c>
      <c r="E3912" t="inlineStr">
        <is>
          <t>ALINGSÅS</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1374-2020</t>
        </is>
      </c>
      <c r="B3913" s="1" t="n">
        <v>43843</v>
      </c>
      <c r="C3913" s="1" t="n">
        <v>45212</v>
      </c>
      <c r="D3913" t="inlineStr">
        <is>
          <t>VÄSTRA GÖTALANDS LÄN</t>
        </is>
      </c>
      <c r="E3913" t="inlineStr">
        <is>
          <t>VARA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1428-2020</t>
        </is>
      </c>
      <c r="B3914" s="1" t="n">
        <v>43843</v>
      </c>
      <c r="C3914" s="1" t="n">
        <v>45212</v>
      </c>
      <c r="D3914" t="inlineStr">
        <is>
          <t>VÄSTRA GÖTALANDS LÄN</t>
        </is>
      </c>
      <c r="E3914" t="inlineStr">
        <is>
          <t>VARA</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1846-2020</t>
        </is>
      </c>
      <c r="B3915" s="1" t="n">
        <v>43844</v>
      </c>
      <c r="C3915" s="1" t="n">
        <v>45212</v>
      </c>
      <c r="D3915" t="inlineStr">
        <is>
          <t>VÄSTRA GÖTALANDS LÄN</t>
        </is>
      </c>
      <c r="E3915" t="inlineStr">
        <is>
          <t>MARK</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1618-2020</t>
        </is>
      </c>
      <c r="B3916" s="1" t="n">
        <v>43844</v>
      </c>
      <c r="C3916" s="1" t="n">
        <v>45212</v>
      </c>
      <c r="D3916" t="inlineStr">
        <is>
          <t>VÄSTRA GÖTALANDS LÄN</t>
        </is>
      </c>
      <c r="E3916" t="inlineStr">
        <is>
          <t>GULLSPÅNG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1785-2020</t>
        </is>
      </c>
      <c r="B3917" s="1" t="n">
        <v>43844</v>
      </c>
      <c r="C3917" s="1" t="n">
        <v>45212</v>
      </c>
      <c r="D3917" t="inlineStr">
        <is>
          <t>VÄSTRA GÖTALANDS LÄN</t>
        </is>
      </c>
      <c r="E3917" t="inlineStr">
        <is>
          <t>TANUM</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1835-2020</t>
        </is>
      </c>
      <c r="B3918" s="1" t="n">
        <v>43844</v>
      </c>
      <c r="C3918" s="1" t="n">
        <v>45212</v>
      </c>
      <c r="D3918" t="inlineStr">
        <is>
          <t>VÄSTRA GÖTALANDS LÄN</t>
        </is>
      </c>
      <c r="E3918" t="inlineStr">
        <is>
          <t>ALINGSÅS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1592-2020</t>
        </is>
      </c>
      <c r="B3919" s="1" t="n">
        <v>43844</v>
      </c>
      <c r="C3919" s="1" t="n">
        <v>45212</v>
      </c>
      <c r="D3919" t="inlineStr">
        <is>
          <t>VÄSTRA GÖTALANDS LÄN</t>
        </is>
      </c>
      <c r="E3919" t="inlineStr">
        <is>
          <t>MARK</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3267-2020</t>
        </is>
      </c>
      <c r="B3920" s="1" t="n">
        <v>43844</v>
      </c>
      <c r="C3920" s="1" t="n">
        <v>45212</v>
      </c>
      <c r="D3920" t="inlineStr">
        <is>
          <t>VÄSTRA GÖTALANDS LÄN</t>
        </is>
      </c>
      <c r="E3920" t="inlineStr">
        <is>
          <t>VÄNERSBORG</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1588-2020</t>
        </is>
      </c>
      <c r="B3921" s="1" t="n">
        <v>43844</v>
      </c>
      <c r="C3921" s="1" t="n">
        <v>45212</v>
      </c>
      <c r="D3921" t="inlineStr">
        <is>
          <t>VÄSTRA GÖTALANDS LÄN</t>
        </is>
      </c>
      <c r="E3921" t="inlineStr">
        <is>
          <t>HJO</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2014-2020</t>
        </is>
      </c>
      <c r="B3922" s="1" t="n">
        <v>43845</v>
      </c>
      <c r="C3922" s="1" t="n">
        <v>45212</v>
      </c>
      <c r="D3922" t="inlineStr">
        <is>
          <t>VÄSTRA GÖTALANDS LÄN</t>
        </is>
      </c>
      <c r="E3922" t="inlineStr">
        <is>
          <t>LERUM</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2081-2020</t>
        </is>
      </c>
      <c r="B3923" s="1" t="n">
        <v>43845</v>
      </c>
      <c r="C3923" s="1" t="n">
        <v>45212</v>
      </c>
      <c r="D3923" t="inlineStr">
        <is>
          <t>VÄSTRA GÖTALANDS LÄN</t>
        </is>
      </c>
      <c r="E3923" t="inlineStr">
        <is>
          <t>HERRLJUNGA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1884-2020</t>
        </is>
      </c>
      <c r="B3924" s="1" t="n">
        <v>43845</v>
      </c>
      <c r="C3924" s="1" t="n">
        <v>45212</v>
      </c>
      <c r="D3924" t="inlineStr">
        <is>
          <t>VÄSTRA GÖTALANDS LÄN</t>
        </is>
      </c>
      <c r="E3924" t="inlineStr">
        <is>
          <t>LERUM</t>
        </is>
      </c>
      <c r="G3924" t="n">
        <v>4</v>
      </c>
      <c r="H3924" t="n">
        <v>0</v>
      </c>
      <c r="I3924" t="n">
        <v>0</v>
      </c>
      <c r="J3924" t="n">
        <v>0</v>
      </c>
      <c r="K3924" t="n">
        <v>0</v>
      </c>
      <c r="L3924" t="n">
        <v>0</v>
      </c>
      <c r="M3924" t="n">
        <v>0</v>
      </c>
      <c r="N3924" t="n">
        <v>0</v>
      </c>
      <c r="O3924" t="n">
        <v>0</v>
      </c>
      <c r="P3924" t="n">
        <v>0</v>
      </c>
      <c r="Q3924" t="n">
        <v>0</v>
      </c>
      <c r="R3924" s="2" t="inlineStr"/>
    </row>
    <row r="3925" ht="15" customHeight="1">
      <c r="A3925" t="inlineStr">
        <is>
          <t>A 1952-2020</t>
        </is>
      </c>
      <c r="B3925" s="1" t="n">
        <v>43845</v>
      </c>
      <c r="C3925" s="1" t="n">
        <v>45212</v>
      </c>
      <c r="D3925" t="inlineStr">
        <is>
          <t>VÄSTRA GÖTALANDS LÄN</t>
        </is>
      </c>
      <c r="E3925" t="inlineStr">
        <is>
          <t>TIDAHOLM</t>
        </is>
      </c>
      <c r="G3925" t="n">
        <v>1.2</v>
      </c>
      <c r="H3925" t="n">
        <v>0</v>
      </c>
      <c r="I3925" t="n">
        <v>0</v>
      </c>
      <c r="J3925" t="n">
        <v>0</v>
      </c>
      <c r="K3925" t="n">
        <v>0</v>
      </c>
      <c r="L3925" t="n">
        <v>0</v>
      </c>
      <c r="M3925" t="n">
        <v>0</v>
      </c>
      <c r="N3925" t="n">
        <v>0</v>
      </c>
      <c r="O3925" t="n">
        <v>0</v>
      </c>
      <c r="P3925" t="n">
        <v>0</v>
      </c>
      <c r="Q3925" t="n">
        <v>0</v>
      </c>
      <c r="R3925" s="2" t="inlineStr"/>
    </row>
    <row r="3926" ht="15" customHeight="1">
      <c r="A3926" t="inlineStr">
        <is>
          <t>A 2031-2020</t>
        </is>
      </c>
      <c r="B3926" s="1" t="n">
        <v>43845</v>
      </c>
      <c r="C3926" s="1" t="n">
        <v>45212</v>
      </c>
      <c r="D3926" t="inlineStr">
        <is>
          <t>VÄSTRA GÖTALANDS LÄN</t>
        </is>
      </c>
      <c r="E3926" t="inlineStr">
        <is>
          <t>LERUM</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2079-2020</t>
        </is>
      </c>
      <c r="B3927" s="1" t="n">
        <v>43845</v>
      </c>
      <c r="C3927" s="1" t="n">
        <v>45212</v>
      </c>
      <c r="D3927" t="inlineStr">
        <is>
          <t>VÄSTRA GÖTALANDS LÄN</t>
        </is>
      </c>
      <c r="E3927" t="inlineStr">
        <is>
          <t>HERRLJUNGA</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3616-2020</t>
        </is>
      </c>
      <c r="B3928" s="1" t="n">
        <v>43845</v>
      </c>
      <c r="C3928" s="1" t="n">
        <v>45212</v>
      </c>
      <c r="D3928" t="inlineStr">
        <is>
          <t>VÄSTRA GÖTALANDS LÄN</t>
        </is>
      </c>
      <c r="E3928" t="inlineStr">
        <is>
          <t>MARK</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1949-2020</t>
        </is>
      </c>
      <c r="B3929" s="1" t="n">
        <v>43845</v>
      </c>
      <c r="C3929" s="1" t="n">
        <v>45212</v>
      </c>
      <c r="D3929" t="inlineStr">
        <is>
          <t>VÄSTRA GÖTALANDS LÄN</t>
        </is>
      </c>
      <c r="E3929" t="inlineStr">
        <is>
          <t>ALINGSÅS</t>
        </is>
      </c>
      <c r="G3929" t="n">
        <v>5.6</v>
      </c>
      <c r="H3929" t="n">
        <v>0</v>
      </c>
      <c r="I3929" t="n">
        <v>0</v>
      </c>
      <c r="J3929" t="n">
        <v>0</v>
      </c>
      <c r="K3929" t="n">
        <v>0</v>
      </c>
      <c r="L3929" t="n">
        <v>0</v>
      </c>
      <c r="M3929" t="n">
        <v>0</v>
      </c>
      <c r="N3929" t="n">
        <v>0</v>
      </c>
      <c r="O3929" t="n">
        <v>0</v>
      </c>
      <c r="P3929" t="n">
        <v>0</v>
      </c>
      <c r="Q3929" t="n">
        <v>0</v>
      </c>
      <c r="R3929" s="2" t="inlineStr"/>
    </row>
    <row r="3930" ht="15" customHeight="1">
      <c r="A3930" t="inlineStr">
        <is>
          <t>A 2023-2020</t>
        </is>
      </c>
      <c r="B3930" s="1" t="n">
        <v>43845</v>
      </c>
      <c r="C3930" s="1" t="n">
        <v>45212</v>
      </c>
      <c r="D3930" t="inlineStr">
        <is>
          <t>VÄSTRA GÖTALANDS LÄN</t>
        </is>
      </c>
      <c r="E3930" t="inlineStr">
        <is>
          <t>LERUM</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2049-2020</t>
        </is>
      </c>
      <c r="B3931" s="1" t="n">
        <v>43845</v>
      </c>
      <c r="C3931" s="1" t="n">
        <v>45212</v>
      </c>
      <c r="D3931" t="inlineStr">
        <is>
          <t>VÄSTRA GÖTALANDS LÄN</t>
        </is>
      </c>
      <c r="E3931" t="inlineStr">
        <is>
          <t>TROLLHÄTTAN</t>
        </is>
      </c>
      <c r="G3931" t="n">
        <v>0.4</v>
      </c>
      <c r="H3931" t="n">
        <v>0</v>
      </c>
      <c r="I3931" t="n">
        <v>0</v>
      </c>
      <c r="J3931" t="n">
        <v>0</v>
      </c>
      <c r="K3931" t="n">
        <v>0</v>
      </c>
      <c r="L3931" t="n">
        <v>0</v>
      </c>
      <c r="M3931" t="n">
        <v>0</v>
      </c>
      <c r="N3931" t="n">
        <v>0</v>
      </c>
      <c r="O3931" t="n">
        <v>0</v>
      </c>
      <c r="P3931" t="n">
        <v>0</v>
      </c>
      <c r="Q3931" t="n">
        <v>0</v>
      </c>
      <c r="R3931" s="2" t="inlineStr"/>
    </row>
    <row r="3932" ht="15" customHeight="1">
      <c r="A3932" t="inlineStr">
        <is>
          <t>A 2034-2020</t>
        </is>
      </c>
      <c r="B3932" s="1" t="n">
        <v>43845</v>
      </c>
      <c r="C3932" s="1" t="n">
        <v>45212</v>
      </c>
      <c r="D3932" t="inlineStr">
        <is>
          <t>VÄSTRA GÖTALANDS LÄN</t>
        </is>
      </c>
      <c r="E3932" t="inlineStr">
        <is>
          <t>LERUM</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2249-2020</t>
        </is>
      </c>
      <c r="B3933" s="1" t="n">
        <v>43846</v>
      </c>
      <c r="C3933" s="1" t="n">
        <v>45212</v>
      </c>
      <c r="D3933" t="inlineStr">
        <is>
          <t>VÄSTRA GÖTALANDS LÄN</t>
        </is>
      </c>
      <c r="E3933" t="inlineStr">
        <is>
          <t>MARIESTAD</t>
        </is>
      </c>
      <c r="G3933" t="n">
        <v>5.1</v>
      </c>
      <c r="H3933" t="n">
        <v>0</v>
      </c>
      <c r="I3933" t="n">
        <v>0</v>
      </c>
      <c r="J3933" t="n">
        <v>0</v>
      </c>
      <c r="K3933" t="n">
        <v>0</v>
      </c>
      <c r="L3933" t="n">
        <v>0</v>
      </c>
      <c r="M3933" t="n">
        <v>0</v>
      </c>
      <c r="N3933" t="n">
        <v>0</v>
      </c>
      <c r="O3933" t="n">
        <v>0</v>
      </c>
      <c r="P3933" t="n">
        <v>0</v>
      </c>
      <c r="Q3933" t="n">
        <v>0</v>
      </c>
      <c r="R3933" s="2" t="inlineStr"/>
    </row>
    <row r="3934" ht="15" customHeight="1">
      <c r="A3934" t="inlineStr">
        <is>
          <t>A 2352-2020</t>
        </is>
      </c>
      <c r="B3934" s="1" t="n">
        <v>43846</v>
      </c>
      <c r="C3934" s="1" t="n">
        <v>45212</v>
      </c>
      <c r="D3934" t="inlineStr">
        <is>
          <t>VÄSTRA GÖTALANDS LÄN</t>
        </is>
      </c>
      <c r="E3934" t="inlineStr">
        <is>
          <t>GÖTENE</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2156-2020</t>
        </is>
      </c>
      <c r="B3935" s="1" t="n">
        <v>43846</v>
      </c>
      <c r="C3935" s="1" t="n">
        <v>45212</v>
      </c>
      <c r="D3935" t="inlineStr">
        <is>
          <t>VÄSTRA GÖTALANDS LÄN</t>
        </is>
      </c>
      <c r="E3935" t="inlineStr">
        <is>
          <t>ÅMÅL</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2224-2020</t>
        </is>
      </c>
      <c r="B3936" s="1" t="n">
        <v>43846</v>
      </c>
      <c r="C3936" s="1" t="n">
        <v>45212</v>
      </c>
      <c r="D3936" t="inlineStr">
        <is>
          <t>VÄSTRA GÖTALANDS LÄN</t>
        </is>
      </c>
      <c r="E3936" t="inlineStr">
        <is>
          <t>TJÖRN</t>
        </is>
      </c>
      <c r="G3936" t="n">
        <v>2.4</v>
      </c>
      <c r="H3936" t="n">
        <v>0</v>
      </c>
      <c r="I3936" t="n">
        <v>0</v>
      </c>
      <c r="J3936" t="n">
        <v>0</v>
      </c>
      <c r="K3936" t="n">
        <v>0</v>
      </c>
      <c r="L3936" t="n">
        <v>0</v>
      </c>
      <c r="M3936" t="n">
        <v>0</v>
      </c>
      <c r="N3936" t="n">
        <v>0</v>
      </c>
      <c r="O3936" t="n">
        <v>0</v>
      </c>
      <c r="P3936" t="n">
        <v>0</v>
      </c>
      <c r="Q3936" t="n">
        <v>0</v>
      </c>
      <c r="R3936" s="2" t="inlineStr"/>
    </row>
    <row r="3937" ht="15" customHeight="1">
      <c r="A3937" t="inlineStr">
        <is>
          <t>A 2231-2020</t>
        </is>
      </c>
      <c r="B3937" s="1" t="n">
        <v>43846</v>
      </c>
      <c r="C3937" s="1" t="n">
        <v>45212</v>
      </c>
      <c r="D3937" t="inlineStr">
        <is>
          <t>VÄSTRA GÖTALANDS LÄN</t>
        </is>
      </c>
      <c r="E3937" t="inlineStr">
        <is>
          <t>MARK</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2245-2020</t>
        </is>
      </c>
      <c r="B3938" s="1" t="n">
        <v>43846</v>
      </c>
      <c r="C3938" s="1" t="n">
        <v>45212</v>
      </c>
      <c r="D3938" t="inlineStr">
        <is>
          <t>VÄSTRA GÖTALANDS LÄN</t>
        </is>
      </c>
      <c r="E3938" t="inlineStr">
        <is>
          <t>UDDEVALLA</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2257-2020</t>
        </is>
      </c>
      <c r="B3939" s="1" t="n">
        <v>43846</v>
      </c>
      <c r="C3939" s="1" t="n">
        <v>45212</v>
      </c>
      <c r="D3939" t="inlineStr">
        <is>
          <t>VÄSTRA GÖTALANDS LÄN</t>
        </is>
      </c>
      <c r="E3939" t="inlineStr">
        <is>
          <t>ALINGSÅS</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2300-2020</t>
        </is>
      </c>
      <c r="B3940" s="1" t="n">
        <v>43846</v>
      </c>
      <c r="C3940" s="1" t="n">
        <v>45212</v>
      </c>
      <c r="D3940" t="inlineStr">
        <is>
          <t>VÄSTRA GÖTALANDS LÄN</t>
        </is>
      </c>
      <c r="E3940" t="inlineStr">
        <is>
          <t>MELLERUD</t>
        </is>
      </c>
      <c r="G3940" t="n">
        <v>1.7</v>
      </c>
      <c r="H3940" t="n">
        <v>0</v>
      </c>
      <c r="I3940" t="n">
        <v>0</v>
      </c>
      <c r="J3940" t="n">
        <v>0</v>
      </c>
      <c r="K3940" t="n">
        <v>0</v>
      </c>
      <c r="L3940" t="n">
        <v>0</v>
      </c>
      <c r="M3940" t="n">
        <v>0</v>
      </c>
      <c r="N3940" t="n">
        <v>0</v>
      </c>
      <c r="O3940" t="n">
        <v>0</v>
      </c>
      <c r="P3940" t="n">
        <v>0</v>
      </c>
      <c r="Q3940" t="n">
        <v>0</v>
      </c>
      <c r="R3940" s="2" t="inlineStr"/>
    </row>
    <row r="3941" ht="15" customHeight="1">
      <c r="A3941" t="inlineStr">
        <is>
          <t>A 3908-2020</t>
        </is>
      </c>
      <c r="B3941" s="1" t="n">
        <v>43846</v>
      </c>
      <c r="C3941" s="1" t="n">
        <v>45212</v>
      </c>
      <c r="D3941" t="inlineStr">
        <is>
          <t>VÄSTRA GÖTALANDS LÄN</t>
        </is>
      </c>
      <c r="E3941" t="inlineStr">
        <is>
          <t>GULLSPÅNG</t>
        </is>
      </c>
      <c r="G3941" t="n">
        <v>3.3</v>
      </c>
      <c r="H3941" t="n">
        <v>0</v>
      </c>
      <c r="I3941" t="n">
        <v>0</v>
      </c>
      <c r="J3941" t="n">
        <v>0</v>
      </c>
      <c r="K3941" t="n">
        <v>0</v>
      </c>
      <c r="L3941" t="n">
        <v>0</v>
      </c>
      <c r="M3941" t="n">
        <v>0</v>
      </c>
      <c r="N3941" t="n">
        <v>0</v>
      </c>
      <c r="O3941" t="n">
        <v>0</v>
      </c>
      <c r="P3941" t="n">
        <v>0</v>
      </c>
      <c r="Q3941" t="n">
        <v>0</v>
      </c>
      <c r="R3941" s="2" t="inlineStr"/>
    </row>
    <row r="3942" ht="15" customHeight="1">
      <c r="A3942" t="inlineStr">
        <is>
          <t>A 2239-2020</t>
        </is>
      </c>
      <c r="B3942" s="1" t="n">
        <v>43846</v>
      </c>
      <c r="C3942" s="1" t="n">
        <v>45212</v>
      </c>
      <c r="D3942" t="inlineStr">
        <is>
          <t>VÄSTRA GÖTALANDS LÄN</t>
        </is>
      </c>
      <c r="E3942" t="inlineStr">
        <is>
          <t>TROLLHÄTTAN</t>
        </is>
      </c>
      <c r="G3942" t="n">
        <v>1.8</v>
      </c>
      <c r="H3942" t="n">
        <v>0</v>
      </c>
      <c r="I3942" t="n">
        <v>0</v>
      </c>
      <c r="J3942" t="n">
        <v>0</v>
      </c>
      <c r="K3942" t="n">
        <v>0</v>
      </c>
      <c r="L3942" t="n">
        <v>0</v>
      </c>
      <c r="M3942" t="n">
        <v>0</v>
      </c>
      <c r="N3942" t="n">
        <v>0</v>
      </c>
      <c r="O3942" t="n">
        <v>0</v>
      </c>
      <c r="P3942" t="n">
        <v>0</v>
      </c>
      <c r="Q3942" t="n">
        <v>0</v>
      </c>
      <c r="R3942" s="2" t="inlineStr"/>
    </row>
    <row r="3943" ht="15" customHeight="1">
      <c r="A3943" t="inlineStr">
        <is>
          <t>A 2312-2020</t>
        </is>
      </c>
      <c r="B3943" s="1" t="n">
        <v>43846</v>
      </c>
      <c r="C3943" s="1" t="n">
        <v>45212</v>
      </c>
      <c r="D3943" t="inlineStr">
        <is>
          <t>VÄSTRA GÖTALANDS LÄN</t>
        </is>
      </c>
      <c r="E3943" t="inlineStr">
        <is>
          <t>BENGTSFORS</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2148-2020</t>
        </is>
      </c>
      <c r="B3944" s="1" t="n">
        <v>43846</v>
      </c>
      <c r="C3944" s="1" t="n">
        <v>45212</v>
      </c>
      <c r="D3944" t="inlineStr">
        <is>
          <t>VÄSTRA GÖTALANDS LÄN</t>
        </is>
      </c>
      <c r="E3944" t="inlineStr">
        <is>
          <t>VÄNERSBORG</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2230-2020</t>
        </is>
      </c>
      <c r="B3945" s="1" t="n">
        <v>43846</v>
      </c>
      <c r="C3945" s="1" t="n">
        <v>45212</v>
      </c>
      <c r="D3945" t="inlineStr">
        <is>
          <t>VÄSTRA GÖTALANDS LÄN</t>
        </is>
      </c>
      <c r="E3945" t="inlineStr">
        <is>
          <t>UDDEVALLA</t>
        </is>
      </c>
      <c r="F3945" t="inlineStr">
        <is>
          <t>Kyrkan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2242-2020</t>
        </is>
      </c>
      <c r="B3946" s="1" t="n">
        <v>43846</v>
      </c>
      <c r="C3946" s="1" t="n">
        <v>45212</v>
      </c>
      <c r="D3946" t="inlineStr">
        <is>
          <t>VÄSTRA GÖTALANDS LÄN</t>
        </is>
      </c>
      <c r="E3946" t="inlineStr">
        <is>
          <t>MARIESTAD</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2252-2020</t>
        </is>
      </c>
      <c r="B3947" s="1" t="n">
        <v>43846</v>
      </c>
      <c r="C3947" s="1" t="n">
        <v>45212</v>
      </c>
      <c r="D3947" t="inlineStr">
        <is>
          <t>VÄSTRA GÖTALANDS LÄN</t>
        </is>
      </c>
      <c r="E3947" t="inlineStr">
        <is>
          <t>MARIESTAD</t>
        </is>
      </c>
      <c r="G3947" t="n">
        <v>6.8</v>
      </c>
      <c r="H3947" t="n">
        <v>0</v>
      </c>
      <c r="I3947" t="n">
        <v>0</v>
      </c>
      <c r="J3947" t="n">
        <v>0</v>
      </c>
      <c r="K3947" t="n">
        <v>0</v>
      </c>
      <c r="L3947" t="n">
        <v>0</v>
      </c>
      <c r="M3947" t="n">
        <v>0</v>
      </c>
      <c r="N3947" t="n">
        <v>0</v>
      </c>
      <c r="O3947" t="n">
        <v>0</v>
      </c>
      <c r="P3947" t="n">
        <v>0</v>
      </c>
      <c r="Q3947" t="n">
        <v>0</v>
      </c>
      <c r="R3947" s="2" t="inlineStr"/>
    </row>
    <row r="3948" ht="15" customHeight="1">
      <c r="A3948" t="inlineStr">
        <is>
          <t>A 2299-2020</t>
        </is>
      </c>
      <c r="B3948" s="1" t="n">
        <v>43846</v>
      </c>
      <c r="C3948" s="1" t="n">
        <v>45212</v>
      </c>
      <c r="D3948" t="inlineStr">
        <is>
          <t>VÄSTRA GÖTALANDS LÄN</t>
        </is>
      </c>
      <c r="E3948" t="inlineStr">
        <is>
          <t>TIDAHOLM</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2322-2020</t>
        </is>
      </c>
      <c r="B3949" s="1" t="n">
        <v>43846</v>
      </c>
      <c r="C3949" s="1" t="n">
        <v>45212</v>
      </c>
      <c r="D3949" t="inlineStr">
        <is>
          <t>VÄSTRA GÖTALANDS LÄN</t>
        </is>
      </c>
      <c r="E3949" t="inlineStr">
        <is>
          <t>MARIESTAD</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2338-2020</t>
        </is>
      </c>
      <c r="B3950" s="1" t="n">
        <v>43846</v>
      </c>
      <c r="C3950" s="1" t="n">
        <v>45212</v>
      </c>
      <c r="D3950" t="inlineStr">
        <is>
          <t>VÄSTRA GÖTALANDS LÄN</t>
        </is>
      </c>
      <c r="E3950" t="inlineStr">
        <is>
          <t>ULRICEHAMN</t>
        </is>
      </c>
      <c r="G3950" t="n">
        <v>4.2</v>
      </c>
      <c r="H3950" t="n">
        <v>0</v>
      </c>
      <c r="I3950" t="n">
        <v>0</v>
      </c>
      <c r="J3950" t="n">
        <v>0</v>
      </c>
      <c r="K3950" t="n">
        <v>0</v>
      </c>
      <c r="L3950" t="n">
        <v>0</v>
      </c>
      <c r="M3950" t="n">
        <v>0</v>
      </c>
      <c r="N3950" t="n">
        <v>0</v>
      </c>
      <c r="O3950" t="n">
        <v>0</v>
      </c>
      <c r="P3950" t="n">
        <v>0</v>
      </c>
      <c r="Q3950" t="n">
        <v>0</v>
      </c>
      <c r="R3950" s="2" t="inlineStr"/>
    </row>
    <row r="3951" ht="15" customHeight="1">
      <c r="A3951" t="inlineStr">
        <is>
          <t>A 2545-2020</t>
        </is>
      </c>
      <c r="B3951" s="1" t="n">
        <v>43847</v>
      </c>
      <c r="C3951" s="1" t="n">
        <v>45212</v>
      </c>
      <c r="D3951" t="inlineStr">
        <is>
          <t>VÄSTRA GÖTALANDS LÄN</t>
        </is>
      </c>
      <c r="E3951" t="inlineStr">
        <is>
          <t>BENGTSFORS</t>
        </is>
      </c>
      <c r="G3951" t="n">
        <v>5</v>
      </c>
      <c r="H3951" t="n">
        <v>0</v>
      </c>
      <c r="I3951" t="n">
        <v>0</v>
      </c>
      <c r="J3951" t="n">
        <v>0</v>
      </c>
      <c r="K3951" t="n">
        <v>0</v>
      </c>
      <c r="L3951" t="n">
        <v>0</v>
      </c>
      <c r="M3951" t="n">
        <v>0</v>
      </c>
      <c r="N3951" t="n">
        <v>0</v>
      </c>
      <c r="O3951" t="n">
        <v>0</v>
      </c>
      <c r="P3951" t="n">
        <v>0</v>
      </c>
      <c r="Q3951" t="n">
        <v>0</v>
      </c>
      <c r="R3951" s="2" t="inlineStr"/>
    </row>
    <row r="3952" ht="15" customHeight="1">
      <c r="A3952" t="inlineStr">
        <is>
          <t>A 2632-2020</t>
        </is>
      </c>
      <c r="B3952" s="1" t="n">
        <v>43847</v>
      </c>
      <c r="C3952" s="1" t="n">
        <v>45212</v>
      </c>
      <c r="D3952" t="inlineStr">
        <is>
          <t>VÄSTRA GÖTALANDS LÄN</t>
        </is>
      </c>
      <c r="E3952" t="inlineStr">
        <is>
          <t>ALINGSÅS</t>
        </is>
      </c>
      <c r="G3952" t="n">
        <v>5.5</v>
      </c>
      <c r="H3952" t="n">
        <v>0</v>
      </c>
      <c r="I3952" t="n">
        <v>0</v>
      </c>
      <c r="J3952" t="n">
        <v>0</v>
      </c>
      <c r="K3952" t="n">
        <v>0</v>
      </c>
      <c r="L3952" t="n">
        <v>0</v>
      </c>
      <c r="M3952" t="n">
        <v>0</v>
      </c>
      <c r="N3952" t="n">
        <v>0</v>
      </c>
      <c r="O3952" t="n">
        <v>0</v>
      </c>
      <c r="P3952" t="n">
        <v>0</v>
      </c>
      <c r="Q3952" t="n">
        <v>0</v>
      </c>
      <c r="R3952" s="2" t="inlineStr"/>
    </row>
    <row r="3953" ht="15" customHeight="1">
      <c r="A3953" t="inlineStr">
        <is>
          <t>A 4110-2020</t>
        </is>
      </c>
      <c r="B3953" s="1" t="n">
        <v>43847</v>
      </c>
      <c r="C3953" s="1" t="n">
        <v>45212</v>
      </c>
      <c r="D3953" t="inlineStr">
        <is>
          <t>VÄSTRA GÖTALANDS LÄN</t>
        </is>
      </c>
      <c r="E3953" t="inlineStr">
        <is>
          <t>TIDAHOLM</t>
        </is>
      </c>
      <c r="G3953" t="n">
        <v>9.699999999999999</v>
      </c>
      <c r="H3953" t="n">
        <v>0</v>
      </c>
      <c r="I3953" t="n">
        <v>0</v>
      </c>
      <c r="J3953" t="n">
        <v>0</v>
      </c>
      <c r="K3953" t="n">
        <v>0</v>
      </c>
      <c r="L3953" t="n">
        <v>0</v>
      </c>
      <c r="M3953" t="n">
        <v>0</v>
      </c>
      <c r="N3953" t="n">
        <v>0</v>
      </c>
      <c r="O3953" t="n">
        <v>0</v>
      </c>
      <c r="P3953" t="n">
        <v>0</v>
      </c>
      <c r="Q3953" t="n">
        <v>0</v>
      </c>
      <c r="R3953" s="2" t="inlineStr"/>
    </row>
    <row r="3954" ht="15" customHeight="1">
      <c r="A3954" t="inlineStr">
        <is>
          <t>A 2423-2020</t>
        </is>
      </c>
      <c r="B3954" s="1" t="n">
        <v>43847</v>
      </c>
      <c r="C3954" s="1" t="n">
        <v>45212</v>
      </c>
      <c r="D3954" t="inlineStr">
        <is>
          <t>VÄSTRA GÖTALANDS LÄN</t>
        </is>
      </c>
      <c r="E3954" t="inlineStr">
        <is>
          <t>KUNGÄLV</t>
        </is>
      </c>
      <c r="G3954" t="n">
        <v>5.6</v>
      </c>
      <c r="H3954" t="n">
        <v>0</v>
      </c>
      <c r="I3954" t="n">
        <v>0</v>
      </c>
      <c r="J3954" t="n">
        <v>0</v>
      </c>
      <c r="K3954" t="n">
        <v>0</v>
      </c>
      <c r="L3954" t="n">
        <v>0</v>
      </c>
      <c r="M3954" t="n">
        <v>0</v>
      </c>
      <c r="N3954" t="n">
        <v>0</v>
      </c>
      <c r="O3954" t="n">
        <v>0</v>
      </c>
      <c r="P3954" t="n">
        <v>0</v>
      </c>
      <c r="Q3954" t="n">
        <v>0</v>
      </c>
      <c r="R3954" s="2" t="inlineStr"/>
    </row>
    <row r="3955" ht="15" customHeight="1">
      <c r="A3955" t="inlineStr">
        <is>
          <t>A 2602-2020</t>
        </is>
      </c>
      <c r="B3955" s="1" t="n">
        <v>43847</v>
      </c>
      <c r="C3955" s="1" t="n">
        <v>45212</v>
      </c>
      <c r="D3955" t="inlineStr">
        <is>
          <t>VÄSTRA GÖTALANDS LÄN</t>
        </is>
      </c>
      <c r="E3955" t="inlineStr">
        <is>
          <t>GULLSPÅNG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4416-2020</t>
        </is>
      </c>
      <c r="B3956" s="1" t="n">
        <v>43847</v>
      </c>
      <c r="C3956" s="1" t="n">
        <v>45212</v>
      </c>
      <c r="D3956" t="inlineStr">
        <is>
          <t>VÄSTRA GÖTALANDS LÄN</t>
        </is>
      </c>
      <c r="E3956" t="inlineStr">
        <is>
          <t>VARA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2662-2020</t>
        </is>
      </c>
      <c r="B3957" s="1" t="n">
        <v>43849</v>
      </c>
      <c r="C3957" s="1" t="n">
        <v>45212</v>
      </c>
      <c r="D3957" t="inlineStr">
        <is>
          <t>VÄSTRA GÖTALANDS LÄN</t>
        </is>
      </c>
      <c r="E3957" t="inlineStr">
        <is>
          <t>BORÅS</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2690-2020</t>
        </is>
      </c>
      <c r="B3958" s="1" t="n">
        <v>43850</v>
      </c>
      <c r="C3958" s="1" t="n">
        <v>45212</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2843-2020</t>
        </is>
      </c>
      <c r="B3959" s="1" t="n">
        <v>43850</v>
      </c>
      <c r="C3959" s="1" t="n">
        <v>45212</v>
      </c>
      <c r="D3959" t="inlineStr">
        <is>
          <t>VÄSTRA GÖTALANDS LÄN</t>
        </is>
      </c>
      <c r="E3959" t="inlineStr">
        <is>
          <t>ALE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2882-2020</t>
        </is>
      </c>
      <c r="B3960" s="1" t="n">
        <v>43850</v>
      </c>
      <c r="C3960" s="1" t="n">
        <v>45212</v>
      </c>
      <c r="D3960" t="inlineStr">
        <is>
          <t>VÄSTRA GÖTALANDS LÄN</t>
        </is>
      </c>
      <c r="E3960" t="inlineStr">
        <is>
          <t>BENGTSFORS</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2736-2020</t>
        </is>
      </c>
      <c r="B3961" s="1" t="n">
        <v>43850</v>
      </c>
      <c r="C3961" s="1" t="n">
        <v>45212</v>
      </c>
      <c r="D3961" t="inlineStr">
        <is>
          <t>VÄSTRA GÖTALANDS LÄN</t>
        </is>
      </c>
      <c r="E3961" t="inlineStr">
        <is>
          <t>MÖLNDAL</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2819-2020</t>
        </is>
      </c>
      <c r="B3962" s="1" t="n">
        <v>43850</v>
      </c>
      <c r="C3962" s="1" t="n">
        <v>45212</v>
      </c>
      <c r="D3962" t="inlineStr">
        <is>
          <t>VÄSTRA GÖTALANDS LÄN</t>
        </is>
      </c>
      <c r="E3962" t="inlineStr">
        <is>
          <t>FALKÖPING</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2981-2020</t>
        </is>
      </c>
      <c r="B3963" s="1" t="n">
        <v>43850</v>
      </c>
      <c r="C3963" s="1" t="n">
        <v>45212</v>
      </c>
      <c r="D3963" t="inlineStr">
        <is>
          <t>VÄSTRA GÖTALANDS LÄN</t>
        </is>
      </c>
      <c r="E3963" t="inlineStr">
        <is>
          <t>VÄNERSBORG</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2949-2020</t>
        </is>
      </c>
      <c r="B3964" s="1" t="n">
        <v>43850</v>
      </c>
      <c r="C3964" s="1" t="n">
        <v>45212</v>
      </c>
      <c r="D3964" t="inlineStr">
        <is>
          <t>VÄSTRA GÖTALANDS LÄN</t>
        </is>
      </c>
      <c r="E3964" t="inlineStr">
        <is>
          <t>FALKÖPING</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3040-2020</t>
        </is>
      </c>
      <c r="B3965" s="1" t="n">
        <v>43851</v>
      </c>
      <c r="C3965" s="1" t="n">
        <v>45212</v>
      </c>
      <c r="D3965" t="inlineStr">
        <is>
          <t>VÄSTRA GÖTALANDS LÄN</t>
        </is>
      </c>
      <c r="E3965" t="inlineStr">
        <is>
          <t>UDDEVALLA</t>
        </is>
      </c>
      <c r="G3965" t="n">
        <v>0.4</v>
      </c>
      <c r="H3965" t="n">
        <v>0</v>
      </c>
      <c r="I3965" t="n">
        <v>0</v>
      </c>
      <c r="J3965" t="n">
        <v>0</v>
      </c>
      <c r="K3965" t="n">
        <v>0</v>
      </c>
      <c r="L3965" t="n">
        <v>0</v>
      </c>
      <c r="M3965" t="n">
        <v>0</v>
      </c>
      <c r="N3965" t="n">
        <v>0</v>
      </c>
      <c r="O3965" t="n">
        <v>0</v>
      </c>
      <c r="P3965" t="n">
        <v>0</v>
      </c>
      <c r="Q3965" t="n">
        <v>0</v>
      </c>
      <c r="R3965" s="2" t="inlineStr"/>
    </row>
    <row r="3966" ht="15" customHeight="1">
      <c r="A3966" t="inlineStr">
        <is>
          <t>A 4638-2020</t>
        </is>
      </c>
      <c r="B3966" s="1" t="n">
        <v>43851</v>
      </c>
      <c r="C3966" s="1" t="n">
        <v>45212</v>
      </c>
      <c r="D3966" t="inlineStr">
        <is>
          <t>VÄSTRA GÖTALANDS LÄN</t>
        </is>
      </c>
      <c r="E3966" t="inlineStr">
        <is>
          <t>MUNKEDAL</t>
        </is>
      </c>
      <c r="F3966" t="inlineStr">
        <is>
          <t>Övriga Aktiebolag</t>
        </is>
      </c>
      <c r="G3966" t="n">
        <v>8.5</v>
      </c>
      <c r="H3966" t="n">
        <v>0</v>
      </c>
      <c r="I3966" t="n">
        <v>0</v>
      </c>
      <c r="J3966" t="n">
        <v>0</v>
      </c>
      <c r="K3966" t="n">
        <v>0</v>
      </c>
      <c r="L3966" t="n">
        <v>0</v>
      </c>
      <c r="M3966" t="n">
        <v>0</v>
      </c>
      <c r="N3966" t="n">
        <v>0</v>
      </c>
      <c r="O3966" t="n">
        <v>0</v>
      </c>
      <c r="P3966" t="n">
        <v>0</v>
      </c>
      <c r="Q3966" t="n">
        <v>0</v>
      </c>
      <c r="R3966" s="2" t="inlineStr"/>
    </row>
    <row r="3967" ht="15" customHeight="1">
      <c r="A3967" t="inlineStr">
        <is>
          <t>A 3107-2020</t>
        </is>
      </c>
      <c r="B3967" s="1" t="n">
        <v>43851</v>
      </c>
      <c r="C3967" s="1" t="n">
        <v>45212</v>
      </c>
      <c r="D3967" t="inlineStr">
        <is>
          <t>VÄSTRA GÖTALANDS LÄN</t>
        </is>
      </c>
      <c r="E3967" t="inlineStr">
        <is>
          <t>SKÖVDE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3041-2020</t>
        </is>
      </c>
      <c r="B3968" s="1" t="n">
        <v>43851</v>
      </c>
      <c r="C3968" s="1" t="n">
        <v>45212</v>
      </c>
      <c r="D3968" t="inlineStr">
        <is>
          <t>VÄSTRA GÖTALANDS LÄN</t>
        </is>
      </c>
      <c r="E3968" t="inlineStr">
        <is>
          <t>VÅRGÅRDA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3158-2020</t>
        </is>
      </c>
      <c r="B3969" s="1" t="n">
        <v>43851</v>
      </c>
      <c r="C3969" s="1" t="n">
        <v>45212</v>
      </c>
      <c r="D3969" t="inlineStr">
        <is>
          <t>VÄSTRA GÖTALANDS LÄN</t>
        </is>
      </c>
      <c r="E3969" t="inlineStr">
        <is>
          <t>BORÅS</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4601-2020</t>
        </is>
      </c>
      <c r="B3970" s="1" t="n">
        <v>43851</v>
      </c>
      <c r="C3970" s="1" t="n">
        <v>45212</v>
      </c>
      <c r="D3970" t="inlineStr">
        <is>
          <t>VÄSTRA GÖTALANDS LÄN</t>
        </is>
      </c>
      <c r="E3970" t="inlineStr">
        <is>
          <t>DALS-ED</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3273-2020</t>
        </is>
      </c>
      <c r="B3971" s="1" t="n">
        <v>43852</v>
      </c>
      <c r="C3971" s="1" t="n">
        <v>45212</v>
      </c>
      <c r="D3971" t="inlineStr">
        <is>
          <t>VÄSTRA GÖTALANDS LÄN</t>
        </is>
      </c>
      <c r="E3971" t="inlineStr">
        <is>
          <t>TÖREBODA</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3398-2020</t>
        </is>
      </c>
      <c r="B3972" s="1" t="n">
        <v>43852</v>
      </c>
      <c r="C3972" s="1" t="n">
        <v>45212</v>
      </c>
      <c r="D3972" t="inlineStr">
        <is>
          <t>VÄSTRA GÖTALANDS LÄN</t>
        </is>
      </c>
      <c r="E3972" t="inlineStr">
        <is>
          <t>FÄRGELANDA</t>
        </is>
      </c>
      <c r="G3972" t="n">
        <v>4.5</v>
      </c>
      <c r="H3972" t="n">
        <v>0</v>
      </c>
      <c r="I3972" t="n">
        <v>0</v>
      </c>
      <c r="J3972" t="n">
        <v>0</v>
      </c>
      <c r="K3972" t="n">
        <v>0</v>
      </c>
      <c r="L3972" t="n">
        <v>0</v>
      </c>
      <c r="M3972" t="n">
        <v>0</v>
      </c>
      <c r="N3972" t="n">
        <v>0</v>
      </c>
      <c r="O3972" t="n">
        <v>0</v>
      </c>
      <c r="P3972" t="n">
        <v>0</v>
      </c>
      <c r="Q3972" t="n">
        <v>0</v>
      </c>
      <c r="R3972" s="2" t="inlineStr"/>
    </row>
    <row r="3973" ht="15" customHeight="1">
      <c r="A3973" t="inlineStr">
        <is>
          <t>A 4572-2020</t>
        </is>
      </c>
      <c r="B3973" s="1" t="n">
        <v>43852</v>
      </c>
      <c r="C3973" s="1" t="n">
        <v>45212</v>
      </c>
      <c r="D3973" t="inlineStr">
        <is>
          <t>VÄSTRA GÖTALANDS LÄN</t>
        </is>
      </c>
      <c r="E3973" t="inlineStr">
        <is>
          <t>FALKÖPING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4838-2020</t>
        </is>
      </c>
      <c r="B3974" s="1" t="n">
        <v>43852</v>
      </c>
      <c r="C3974" s="1" t="n">
        <v>45212</v>
      </c>
      <c r="D3974" t="inlineStr">
        <is>
          <t>VÄSTRA GÖTALANDS LÄN</t>
        </is>
      </c>
      <c r="E3974" t="inlineStr">
        <is>
          <t>FALKÖPING</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4913-2020</t>
        </is>
      </c>
      <c r="B3975" s="1" t="n">
        <v>43852</v>
      </c>
      <c r="C3975" s="1" t="n">
        <v>45212</v>
      </c>
      <c r="D3975" t="inlineStr">
        <is>
          <t>VÄSTRA GÖTALANDS LÄN</t>
        </is>
      </c>
      <c r="E3975" t="inlineStr">
        <is>
          <t>HERRLJUNGA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3275-2020</t>
        </is>
      </c>
      <c r="B3976" s="1" t="n">
        <v>43852</v>
      </c>
      <c r="C3976" s="1" t="n">
        <v>45212</v>
      </c>
      <c r="D3976" t="inlineStr">
        <is>
          <t>VÄSTRA GÖTALANDS LÄN</t>
        </is>
      </c>
      <c r="E3976" t="inlineStr">
        <is>
          <t>MARIESTAD</t>
        </is>
      </c>
      <c r="F3976" t="inlineStr">
        <is>
          <t>Sveaskog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3345-2020</t>
        </is>
      </c>
      <c r="B3977" s="1" t="n">
        <v>43852</v>
      </c>
      <c r="C3977" s="1" t="n">
        <v>45212</v>
      </c>
      <c r="D3977" t="inlineStr">
        <is>
          <t>VÄSTRA GÖTALANDS LÄN</t>
        </is>
      </c>
      <c r="E3977" t="inlineStr">
        <is>
          <t>FÄRGELANDA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3446-2020</t>
        </is>
      </c>
      <c r="B3978" s="1" t="n">
        <v>43852</v>
      </c>
      <c r="C3978" s="1" t="n">
        <v>45212</v>
      </c>
      <c r="D3978" t="inlineStr">
        <is>
          <t>VÄSTRA GÖTALANDS LÄN</t>
        </is>
      </c>
      <c r="E3978" t="inlineStr">
        <is>
          <t>FÄRGELANDA</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4580-2020</t>
        </is>
      </c>
      <c r="B3979" s="1" t="n">
        <v>43852</v>
      </c>
      <c r="C3979" s="1" t="n">
        <v>45212</v>
      </c>
      <c r="D3979" t="inlineStr">
        <is>
          <t>VÄSTRA GÖTALANDS LÄN</t>
        </is>
      </c>
      <c r="E3979" t="inlineStr">
        <is>
          <t>FALKÖPING</t>
        </is>
      </c>
      <c r="G3979" t="n">
        <v>9.199999999999999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4766-2020</t>
        </is>
      </c>
      <c r="B3980" s="1" t="n">
        <v>43852</v>
      </c>
      <c r="C3980" s="1" t="n">
        <v>45212</v>
      </c>
      <c r="D3980" t="inlineStr">
        <is>
          <t>VÄSTRA GÖTALANDS LÄN</t>
        </is>
      </c>
      <c r="E3980" t="inlineStr">
        <is>
          <t>FALKÖPING</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4843-2020</t>
        </is>
      </c>
      <c r="B3981" s="1" t="n">
        <v>43852</v>
      </c>
      <c r="C3981" s="1" t="n">
        <v>45212</v>
      </c>
      <c r="D3981" t="inlineStr">
        <is>
          <t>VÄSTRA GÖTALANDS LÄN</t>
        </is>
      </c>
      <c r="E3981" t="inlineStr">
        <is>
          <t>FALKÖPING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4861-2020</t>
        </is>
      </c>
      <c r="B3982" s="1" t="n">
        <v>43852</v>
      </c>
      <c r="C3982" s="1" t="n">
        <v>45212</v>
      </c>
      <c r="D3982" t="inlineStr">
        <is>
          <t>VÄSTRA GÖTALANDS LÄN</t>
        </is>
      </c>
      <c r="E3982" t="inlineStr">
        <is>
          <t>TIDAHOLM</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4924-2020</t>
        </is>
      </c>
      <c r="B3983" s="1" t="n">
        <v>43852</v>
      </c>
      <c r="C3983" s="1" t="n">
        <v>45212</v>
      </c>
      <c r="D3983" t="inlineStr">
        <is>
          <t>VÄSTRA GÖTALANDS LÄN</t>
        </is>
      </c>
      <c r="E3983" t="inlineStr">
        <is>
          <t>FALKÖPING</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3269-2020</t>
        </is>
      </c>
      <c r="B3984" s="1" t="n">
        <v>43852</v>
      </c>
      <c r="C3984" s="1" t="n">
        <v>45212</v>
      </c>
      <c r="D3984" t="inlineStr">
        <is>
          <t>VÄSTRA GÖTALANDS LÄN</t>
        </is>
      </c>
      <c r="E3984" t="inlineStr">
        <is>
          <t>TÖREBODA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3342-2020</t>
        </is>
      </c>
      <c r="B3985" s="1" t="n">
        <v>43852</v>
      </c>
      <c r="C3985" s="1" t="n">
        <v>45212</v>
      </c>
      <c r="D3985" t="inlineStr">
        <is>
          <t>VÄSTRA GÖTALANDS LÄN</t>
        </is>
      </c>
      <c r="E3985" t="inlineStr">
        <is>
          <t>GÖTENE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4620-2020</t>
        </is>
      </c>
      <c r="B3986" s="1" t="n">
        <v>43852</v>
      </c>
      <c r="C3986" s="1" t="n">
        <v>45212</v>
      </c>
      <c r="D3986" t="inlineStr">
        <is>
          <t>VÄSTRA GÖTALANDS LÄN</t>
        </is>
      </c>
      <c r="E3986" t="inlineStr">
        <is>
          <t>FALKÖPING</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4820-2020</t>
        </is>
      </c>
      <c r="B3987" s="1" t="n">
        <v>43852</v>
      </c>
      <c r="C3987" s="1" t="n">
        <v>45212</v>
      </c>
      <c r="D3987" t="inlineStr">
        <is>
          <t>VÄSTRA GÖTALANDS LÄN</t>
        </is>
      </c>
      <c r="E3987" t="inlineStr">
        <is>
          <t>FALKÖPING</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4874-2020</t>
        </is>
      </c>
      <c r="B3988" s="1" t="n">
        <v>43852</v>
      </c>
      <c r="C3988" s="1" t="n">
        <v>45212</v>
      </c>
      <c r="D3988" t="inlineStr">
        <is>
          <t>VÄSTRA GÖTALANDS LÄN</t>
        </is>
      </c>
      <c r="E3988" t="inlineStr">
        <is>
          <t>VARA</t>
        </is>
      </c>
      <c r="G3988" t="n">
        <v>4.4</v>
      </c>
      <c r="H3988" t="n">
        <v>0</v>
      </c>
      <c r="I3988" t="n">
        <v>0</v>
      </c>
      <c r="J3988" t="n">
        <v>0</v>
      </c>
      <c r="K3988" t="n">
        <v>0</v>
      </c>
      <c r="L3988" t="n">
        <v>0</v>
      </c>
      <c r="M3988" t="n">
        <v>0</v>
      </c>
      <c r="N3988" t="n">
        <v>0</v>
      </c>
      <c r="O3988" t="n">
        <v>0</v>
      </c>
      <c r="P3988" t="n">
        <v>0</v>
      </c>
      <c r="Q3988" t="n">
        <v>0</v>
      </c>
      <c r="R3988" s="2" t="inlineStr"/>
    </row>
    <row r="3989" ht="15" customHeight="1">
      <c r="A3989" t="inlineStr">
        <is>
          <t>A 3366-2020</t>
        </is>
      </c>
      <c r="B3989" s="1" t="n">
        <v>43852</v>
      </c>
      <c r="C3989" s="1" t="n">
        <v>45212</v>
      </c>
      <c r="D3989" t="inlineStr">
        <is>
          <t>VÄSTRA GÖTALANDS LÄN</t>
        </is>
      </c>
      <c r="E3989" t="inlineStr">
        <is>
          <t>GULLSPÅNG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4591-2020</t>
        </is>
      </c>
      <c r="B3990" s="1" t="n">
        <v>43852</v>
      </c>
      <c r="C3990" s="1" t="n">
        <v>45212</v>
      </c>
      <c r="D3990" t="inlineStr">
        <is>
          <t>VÄSTRA GÖTALANDS LÄN</t>
        </is>
      </c>
      <c r="E3990" t="inlineStr">
        <is>
          <t>FALKÖPING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4770-2020</t>
        </is>
      </c>
      <c r="B3991" s="1" t="n">
        <v>43852</v>
      </c>
      <c r="C3991" s="1" t="n">
        <v>45212</v>
      </c>
      <c r="D3991" t="inlineStr">
        <is>
          <t>VÄSTRA GÖTALANDS LÄN</t>
        </is>
      </c>
      <c r="E3991" t="inlineStr">
        <is>
          <t>TIDAHOLM</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4844-2020</t>
        </is>
      </c>
      <c r="B3992" s="1" t="n">
        <v>43852</v>
      </c>
      <c r="C3992" s="1" t="n">
        <v>45212</v>
      </c>
      <c r="D3992" t="inlineStr">
        <is>
          <t>VÄSTRA GÖTALANDS LÄN</t>
        </is>
      </c>
      <c r="E3992" t="inlineStr">
        <is>
          <t>VARA</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3582-2020</t>
        </is>
      </c>
      <c r="B3993" s="1" t="n">
        <v>43853</v>
      </c>
      <c r="C3993" s="1" t="n">
        <v>45212</v>
      </c>
      <c r="D3993" t="inlineStr">
        <is>
          <t>VÄSTRA GÖTALANDS LÄN</t>
        </is>
      </c>
      <c r="E3993" t="inlineStr">
        <is>
          <t>SKARA</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3593-2020</t>
        </is>
      </c>
      <c r="B3994" s="1" t="n">
        <v>43853</v>
      </c>
      <c r="C3994" s="1" t="n">
        <v>45212</v>
      </c>
      <c r="D3994" t="inlineStr">
        <is>
          <t>VÄSTRA GÖTALANDS LÄN</t>
        </is>
      </c>
      <c r="E3994" t="inlineStr">
        <is>
          <t>SKARA</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3627-2020</t>
        </is>
      </c>
      <c r="B3995" s="1" t="n">
        <v>43853</v>
      </c>
      <c r="C3995" s="1" t="n">
        <v>45212</v>
      </c>
      <c r="D3995" t="inlineStr">
        <is>
          <t>VÄSTRA GÖTALANDS LÄN</t>
        </is>
      </c>
      <c r="E3995" t="inlineStr">
        <is>
          <t>FALKÖPING</t>
        </is>
      </c>
      <c r="F3995" t="inlineStr">
        <is>
          <t>Kommuner</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3584-2020</t>
        </is>
      </c>
      <c r="B3996" s="1" t="n">
        <v>43853</v>
      </c>
      <c r="C3996" s="1" t="n">
        <v>45212</v>
      </c>
      <c r="D3996" t="inlineStr">
        <is>
          <t>VÄSTRA GÖTALANDS LÄN</t>
        </is>
      </c>
      <c r="E3996" t="inlineStr">
        <is>
          <t>SKARA</t>
        </is>
      </c>
      <c r="G3996" t="n">
        <v>3.7</v>
      </c>
      <c r="H3996" t="n">
        <v>0</v>
      </c>
      <c r="I3996" t="n">
        <v>0</v>
      </c>
      <c r="J3996" t="n">
        <v>0</v>
      </c>
      <c r="K3996" t="n">
        <v>0</v>
      </c>
      <c r="L3996" t="n">
        <v>0</v>
      </c>
      <c r="M3996" t="n">
        <v>0</v>
      </c>
      <c r="N3996" t="n">
        <v>0</v>
      </c>
      <c r="O3996" t="n">
        <v>0</v>
      </c>
      <c r="P3996" t="n">
        <v>0</v>
      </c>
      <c r="Q3996" t="n">
        <v>0</v>
      </c>
      <c r="R3996" s="2" t="inlineStr"/>
    </row>
    <row r="3997" ht="15" customHeight="1">
      <c r="A3997" t="inlineStr">
        <is>
          <t>A 3634-2020</t>
        </is>
      </c>
      <c r="B3997" s="1" t="n">
        <v>43853</v>
      </c>
      <c r="C3997" s="1" t="n">
        <v>45212</v>
      </c>
      <c r="D3997" t="inlineStr">
        <is>
          <t>VÄSTRA GÖTALANDS LÄN</t>
        </is>
      </c>
      <c r="E3997" t="inlineStr">
        <is>
          <t>TROLLHÄTTAN</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3597-2020</t>
        </is>
      </c>
      <c r="B3998" s="1" t="n">
        <v>43853</v>
      </c>
      <c r="C3998" s="1" t="n">
        <v>45212</v>
      </c>
      <c r="D3998" t="inlineStr">
        <is>
          <t>VÄSTRA GÖTALANDS LÄN</t>
        </is>
      </c>
      <c r="E3998" t="inlineStr">
        <is>
          <t>SVENLJUNGA</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3650-2020</t>
        </is>
      </c>
      <c r="B3999" s="1" t="n">
        <v>43853</v>
      </c>
      <c r="C3999" s="1" t="n">
        <v>45212</v>
      </c>
      <c r="D3999" t="inlineStr">
        <is>
          <t>VÄSTRA GÖTALANDS LÄN</t>
        </is>
      </c>
      <c r="E3999" t="inlineStr">
        <is>
          <t>KARLSBORG</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4928-2020</t>
        </is>
      </c>
      <c r="B4000" s="1" t="n">
        <v>43853</v>
      </c>
      <c r="C4000" s="1" t="n">
        <v>45212</v>
      </c>
      <c r="D4000" t="inlineStr">
        <is>
          <t>VÄSTRA GÖTALANDS LÄN</t>
        </is>
      </c>
      <c r="E4000" t="inlineStr">
        <is>
          <t>GÖTENE</t>
        </is>
      </c>
      <c r="G4000" t="n">
        <v>3.5</v>
      </c>
      <c r="H4000" t="n">
        <v>0</v>
      </c>
      <c r="I4000" t="n">
        <v>0</v>
      </c>
      <c r="J4000" t="n">
        <v>0</v>
      </c>
      <c r="K4000" t="n">
        <v>0</v>
      </c>
      <c r="L4000" t="n">
        <v>0</v>
      </c>
      <c r="M4000" t="n">
        <v>0</v>
      </c>
      <c r="N4000" t="n">
        <v>0</v>
      </c>
      <c r="O4000" t="n">
        <v>0</v>
      </c>
      <c r="P4000" t="n">
        <v>0</v>
      </c>
      <c r="Q4000" t="n">
        <v>0</v>
      </c>
      <c r="R4000" s="2" t="inlineStr"/>
    </row>
    <row r="4001" ht="15" customHeight="1">
      <c r="A4001" t="inlineStr">
        <is>
          <t>A 3579-2020</t>
        </is>
      </c>
      <c r="B4001" s="1" t="n">
        <v>43853</v>
      </c>
      <c r="C4001" s="1" t="n">
        <v>45212</v>
      </c>
      <c r="D4001" t="inlineStr">
        <is>
          <t>VÄSTRA GÖTALANDS LÄN</t>
        </is>
      </c>
      <c r="E4001" t="inlineStr">
        <is>
          <t>FALKÖPING</t>
        </is>
      </c>
      <c r="F4001" t="inlineStr">
        <is>
          <t>Kommuner</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3599-2020</t>
        </is>
      </c>
      <c r="B4002" s="1" t="n">
        <v>43853</v>
      </c>
      <c r="C4002" s="1" t="n">
        <v>45212</v>
      </c>
      <c r="D4002" t="inlineStr">
        <is>
          <t>VÄSTRA GÖTALANDS LÄN</t>
        </is>
      </c>
      <c r="E4002" t="inlineStr">
        <is>
          <t>SKARA</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3632-2020</t>
        </is>
      </c>
      <c r="B4003" s="1" t="n">
        <v>43853</v>
      </c>
      <c r="C4003" s="1" t="n">
        <v>45212</v>
      </c>
      <c r="D4003" t="inlineStr">
        <is>
          <t>VÄSTRA GÖTALANDS LÄN</t>
        </is>
      </c>
      <c r="E4003" t="inlineStr">
        <is>
          <t>SKARA</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3789-2020</t>
        </is>
      </c>
      <c r="B4004" s="1" t="n">
        <v>43854</v>
      </c>
      <c r="C4004" s="1" t="n">
        <v>45212</v>
      </c>
      <c r="D4004" t="inlineStr">
        <is>
          <t>VÄSTRA GÖTALANDS LÄN</t>
        </is>
      </c>
      <c r="E4004" t="inlineStr">
        <is>
          <t>MÖLNDAL</t>
        </is>
      </c>
      <c r="G4004" t="n">
        <v>4.2</v>
      </c>
      <c r="H4004" t="n">
        <v>0</v>
      </c>
      <c r="I4004" t="n">
        <v>0</v>
      </c>
      <c r="J4004" t="n">
        <v>0</v>
      </c>
      <c r="K4004" t="n">
        <v>0</v>
      </c>
      <c r="L4004" t="n">
        <v>0</v>
      </c>
      <c r="M4004" t="n">
        <v>0</v>
      </c>
      <c r="N4004" t="n">
        <v>0</v>
      </c>
      <c r="O4004" t="n">
        <v>0</v>
      </c>
      <c r="P4004" t="n">
        <v>0</v>
      </c>
      <c r="Q4004" t="n">
        <v>0</v>
      </c>
      <c r="R4004" s="2" t="inlineStr"/>
    </row>
    <row r="4005" ht="15" customHeight="1">
      <c r="A4005" t="inlineStr">
        <is>
          <t>A 3846-2020</t>
        </is>
      </c>
      <c r="B4005" s="1" t="n">
        <v>43854</v>
      </c>
      <c r="C4005" s="1" t="n">
        <v>45212</v>
      </c>
      <c r="D4005" t="inlineStr">
        <is>
          <t>VÄSTRA GÖTALANDS LÄN</t>
        </is>
      </c>
      <c r="E4005" t="inlineStr">
        <is>
          <t>ULRICEHAMN</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3877-2020</t>
        </is>
      </c>
      <c r="B4006" s="1" t="n">
        <v>43854</v>
      </c>
      <c r="C4006" s="1" t="n">
        <v>45212</v>
      </c>
      <c r="D4006" t="inlineStr">
        <is>
          <t>VÄSTRA GÖTALANDS LÄN</t>
        </is>
      </c>
      <c r="E4006" t="inlineStr">
        <is>
          <t>BORÅS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3894-2020</t>
        </is>
      </c>
      <c r="B4007" s="1" t="n">
        <v>43854</v>
      </c>
      <c r="C4007" s="1" t="n">
        <v>45212</v>
      </c>
      <c r="D4007" t="inlineStr">
        <is>
          <t>VÄSTRA GÖTALANDS LÄN</t>
        </is>
      </c>
      <c r="E4007" t="inlineStr">
        <is>
          <t>BORÅS</t>
        </is>
      </c>
      <c r="G4007" t="n">
        <v>3.6</v>
      </c>
      <c r="H4007" t="n">
        <v>0</v>
      </c>
      <c r="I4007" t="n">
        <v>0</v>
      </c>
      <c r="J4007" t="n">
        <v>0</v>
      </c>
      <c r="K4007" t="n">
        <v>0</v>
      </c>
      <c r="L4007" t="n">
        <v>0</v>
      </c>
      <c r="M4007" t="n">
        <v>0</v>
      </c>
      <c r="N4007" t="n">
        <v>0</v>
      </c>
      <c r="O4007" t="n">
        <v>0</v>
      </c>
      <c r="P4007" t="n">
        <v>0</v>
      </c>
      <c r="Q4007" t="n">
        <v>0</v>
      </c>
      <c r="R4007" s="2" t="inlineStr"/>
    </row>
    <row r="4008" ht="15" customHeight="1">
      <c r="A4008" t="inlineStr">
        <is>
          <t>A 3906-2020</t>
        </is>
      </c>
      <c r="B4008" s="1" t="n">
        <v>43854</v>
      </c>
      <c r="C4008" s="1" t="n">
        <v>45212</v>
      </c>
      <c r="D4008" t="inlineStr">
        <is>
          <t>VÄSTRA GÖTALANDS LÄN</t>
        </is>
      </c>
      <c r="E4008" t="inlineStr">
        <is>
          <t>TANUM</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3944-2020</t>
        </is>
      </c>
      <c r="B4009" s="1" t="n">
        <v>43854</v>
      </c>
      <c r="C4009" s="1" t="n">
        <v>45212</v>
      </c>
      <c r="D4009" t="inlineStr">
        <is>
          <t>VÄSTRA GÖTALANDS LÄN</t>
        </is>
      </c>
      <c r="E4009" t="inlineStr">
        <is>
          <t>BENGTSFORS</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4449-2020</t>
        </is>
      </c>
      <c r="B4010" s="1" t="n">
        <v>43854</v>
      </c>
      <c r="C4010" s="1" t="n">
        <v>45212</v>
      </c>
      <c r="D4010" t="inlineStr">
        <is>
          <t>VÄSTRA GÖTALANDS LÄN</t>
        </is>
      </c>
      <c r="E4010" t="inlineStr">
        <is>
          <t>TIBRO</t>
        </is>
      </c>
      <c r="G4010" t="n">
        <v>0.4</v>
      </c>
      <c r="H4010" t="n">
        <v>0</v>
      </c>
      <c r="I4010" t="n">
        <v>0</v>
      </c>
      <c r="J4010" t="n">
        <v>0</v>
      </c>
      <c r="K4010" t="n">
        <v>0</v>
      </c>
      <c r="L4010" t="n">
        <v>0</v>
      </c>
      <c r="M4010" t="n">
        <v>0</v>
      </c>
      <c r="N4010" t="n">
        <v>0</v>
      </c>
      <c r="O4010" t="n">
        <v>0</v>
      </c>
      <c r="P4010" t="n">
        <v>0</v>
      </c>
      <c r="Q4010" t="n">
        <v>0</v>
      </c>
      <c r="R4010" s="2" t="inlineStr"/>
    </row>
    <row r="4011" ht="15" customHeight="1">
      <c r="A4011" t="inlineStr">
        <is>
          <t>A 3754-2020</t>
        </is>
      </c>
      <c r="B4011" s="1" t="n">
        <v>43854</v>
      </c>
      <c r="C4011" s="1" t="n">
        <v>45212</v>
      </c>
      <c r="D4011" t="inlineStr">
        <is>
          <t>VÄSTRA GÖTALANDS LÄN</t>
        </is>
      </c>
      <c r="E4011" t="inlineStr">
        <is>
          <t>LIDKÖPING</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3823-2020</t>
        </is>
      </c>
      <c r="B4012" s="1" t="n">
        <v>43854</v>
      </c>
      <c r="C4012" s="1" t="n">
        <v>45212</v>
      </c>
      <c r="D4012" t="inlineStr">
        <is>
          <t>VÄSTRA GÖTALANDS LÄN</t>
        </is>
      </c>
      <c r="E4012" t="inlineStr">
        <is>
          <t>MARIESTAD</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3918-2020</t>
        </is>
      </c>
      <c r="B4013" s="1" t="n">
        <v>43854</v>
      </c>
      <c r="C4013" s="1" t="n">
        <v>45212</v>
      </c>
      <c r="D4013" t="inlineStr">
        <is>
          <t>VÄSTRA GÖTALANDS LÄN</t>
        </is>
      </c>
      <c r="E4013" t="inlineStr">
        <is>
          <t>FÄRGELANDA</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5309-2020</t>
        </is>
      </c>
      <c r="B4014" s="1" t="n">
        <v>43854</v>
      </c>
      <c r="C4014" s="1" t="n">
        <v>45212</v>
      </c>
      <c r="D4014" t="inlineStr">
        <is>
          <t>VÄSTRA GÖTALANDS LÄN</t>
        </is>
      </c>
      <c r="E4014" t="inlineStr">
        <is>
          <t>TIDAHOLM</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3780-2020</t>
        </is>
      </c>
      <c r="B4015" s="1" t="n">
        <v>43854</v>
      </c>
      <c r="C4015" s="1" t="n">
        <v>45212</v>
      </c>
      <c r="D4015" t="inlineStr">
        <is>
          <t>VÄSTRA GÖTALANDS LÄN</t>
        </is>
      </c>
      <c r="E4015" t="inlineStr">
        <is>
          <t>GULLSPÅNG</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5205-2020</t>
        </is>
      </c>
      <c r="B4016" s="1" t="n">
        <v>43854</v>
      </c>
      <c r="C4016" s="1" t="n">
        <v>45212</v>
      </c>
      <c r="D4016" t="inlineStr">
        <is>
          <t>VÄSTRA GÖTALANDS LÄN</t>
        </is>
      </c>
      <c r="E4016" t="inlineStr">
        <is>
          <t>BENGTSFORS</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5304-2020</t>
        </is>
      </c>
      <c r="B4017" s="1" t="n">
        <v>43854</v>
      </c>
      <c r="C4017" s="1" t="n">
        <v>45212</v>
      </c>
      <c r="D4017" t="inlineStr">
        <is>
          <t>VÄSTRA GÖTALANDS LÄN</t>
        </is>
      </c>
      <c r="E4017" t="inlineStr">
        <is>
          <t>TIDAHOLM</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4083-2020</t>
        </is>
      </c>
      <c r="B4018" s="1" t="n">
        <v>43856</v>
      </c>
      <c r="C4018" s="1" t="n">
        <v>45212</v>
      </c>
      <c r="D4018" t="inlineStr">
        <is>
          <t>VÄSTRA GÖTALANDS LÄN</t>
        </is>
      </c>
      <c r="E4018" t="inlineStr">
        <is>
          <t>TÖREBODA</t>
        </is>
      </c>
      <c r="G4018" t="n">
        <v>5</v>
      </c>
      <c r="H4018" t="n">
        <v>0</v>
      </c>
      <c r="I4018" t="n">
        <v>0</v>
      </c>
      <c r="J4018" t="n">
        <v>0</v>
      </c>
      <c r="K4018" t="n">
        <v>0</v>
      </c>
      <c r="L4018" t="n">
        <v>0</v>
      </c>
      <c r="M4018" t="n">
        <v>0</v>
      </c>
      <c r="N4018" t="n">
        <v>0</v>
      </c>
      <c r="O4018" t="n">
        <v>0</v>
      </c>
      <c r="P4018" t="n">
        <v>0</v>
      </c>
      <c r="Q4018" t="n">
        <v>0</v>
      </c>
      <c r="R4018" s="2" t="inlineStr"/>
    </row>
    <row r="4019" ht="15" customHeight="1">
      <c r="A4019" t="inlineStr">
        <is>
          <t>A 4078-2020</t>
        </is>
      </c>
      <c r="B4019" s="1" t="n">
        <v>43857</v>
      </c>
      <c r="C4019" s="1" t="n">
        <v>45212</v>
      </c>
      <c r="D4019" t="inlineStr">
        <is>
          <t>VÄSTRA GÖTALANDS LÄN</t>
        </is>
      </c>
      <c r="E4019" t="inlineStr">
        <is>
          <t>GULLSPÅNG</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4358-2020</t>
        </is>
      </c>
      <c r="B4020" s="1" t="n">
        <v>43857</v>
      </c>
      <c r="C4020" s="1" t="n">
        <v>45212</v>
      </c>
      <c r="D4020" t="inlineStr">
        <is>
          <t>VÄSTRA GÖTALANDS LÄN</t>
        </is>
      </c>
      <c r="E4020" t="inlineStr">
        <is>
          <t>MARK</t>
        </is>
      </c>
      <c r="G4020" t="n">
        <v>0.3</v>
      </c>
      <c r="H4020" t="n">
        <v>0</v>
      </c>
      <c r="I4020" t="n">
        <v>0</v>
      </c>
      <c r="J4020" t="n">
        <v>0</v>
      </c>
      <c r="K4020" t="n">
        <v>0</v>
      </c>
      <c r="L4020" t="n">
        <v>0</v>
      </c>
      <c r="M4020" t="n">
        <v>0</v>
      </c>
      <c r="N4020" t="n">
        <v>0</v>
      </c>
      <c r="O4020" t="n">
        <v>0</v>
      </c>
      <c r="P4020" t="n">
        <v>0</v>
      </c>
      <c r="Q4020" t="n">
        <v>0</v>
      </c>
      <c r="R4020" s="2" t="inlineStr"/>
    </row>
    <row r="4021" ht="15" customHeight="1">
      <c r="A4021" t="inlineStr">
        <is>
          <t>A 4368-2020</t>
        </is>
      </c>
      <c r="B4021" s="1" t="n">
        <v>43857</v>
      </c>
      <c r="C4021" s="1" t="n">
        <v>45212</v>
      </c>
      <c r="D4021" t="inlineStr">
        <is>
          <t>VÄSTRA GÖTALANDS LÄN</t>
        </is>
      </c>
      <c r="E4021" t="inlineStr">
        <is>
          <t>TIBRO</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4166-2020</t>
        </is>
      </c>
      <c r="B4022" s="1" t="n">
        <v>43857</v>
      </c>
      <c r="C4022" s="1" t="n">
        <v>45212</v>
      </c>
      <c r="D4022" t="inlineStr">
        <is>
          <t>VÄSTRA GÖTALANDS LÄN</t>
        </is>
      </c>
      <c r="E4022" t="inlineStr">
        <is>
          <t>TANUM</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4328-2020</t>
        </is>
      </c>
      <c r="B4023" s="1" t="n">
        <v>43857</v>
      </c>
      <c r="C4023" s="1" t="n">
        <v>45212</v>
      </c>
      <c r="D4023" t="inlineStr">
        <is>
          <t>VÄSTRA GÖTALANDS LÄN</t>
        </is>
      </c>
      <c r="E4023" t="inlineStr">
        <is>
          <t>MARK</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4231-2020</t>
        </is>
      </c>
      <c r="B4024" s="1" t="n">
        <v>43857</v>
      </c>
      <c r="C4024" s="1" t="n">
        <v>45212</v>
      </c>
      <c r="D4024" t="inlineStr">
        <is>
          <t>VÄSTRA GÖTALANDS LÄN</t>
        </is>
      </c>
      <c r="E4024" t="inlineStr">
        <is>
          <t>LERUM</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4063-2020</t>
        </is>
      </c>
      <c r="B4025" s="1" t="n">
        <v>43857</v>
      </c>
      <c r="C4025" s="1" t="n">
        <v>45212</v>
      </c>
      <c r="D4025" t="inlineStr">
        <is>
          <t>VÄSTRA GÖTALANDS LÄN</t>
        </is>
      </c>
      <c r="E4025" t="inlineStr">
        <is>
          <t>HJO</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5324-2020</t>
        </is>
      </c>
      <c r="B4026" s="1" t="n">
        <v>43857</v>
      </c>
      <c r="C4026" s="1" t="n">
        <v>45212</v>
      </c>
      <c r="D4026" t="inlineStr">
        <is>
          <t>VÄSTRA GÖTALANDS LÄN</t>
        </is>
      </c>
      <c r="E4026" t="inlineStr">
        <is>
          <t>DALS-ED</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4373-2020</t>
        </is>
      </c>
      <c r="B4027" s="1" t="n">
        <v>43858</v>
      </c>
      <c r="C4027" s="1" t="n">
        <v>45212</v>
      </c>
      <c r="D4027" t="inlineStr">
        <is>
          <t>VÄSTRA GÖTALANDS LÄN</t>
        </is>
      </c>
      <c r="E4027" t="inlineStr">
        <is>
          <t>ORUST</t>
        </is>
      </c>
      <c r="F4027" t="inlineStr">
        <is>
          <t>Kommuner</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4445-2020</t>
        </is>
      </c>
      <c r="B4028" s="1" t="n">
        <v>43858</v>
      </c>
      <c r="C4028" s="1" t="n">
        <v>45212</v>
      </c>
      <c r="D4028" t="inlineStr">
        <is>
          <t>VÄSTRA GÖTALANDS LÄN</t>
        </is>
      </c>
      <c r="E4028" t="inlineStr">
        <is>
          <t>BENGTSFORS</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4484-2020</t>
        </is>
      </c>
      <c r="B4029" s="1" t="n">
        <v>43858</v>
      </c>
      <c r="C4029" s="1" t="n">
        <v>45212</v>
      </c>
      <c r="D4029" t="inlineStr">
        <is>
          <t>VÄSTRA GÖTALANDS LÄN</t>
        </is>
      </c>
      <c r="E4029" t="inlineStr">
        <is>
          <t>FÄRGELANDA</t>
        </is>
      </c>
      <c r="G4029" t="n">
        <v>8.300000000000001</v>
      </c>
      <c r="H4029" t="n">
        <v>0</v>
      </c>
      <c r="I4029" t="n">
        <v>0</v>
      </c>
      <c r="J4029" t="n">
        <v>0</v>
      </c>
      <c r="K4029" t="n">
        <v>0</v>
      </c>
      <c r="L4029" t="n">
        <v>0</v>
      </c>
      <c r="M4029" t="n">
        <v>0</v>
      </c>
      <c r="N4029" t="n">
        <v>0</v>
      </c>
      <c r="O4029" t="n">
        <v>0</v>
      </c>
      <c r="P4029" t="n">
        <v>0</v>
      </c>
      <c r="Q4029" t="n">
        <v>0</v>
      </c>
      <c r="R4029" s="2" t="inlineStr"/>
    </row>
    <row r="4030" ht="15" customHeight="1">
      <c r="A4030" t="inlineStr">
        <is>
          <t>A 4432-2020</t>
        </is>
      </c>
      <c r="B4030" s="1" t="n">
        <v>43858</v>
      </c>
      <c r="C4030" s="1" t="n">
        <v>45212</v>
      </c>
      <c r="D4030" t="inlineStr">
        <is>
          <t>VÄSTRA GÖTALANDS LÄN</t>
        </is>
      </c>
      <c r="E4030" t="inlineStr">
        <is>
          <t>MUNKEDAL</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4530-2020</t>
        </is>
      </c>
      <c r="B4031" s="1" t="n">
        <v>43858</v>
      </c>
      <c r="C4031" s="1" t="n">
        <v>45212</v>
      </c>
      <c r="D4031" t="inlineStr">
        <is>
          <t>VÄSTRA GÖTALANDS LÄN</t>
        </is>
      </c>
      <c r="E4031" t="inlineStr">
        <is>
          <t>ORUST</t>
        </is>
      </c>
      <c r="F4031" t="inlineStr">
        <is>
          <t>Kommuner</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4565-2020</t>
        </is>
      </c>
      <c r="B4032" s="1" t="n">
        <v>43858</v>
      </c>
      <c r="C4032" s="1" t="n">
        <v>45212</v>
      </c>
      <c r="D4032" t="inlineStr">
        <is>
          <t>VÄSTRA GÖTALANDS LÄN</t>
        </is>
      </c>
      <c r="E4032" t="inlineStr">
        <is>
          <t>ORUST</t>
        </is>
      </c>
      <c r="G4032" t="n">
        <v>1.5</v>
      </c>
      <c r="H4032" t="n">
        <v>0</v>
      </c>
      <c r="I4032" t="n">
        <v>0</v>
      </c>
      <c r="J4032" t="n">
        <v>0</v>
      </c>
      <c r="K4032" t="n">
        <v>0</v>
      </c>
      <c r="L4032" t="n">
        <v>0</v>
      </c>
      <c r="M4032" t="n">
        <v>0</v>
      </c>
      <c r="N4032" t="n">
        <v>0</v>
      </c>
      <c r="O4032" t="n">
        <v>0</v>
      </c>
      <c r="P4032" t="n">
        <v>0</v>
      </c>
      <c r="Q4032" t="n">
        <v>0</v>
      </c>
      <c r="R4032" s="2" t="inlineStr"/>
    </row>
    <row r="4033" ht="15" customHeight="1">
      <c r="A4033" t="inlineStr">
        <is>
          <t>A 4595-2020</t>
        </is>
      </c>
      <c r="B4033" s="1" t="n">
        <v>43858</v>
      </c>
      <c r="C4033" s="1" t="n">
        <v>45212</v>
      </c>
      <c r="D4033" t="inlineStr">
        <is>
          <t>VÄSTRA GÖTALANDS LÄN</t>
        </is>
      </c>
      <c r="E4033" t="inlineStr">
        <is>
          <t>MELLERUD</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4468-2020</t>
        </is>
      </c>
      <c r="B4034" s="1" t="n">
        <v>43858</v>
      </c>
      <c r="C4034" s="1" t="n">
        <v>45212</v>
      </c>
      <c r="D4034" t="inlineStr">
        <is>
          <t>VÄSTRA GÖTALANDS LÄN</t>
        </is>
      </c>
      <c r="E4034" t="inlineStr">
        <is>
          <t>BORÅS</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4496-2020</t>
        </is>
      </c>
      <c r="B4035" s="1" t="n">
        <v>43858</v>
      </c>
      <c r="C4035" s="1" t="n">
        <v>45212</v>
      </c>
      <c r="D4035" t="inlineStr">
        <is>
          <t>VÄSTRA GÖTALANDS LÄN</t>
        </is>
      </c>
      <c r="E4035" t="inlineStr">
        <is>
          <t>MARK</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4532-2020</t>
        </is>
      </c>
      <c r="B4036" s="1" t="n">
        <v>43858</v>
      </c>
      <c r="C4036" s="1" t="n">
        <v>45212</v>
      </c>
      <c r="D4036" t="inlineStr">
        <is>
          <t>VÄSTRA GÖTALANDS LÄN</t>
        </is>
      </c>
      <c r="E4036" t="inlineStr">
        <is>
          <t>FALKÖPING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5472-2020</t>
        </is>
      </c>
      <c r="B4037" s="1" t="n">
        <v>43858</v>
      </c>
      <c r="C4037" s="1" t="n">
        <v>45212</v>
      </c>
      <c r="D4037" t="inlineStr">
        <is>
          <t>VÄSTRA GÖTALANDS LÄN</t>
        </is>
      </c>
      <c r="E4037" t="inlineStr">
        <is>
          <t>FÄRGELANDA</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4500-2020</t>
        </is>
      </c>
      <c r="B4038" s="1" t="n">
        <v>43858</v>
      </c>
      <c r="C4038" s="1" t="n">
        <v>45212</v>
      </c>
      <c r="D4038" t="inlineStr">
        <is>
          <t>VÄSTRA GÖTALANDS LÄN</t>
        </is>
      </c>
      <c r="E4038" t="inlineStr">
        <is>
          <t>FÄRGELANDA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5578-2020</t>
        </is>
      </c>
      <c r="B4039" s="1" t="n">
        <v>43859</v>
      </c>
      <c r="C4039" s="1" t="n">
        <v>45212</v>
      </c>
      <c r="D4039" t="inlineStr">
        <is>
          <t>VÄSTRA GÖTALANDS LÄN</t>
        </is>
      </c>
      <c r="E4039" t="inlineStr">
        <is>
          <t>SOTENÄS</t>
        </is>
      </c>
      <c r="G4039" t="n">
        <v>0.3</v>
      </c>
      <c r="H4039" t="n">
        <v>0</v>
      </c>
      <c r="I4039" t="n">
        <v>0</v>
      </c>
      <c r="J4039" t="n">
        <v>0</v>
      </c>
      <c r="K4039" t="n">
        <v>0</v>
      </c>
      <c r="L4039" t="n">
        <v>0</v>
      </c>
      <c r="M4039" t="n">
        <v>0</v>
      </c>
      <c r="N4039" t="n">
        <v>0</v>
      </c>
      <c r="O4039" t="n">
        <v>0</v>
      </c>
      <c r="P4039" t="n">
        <v>0</v>
      </c>
      <c r="Q4039" t="n">
        <v>0</v>
      </c>
      <c r="R4039" s="2" t="inlineStr"/>
    </row>
    <row r="4040" ht="15" customHeight="1">
      <c r="A4040" t="inlineStr">
        <is>
          <t>A 4873-2020</t>
        </is>
      </c>
      <c r="B4040" s="1" t="n">
        <v>43859</v>
      </c>
      <c r="C4040" s="1" t="n">
        <v>45212</v>
      </c>
      <c r="D4040" t="inlineStr">
        <is>
          <t>VÄSTRA GÖTALANDS LÄN</t>
        </is>
      </c>
      <c r="E4040" t="inlineStr">
        <is>
          <t>STENUNGSUND</t>
        </is>
      </c>
      <c r="G4040" t="n">
        <v>4.9</v>
      </c>
      <c r="H4040" t="n">
        <v>0</v>
      </c>
      <c r="I4040" t="n">
        <v>0</v>
      </c>
      <c r="J4040" t="n">
        <v>0</v>
      </c>
      <c r="K4040" t="n">
        <v>0</v>
      </c>
      <c r="L4040" t="n">
        <v>0</v>
      </c>
      <c r="M4040" t="n">
        <v>0</v>
      </c>
      <c r="N4040" t="n">
        <v>0</v>
      </c>
      <c r="O4040" t="n">
        <v>0</v>
      </c>
      <c r="P4040" t="n">
        <v>0</v>
      </c>
      <c r="Q4040" t="n">
        <v>0</v>
      </c>
      <c r="R4040" s="2" t="inlineStr"/>
    </row>
    <row r="4041" ht="15" customHeight="1">
      <c r="A4041" t="inlineStr">
        <is>
          <t>A 4915-2020</t>
        </is>
      </c>
      <c r="B4041" s="1" t="n">
        <v>43859</v>
      </c>
      <c r="C4041" s="1" t="n">
        <v>45212</v>
      </c>
      <c r="D4041" t="inlineStr">
        <is>
          <t>VÄSTRA GÖTALANDS LÄN</t>
        </is>
      </c>
      <c r="E4041" t="inlineStr">
        <is>
          <t>BENGTSFORS</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5452-2020</t>
        </is>
      </c>
      <c r="B4042" s="1" t="n">
        <v>43859</v>
      </c>
      <c r="C4042" s="1" t="n">
        <v>45212</v>
      </c>
      <c r="D4042" t="inlineStr">
        <is>
          <t>VÄSTRA GÖTALANDS LÄN</t>
        </is>
      </c>
      <c r="E4042" t="inlineStr">
        <is>
          <t>TJÖRN</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5543-2020</t>
        </is>
      </c>
      <c r="B4043" s="1" t="n">
        <v>43859</v>
      </c>
      <c r="C4043" s="1" t="n">
        <v>45212</v>
      </c>
      <c r="D4043" t="inlineStr">
        <is>
          <t>VÄSTRA GÖTALANDS LÄN</t>
        </is>
      </c>
      <c r="E4043" t="inlineStr">
        <is>
          <t>SOTENÄS</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4897-2020</t>
        </is>
      </c>
      <c r="B4044" s="1" t="n">
        <v>43859</v>
      </c>
      <c r="C4044" s="1" t="n">
        <v>45212</v>
      </c>
      <c r="D4044" t="inlineStr">
        <is>
          <t>VÄSTRA GÖTALANDS LÄN</t>
        </is>
      </c>
      <c r="E4044" t="inlineStr">
        <is>
          <t>TIDAHOLM</t>
        </is>
      </c>
      <c r="F4044" t="inlineStr">
        <is>
          <t>Sveaskog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5195-2020</t>
        </is>
      </c>
      <c r="B4045" s="1" t="n">
        <v>43859</v>
      </c>
      <c r="C4045" s="1" t="n">
        <v>45212</v>
      </c>
      <c r="D4045" t="inlineStr">
        <is>
          <t>VÄSTRA GÖTALANDS LÄN</t>
        </is>
      </c>
      <c r="E4045" t="inlineStr">
        <is>
          <t>MARK</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5585-2020</t>
        </is>
      </c>
      <c r="B4046" s="1" t="n">
        <v>43859</v>
      </c>
      <c r="C4046" s="1" t="n">
        <v>45212</v>
      </c>
      <c r="D4046" t="inlineStr">
        <is>
          <t>VÄSTRA GÖTALANDS LÄN</t>
        </is>
      </c>
      <c r="E4046" t="inlineStr">
        <is>
          <t>SOTENÄS</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4879-2020</t>
        </is>
      </c>
      <c r="B4047" s="1" t="n">
        <v>43859</v>
      </c>
      <c r="C4047" s="1" t="n">
        <v>45212</v>
      </c>
      <c r="D4047" t="inlineStr">
        <is>
          <t>VÄSTRA GÖTALANDS LÄN</t>
        </is>
      </c>
      <c r="E4047" t="inlineStr">
        <is>
          <t>ALE</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5617-2020</t>
        </is>
      </c>
      <c r="B4048" s="1" t="n">
        <v>43860</v>
      </c>
      <c r="C4048" s="1" t="n">
        <v>45212</v>
      </c>
      <c r="D4048" t="inlineStr">
        <is>
          <t>VÄSTRA GÖTALANDS LÄN</t>
        </is>
      </c>
      <c r="E4048" t="inlineStr">
        <is>
          <t>VÄNERSBORG</t>
        </is>
      </c>
      <c r="G4048" t="n">
        <v>5.2</v>
      </c>
      <c r="H4048" t="n">
        <v>0</v>
      </c>
      <c r="I4048" t="n">
        <v>0</v>
      </c>
      <c r="J4048" t="n">
        <v>0</v>
      </c>
      <c r="K4048" t="n">
        <v>0</v>
      </c>
      <c r="L4048" t="n">
        <v>0</v>
      </c>
      <c r="M4048" t="n">
        <v>0</v>
      </c>
      <c r="N4048" t="n">
        <v>0</v>
      </c>
      <c r="O4048" t="n">
        <v>0</v>
      </c>
      <c r="P4048" t="n">
        <v>0</v>
      </c>
      <c r="Q4048" t="n">
        <v>0</v>
      </c>
      <c r="R4048" s="2" t="inlineStr"/>
    </row>
    <row r="4049" ht="15" customHeight="1">
      <c r="A4049" t="inlineStr">
        <is>
          <t>A 5633-2020</t>
        </is>
      </c>
      <c r="B4049" s="1" t="n">
        <v>43860</v>
      </c>
      <c r="C4049" s="1" t="n">
        <v>45212</v>
      </c>
      <c r="D4049" t="inlineStr">
        <is>
          <t>VÄSTRA GÖTALANDS LÄN</t>
        </is>
      </c>
      <c r="E4049" t="inlineStr">
        <is>
          <t>ÅMÅL</t>
        </is>
      </c>
      <c r="F4049" t="inlineStr">
        <is>
          <t>Bergvik skog väst AB</t>
        </is>
      </c>
      <c r="G4049" t="n">
        <v>18.7</v>
      </c>
      <c r="H4049" t="n">
        <v>0</v>
      </c>
      <c r="I4049" t="n">
        <v>0</v>
      </c>
      <c r="J4049" t="n">
        <v>0</v>
      </c>
      <c r="K4049" t="n">
        <v>0</v>
      </c>
      <c r="L4049" t="n">
        <v>0</v>
      </c>
      <c r="M4049" t="n">
        <v>0</v>
      </c>
      <c r="N4049" t="n">
        <v>0</v>
      </c>
      <c r="O4049" t="n">
        <v>0</v>
      </c>
      <c r="P4049" t="n">
        <v>0</v>
      </c>
      <c r="Q4049" t="n">
        <v>0</v>
      </c>
      <c r="R4049" s="2" t="inlineStr"/>
    </row>
    <row r="4050" ht="15" customHeight="1">
      <c r="A4050" t="inlineStr">
        <is>
          <t>A 5274-2020</t>
        </is>
      </c>
      <c r="B4050" s="1" t="n">
        <v>43860</v>
      </c>
      <c r="C4050" s="1" t="n">
        <v>45212</v>
      </c>
      <c r="D4050" t="inlineStr">
        <is>
          <t>VÄSTRA GÖTALANDS LÄN</t>
        </is>
      </c>
      <c r="E4050" t="inlineStr">
        <is>
          <t>MARK</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5356-2020</t>
        </is>
      </c>
      <c r="B4051" s="1" t="n">
        <v>43860</v>
      </c>
      <c r="C4051" s="1" t="n">
        <v>45212</v>
      </c>
      <c r="D4051" t="inlineStr">
        <is>
          <t>VÄSTRA GÖTALANDS LÄN</t>
        </is>
      </c>
      <c r="E4051" t="inlineStr">
        <is>
          <t>MARK</t>
        </is>
      </c>
      <c r="G4051" t="n">
        <v>2.2</v>
      </c>
      <c r="H4051" t="n">
        <v>0</v>
      </c>
      <c r="I4051" t="n">
        <v>0</v>
      </c>
      <c r="J4051" t="n">
        <v>0</v>
      </c>
      <c r="K4051" t="n">
        <v>0</v>
      </c>
      <c r="L4051" t="n">
        <v>0</v>
      </c>
      <c r="M4051" t="n">
        <v>0</v>
      </c>
      <c r="N4051" t="n">
        <v>0</v>
      </c>
      <c r="O4051" t="n">
        <v>0</v>
      </c>
      <c r="P4051" t="n">
        <v>0</v>
      </c>
      <c r="Q4051" t="n">
        <v>0</v>
      </c>
      <c r="R4051" s="2" t="inlineStr"/>
    </row>
    <row r="4052" ht="15" customHeight="1">
      <c r="A4052" t="inlineStr">
        <is>
          <t>A 5132-2020</t>
        </is>
      </c>
      <c r="B4052" s="1" t="n">
        <v>43860</v>
      </c>
      <c r="C4052" s="1" t="n">
        <v>45212</v>
      </c>
      <c r="D4052" t="inlineStr">
        <is>
          <t>VÄSTRA GÖTALANDS LÄN</t>
        </is>
      </c>
      <c r="E4052" t="inlineStr">
        <is>
          <t>ULRICEHAMN</t>
        </is>
      </c>
      <c r="F4052" t="inlineStr">
        <is>
          <t>Sveaskog</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5272-2020</t>
        </is>
      </c>
      <c r="B4053" s="1" t="n">
        <v>43860</v>
      </c>
      <c r="C4053" s="1" t="n">
        <v>45212</v>
      </c>
      <c r="D4053" t="inlineStr">
        <is>
          <t>VÄSTRA GÖTALANDS LÄN</t>
        </is>
      </c>
      <c r="E4053" t="inlineStr">
        <is>
          <t>MARK</t>
        </is>
      </c>
      <c r="G4053" t="n">
        <v>4.8</v>
      </c>
      <c r="H4053" t="n">
        <v>0</v>
      </c>
      <c r="I4053" t="n">
        <v>0</v>
      </c>
      <c r="J4053" t="n">
        <v>0</v>
      </c>
      <c r="K4053" t="n">
        <v>0</v>
      </c>
      <c r="L4053" t="n">
        <v>0</v>
      </c>
      <c r="M4053" t="n">
        <v>0</v>
      </c>
      <c r="N4053" t="n">
        <v>0</v>
      </c>
      <c r="O4053" t="n">
        <v>0</v>
      </c>
      <c r="P4053" t="n">
        <v>0</v>
      </c>
      <c r="Q4053" t="n">
        <v>0</v>
      </c>
      <c r="R4053" s="2" t="inlineStr"/>
    </row>
    <row r="4054" ht="15" customHeight="1">
      <c r="A4054" t="inlineStr">
        <is>
          <t>A 5392-2020</t>
        </is>
      </c>
      <c r="B4054" s="1" t="n">
        <v>43860</v>
      </c>
      <c r="C4054" s="1" t="n">
        <v>45212</v>
      </c>
      <c r="D4054" t="inlineStr">
        <is>
          <t>VÄSTRA GÖTALANDS LÄN</t>
        </is>
      </c>
      <c r="E4054" t="inlineStr">
        <is>
          <t>MUNKEDAL</t>
        </is>
      </c>
      <c r="G4054" t="n">
        <v>5.8</v>
      </c>
      <c r="H4054" t="n">
        <v>0</v>
      </c>
      <c r="I4054" t="n">
        <v>0</v>
      </c>
      <c r="J4054" t="n">
        <v>0</v>
      </c>
      <c r="K4054" t="n">
        <v>0</v>
      </c>
      <c r="L4054" t="n">
        <v>0</v>
      </c>
      <c r="M4054" t="n">
        <v>0</v>
      </c>
      <c r="N4054" t="n">
        <v>0</v>
      </c>
      <c r="O4054" t="n">
        <v>0</v>
      </c>
      <c r="P4054" t="n">
        <v>0</v>
      </c>
      <c r="Q4054" t="n">
        <v>0</v>
      </c>
      <c r="R4054" s="2" t="inlineStr"/>
    </row>
    <row r="4055" ht="15" customHeight="1">
      <c r="A4055" t="inlineStr">
        <is>
          <t>A 5402-2020</t>
        </is>
      </c>
      <c r="B4055" s="1" t="n">
        <v>43860</v>
      </c>
      <c r="C4055" s="1" t="n">
        <v>45212</v>
      </c>
      <c r="D4055" t="inlineStr">
        <is>
          <t>VÄSTRA GÖTALANDS LÄN</t>
        </is>
      </c>
      <c r="E4055" t="inlineStr">
        <is>
          <t>SKARA</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5142-2020</t>
        </is>
      </c>
      <c r="B4056" s="1" t="n">
        <v>43860</v>
      </c>
      <c r="C4056" s="1" t="n">
        <v>45212</v>
      </c>
      <c r="D4056" t="inlineStr">
        <is>
          <t>VÄSTRA GÖTALANDS LÄN</t>
        </is>
      </c>
      <c r="E4056" t="inlineStr">
        <is>
          <t>ULRICEHAMN</t>
        </is>
      </c>
      <c r="F4056" t="inlineStr">
        <is>
          <t>Sveaskog</t>
        </is>
      </c>
      <c r="G4056" t="n">
        <v>11.4</v>
      </c>
      <c r="H4056" t="n">
        <v>0</v>
      </c>
      <c r="I4056" t="n">
        <v>0</v>
      </c>
      <c r="J4056" t="n">
        <v>0</v>
      </c>
      <c r="K4056" t="n">
        <v>0</v>
      </c>
      <c r="L4056" t="n">
        <v>0</v>
      </c>
      <c r="M4056" t="n">
        <v>0</v>
      </c>
      <c r="N4056" t="n">
        <v>0</v>
      </c>
      <c r="O4056" t="n">
        <v>0</v>
      </c>
      <c r="P4056" t="n">
        <v>0</v>
      </c>
      <c r="Q4056" t="n">
        <v>0</v>
      </c>
      <c r="R4056" s="2" t="inlineStr"/>
    </row>
    <row r="4057" ht="15" customHeight="1">
      <c r="A4057" t="inlineStr">
        <is>
          <t>A 5271-2020</t>
        </is>
      </c>
      <c r="B4057" s="1" t="n">
        <v>43860</v>
      </c>
      <c r="C4057" s="1" t="n">
        <v>45212</v>
      </c>
      <c r="D4057" t="inlineStr">
        <is>
          <t>VÄSTRA GÖTALANDS LÄN</t>
        </is>
      </c>
      <c r="E4057" t="inlineStr">
        <is>
          <t>MARK</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5287-2020</t>
        </is>
      </c>
      <c r="B4058" s="1" t="n">
        <v>43860</v>
      </c>
      <c r="C4058" s="1" t="n">
        <v>45212</v>
      </c>
      <c r="D4058" t="inlineStr">
        <is>
          <t>VÄSTRA GÖTALANDS LÄN</t>
        </is>
      </c>
      <c r="E4058" t="inlineStr">
        <is>
          <t>MARK</t>
        </is>
      </c>
      <c r="G4058" t="n">
        <v>5</v>
      </c>
      <c r="H4058" t="n">
        <v>0</v>
      </c>
      <c r="I4058" t="n">
        <v>0</v>
      </c>
      <c r="J4058" t="n">
        <v>0</v>
      </c>
      <c r="K4058" t="n">
        <v>0</v>
      </c>
      <c r="L4058" t="n">
        <v>0</v>
      </c>
      <c r="M4058" t="n">
        <v>0</v>
      </c>
      <c r="N4058" t="n">
        <v>0</v>
      </c>
      <c r="O4058" t="n">
        <v>0</v>
      </c>
      <c r="P4058" t="n">
        <v>0</v>
      </c>
      <c r="Q4058" t="n">
        <v>0</v>
      </c>
      <c r="R4058" s="2" t="inlineStr"/>
    </row>
    <row r="4059" ht="15" customHeight="1">
      <c r="A4059" t="inlineStr">
        <is>
          <t>A 5398-2020</t>
        </is>
      </c>
      <c r="B4059" s="1" t="n">
        <v>43860</v>
      </c>
      <c r="C4059" s="1" t="n">
        <v>45212</v>
      </c>
      <c r="D4059" t="inlineStr">
        <is>
          <t>VÄSTRA GÖTALANDS LÄN</t>
        </is>
      </c>
      <c r="E4059" t="inlineStr">
        <is>
          <t>SKARA</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5139-2020</t>
        </is>
      </c>
      <c r="B4060" s="1" t="n">
        <v>43860</v>
      </c>
      <c r="C4060" s="1" t="n">
        <v>45212</v>
      </c>
      <c r="D4060" t="inlineStr">
        <is>
          <t>VÄSTRA GÖTALANDS LÄN</t>
        </is>
      </c>
      <c r="E4060" t="inlineStr">
        <is>
          <t>ULRICEHAMN</t>
        </is>
      </c>
      <c r="F4060" t="inlineStr">
        <is>
          <t>Sveaskog</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5285-2020</t>
        </is>
      </c>
      <c r="B4061" s="1" t="n">
        <v>43860</v>
      </c>
      <c r="C4061" s="1" t="n">
        <v>45212</v>
      </c>
      <c r="D4061" t="inlineStr">
        <is>
          <t>VÄSTRA GÖTALANDS LÄN</t>
        </is>
      </c>
      <c r="E4061" t="inlineStr">
        <is>
          <t>MARK</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5410-2020</t>
        </is>
      </c>
      <c r="B4062" s="1" t="n">
        <v>43860</v>
      </c>
      <c r="C4062" s="1" t="n">
        <v>45212</v>
      </c>
      <c r="D4062" t="inlineStr">
        <is>
          <t>VÄSTRA GÖTALANDS LÄN</t>
        </is>
      </c>
      <c r="E4062" t="inlineStr">
        <is>
          <t>VARA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5593-2020</t>
        </is>
      </c>
      <c r="B4063" s="1" t="n">
        <v>43861</v>
      </c>
      <c r="C4063" s="1" t="n">
        <v>45212</v>
      </c>
      <c r="D4063" t="inlineStr">
        <is>
          <t>VÄSTRA GÖTALANDS LÄN</t>
        </is>
      </c>
      <c r="E4063" t="inlineStr">
        <is>
          <t>ULRICEHAMN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5625-2020</t>
        </is>
      </c>
      <c r="B4064" s="1" t="n">
        <v>43861</v>
      </c>
      <c r="C4064" s="1" t="n">
        <v>45212</v>
      </c>
      <c r="D4064" t="inlineStr">
        <is>
          <t>VÄSTRA GÖTALANDS LÄN</t>
        </is>
      </c>
      <c r="E4064" t="inlineStr">
        <is>
          <t>TROLLHÄTTAN</t>
        </is>
      </c>
      <c r="F4064" t="inlineStr">
        <is>
          <t>Kommuner</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5762-2020</t>
        </is>
      </c>
      <c r="B4065" s="1" t="n">
        <v>43861</v>
      </c>
      <c r="C4065" s="1" t="n">
        <v>45212</v>
      </c>
      <c r="D4065" t="inlineStr">
        <is>
          <t>VÄSTRA GÖTALANDS LÄN</t>
        </is>
      </c>
      <c r="E4065" t="inlineStr">
        <is>
          <t>GULLSPÅNG</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5895-2020</t>
        </is>
      </c>
      <c r="B4066" s="1" t="n">
        <v>43861</v>
      </c>
      <c r="C4066" s="1" t="n">
        <v>45212</v>
      </c>
      <c r="D4066" t="inlineStr">
        <is>
          <t>VÄSTRA GÖTALANDS LÄN</t>
        </is>
      </c>
      <c r="E4066" t="inlineStr">
        <is>
          <t>MUNKEDAL</t>
        </is>
      </c>
      <c r="F4066" t="inlineStr">
        <is>
          <t>Övriga Aktiebolag</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5674-2020</t>
        </is>
      </c>
      <c r="B4067" s="1" t="n">
        <v>43861</v>
      </c>
      <c r="C4067" s="1" t="n">
        <v>45212</v>
      </c>
      <c r="D4067" t="inlineStr">
        <is>
          <t>VÄSTRA GÖTALANDS LÄN</t>
        </is>
      </c>
      <c r="E4067" t="inlineStr">
        <is>
          <t>BOLLEBYGD</t>
        </is>
      </c>
      <c r="G4067" t="n">
        <v>4</v>
      </c>
      <c r="H4067" t="n">
        <v>0</v>
      </c>
      <c r="I4067" t="n">
        <v>0</v>
      </c>
      <c r="J4067" t="n">
        <v>0</v>
      </c>
      <c r="K4067" t="n">
        <v>0</v>
      </c>
      <c r="L4067" t="n">
        <v>0</v>
      </c>
      <c r="M4067" t="n">
        <v>0</v>
      </c>
      <c r="N4067" t="n">
        <v>0</v>
      </c>
      <c r="O4067" t="n">
        <v>0</v>
      </c>
      <c r="P4067" t="n">
        <v>0</v>
      </c>
      <c r="Q4067" t="n">
        <v>0</v>
      </c>
      <c r="R4067" s="2" t="inlineStr"/>
    </row>
    <row r="4068" ht="15" customHeight="1">
      <c r="A4068" t="inlineStr">
        <is>
          <t>A 5769-2020</t>
        </is>
      </c>
      <c r="B4068" s="1" t="n">
        <v>43861</v>
      </c>
      <c r="C4068" s="1" t="n">
        <v>45212</v>
      </c>
      <c r="D4068" t="inlineStr">
        <is>
          <t>VÄSTRA GÖTALANDS LÄN</t>
        </is>
      </c>
      <c r="E4068" t="inlineStr">
        <is>
          <t>GULLSPÅNG</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5577-2020</t>
        </is>
      </c>
      <c r="B4069" s="1" t="n">
        <v>43861</v>
      </c>
      <c r="C4069" s="1" t="n">
        <v>45212</v>
      </c>
      <c r="D4069" t="inlineStr">
        <is>
          <t>VÄSTRA GÖTALANDS LÄN</t>
        </is>
      </c>
      <c r="E4069" t="inlineStr">
        <is>
          <t>ULRICEHAMN</t>
        </is>
      </c>
      <c r="G4069" t="n">
        <v>12.9</v>
      </c>
      <c r="H4069" t="n">
        <v>0</v>
      </c>
      <c r="I4069" t="n">
        <v>0</v>
      </c>
      <c r="J4069" t="n">
        <v>0</v>
      </c>
      <c r="K4069" t="n">
        <v>0</v>
      </c>
      <c r="L4069" t="n">
        <v>0</v>
      </c>
      <c r="M4069" t="n">
        <v>0</v>
      </c>
      <c r="N4069" t="n">
        <v>0</v>
      </c>
      <c r="O4069" t="n">
        <v>0</v>
      </c>
      <c r="P4069" t="n">
        <v>0</v>
      </c>
      <c r="Q4069" t="n">
        <v>0</v>
      </c>
      <c r="R4069" s="2" t="inlineStr"/>
    </row>
    <row r="4070" ht="15" customHeight="1">
      <c r="A4070" t="inlineStr">
        <is>
          <t>A 5624-2020</t>
        </is>
      </c>
      <c r="B4070" s="1" t="n">
        <v>43861</v>
      </c>
      <c r="C4070" s="1" t="n">
        <v>45212</v>
      </c>
      <c r="D4070" t="inlineStr">
        <is>
          <t>VÄSTRA GÖTALANDS LÄN</t>
        </is>
      </c>
      <c r="E4070" t="inlineStr">
        <is>
          <t>TROLLHÄTTAN</t>
        </is>
      </c>
      <c r="F4070" t="inlineStr">
        <is>
          <t>Kommuner</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5679-2020</t>
        </is>
      </c>
      <c r="B4071" s="1" t="n">
        <v>43861</v>
      </c>
      <c r="C4071" s="1" t="n">
        <v>45212</v>
      </c>
      <c r="D4071" t="inlineStr">
        <is>
          <t>VÄSTRA GÖTALANDS LÄN</t>
        </is>
      </c>
      <c r="E4071" t="inlineStr">
        <is>
          <t>BOLLEBYGD</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5893-2020</t>
        </is>
      </c>
      <c r="B4072" s="1" t="n">
        <v>43861</v>
      </c>
      <c r="C4072" s="1" t="n">
        <v>45212</v>
      </c>
      <c r="D4072" t="inlineStr">
        <is>
          <t>VÄSTRA GÖTALANDS LÄN</t>
        </is>
      </c>
      <c r="E4072" t="inlineStr">
        <is>
          <t>MUNKEDAL</t>
        </is>
      </c>
      <c r="F4072" t="inlineStr">
        <is>
          <t>Övriga Aktiebolag</t>
        </is>
      </c>
      <c r="G4072" t="n">
        <v>0.1</v>
      </c>
      <c r="H4072" t="n">
        <v>0</v>
      </c>
      <c r="I4072" t="n">
        <v>0</v>
      </c>
      <c r="J4072" t="n">
        <v>0</v>
      </c>
      <c r="K4072" t="n">
        <v>0</v>
      </c>
      <c r="L4072" t="n">
        <v>0</v>
      </c>
      <c r="M4072" t="n">
        <v>0</v>
      </c>
      <c r="N4072" t="n">
        <v>0</v>
      </c>
      <c r="O4072" t="n">
        <v>0</v>
      </c>
      <c r="P4072" t="n">
        <v>0</v>
      </c>
      <c r="Q4072" t="n">
        <v>0</v>
      </c>
      <c r="R4072" s="2" t="inlineStr"/>
    </row>
    <row r="4073" ht="15" customHeight="1">
      <c r="A4073" t="inlineStr">
        <is>
          <t>A 5496-2020</t>
        </is>
      </c>
      <c r="B4073" s="1" t="n">
        <v>43861</v>
      </c>
      <c r="C4073" s="1" t="n">
        <v>45212</v>
      </c>
      <c r="D4073" t="inlineStr">
        <is>
          <t>VÄSTRA GÖTALANDS LÄN</t>
        </is>
      </c>
      <c r="E4073" t="inlineStr">
        <is>
          <t>TJÖRN</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5659-2020</t>
        </is>
      </c>
      <c r="B4074" s="1" t="n">
        <v>43861</v>
      </c>
      <c r="C4074" s="1" t="n">
        <v>45212</v>
      </c>
      <c r="D4074" t="inlineStr">
        <is>
          <t>VÄSTRA GÖTALANDS LÄN</t>
        </is>
      </c>
      <c r="E4074" t="inlineStr">
        <is>
          <t>BOLLEBYGD</t>
        </is>
      </c>
      <c r="G4074" t="n">
        <v>7.6</v>
      </c>
      <c r="H4074" t="n">
        <v>0</v>
      </c>
      <c r="I4074" t="n">
        <v>0</v>
      </c>
      <c r="J4074" t="n">
        <v>0</v>
      </c>
      <c r="K4074" t="n">
        <v>0</v>
      </c>
      <c r="L4074" t="n">
        <v>0</v>
      </c>
      <c r="M4074" t="n">
        <v>0</v>
      </c>
      <c r="N4074" t="n">
        <v>0</v>
      </c>
      <c r="O4074" t="n">
        <v>0</v>
      </c>
      <c r="P4074" t="n">
        <v>0</v>
      </c>
      <c r="Q4074" t="n">
        <v>0</v>
      </c>
      <c r="R4074" s="2" t="inlineStr"/>
    </row>
    <row r="4075" ht="15" customHeight="1">
      <c r="A4075" t="inlineStr">
        <is>
          <t>A 5669-2020</t>
        </is>
      </c>
      <c r="B4075" s="1" t="n">
        <v>43861</v>
      </c>
      <c r="C4075" s="1" t="n">
        <v>45212</v>
      </c>
      <c r="D4075" t="inlineStr">
        <is>
          <t>VÄSTRA GÖTALANDS LÄN</t>
        </is>
      </c>
      <c r="E4075" t="inlineStr">
        <is>
          <t>ESSUNGA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5843-2020</t>
        </is>
      </c>
      <c r="B4076" s="1" t="n">
        <v>43864</v>
      </c>
      <c r="C4076" s="1" t="n">
        <v>45212</v>
      </c>
      <c r="D4076" t="inlineStr">
        <is>
          <t>VÄSTRA GÖTALANDS LÄN</t>
        </is>
      </c>
      <c r="E4076" t="inlineStr">
        <is>
          <t>BENGTSFORS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5862-2020</t>
        </is>
      </c>
      <c r="B4077" s="1" t="n">
        <v>43864</v>
      </c>
      <c r="C4077" s="1" t="n">
        <v>45212</v>
      </c>
      <c r="D4077" t="inlineStr">
        <is>
          <t>VÄSTRA GÖTALANDS LÄN</t>
        </is>
      </c>
      <c r="E4077" t="inlineStr">
        <is>
          <t>UDDEVALLA</t>
        </is>
      </c>
      <c r="F4077" t="inlineStr">
        <is>
          <t>Kyrkan</t>
        </is>
      </c>
      <c r="G4077" t="n">
        <v>0.9</v>
      </c>
      <c r="H4077" t="n">
        <v>0</v>
      </c>
      <c r="I4077" t="n">
        <v>0</v>
      </c>
      <c r="J4077" t="n">
        <v>0</v>
      </c>
      <c r="K4077" t="n">
        <v>0</v>
      </c>
      <c r="L4077" t="n">
        <v>0</v>
      </c>
      <c r="M4077" t="n">
        <v>0</v>
      </c>
      <c r="N4077" t="n">
        <v>0</v>
      </c>
      <c r="O4077" t="n">
        <v>0</v>
      </c>
      <c r="P4077" t="n">
        <v>0</v>
      </c>
      <c r="Q4077" t="n">
        <v>0</v>
      </c>
      <c r="R4077" s="2" t="inlineStr"/>
    </row>
    <row r="4078" ht="15" customHeight="1">
      <c r="A4078" t="inlineStr">
        <is>
          <t>A 5751-2020</t>
        </is>
      </c>
      <c r="B4078" s="1" t="n">
        <v>43864</v>
      </c>
      <c r="C4078" s="1" t="n">
        <v>45212</v>
      </c>
      <c r="D4078" t="inlineStr">
        <is>
          <t>VÄSTRA GÖTALANDS LÄN</t>
        </is>
      </c>
      <c r="E4078" t="inlineStr">
        <is>
          <t>BOLLEBYGD</t>
        </is>
      </c>
      <c r="G4078" t="n">
        <v>6.9</v>
      </c>
      <c r="H4078" t="n">
        <v>0</v>
      </c>
      <c r="I4078" t="n">
        <v>0</v>
      </c>
      <c r="J4078" t="n">
        <v>0</v>
      </c>
      <c r="K4078" t="n">
        <v>0</v>
      </c>
      <c r="L4078" t="n">
        <v>0</v>
      </c>
      <c r="M4078" t="n">
        <v>0</v>
      </c>
      <c r="N4078" t="n">
        <v>0</v>
      </c>
      <c r="O4078" t="n">
        <v>0</v>
      </c>
      <c r="P4078" t="n">
        <v>0</v>
      </c>
      <c r="Q4078" t="n">
        <v>0</v>
      </c>
      <c r="R4078" s="2" t="inlineStr"/>
    </row>
    <row r="4079" ht="15" customHeight="1">
      <c r="A4079" t="inlineStr">
        <is>
          <t>A 5835-2020</t>
        </is>
      </c>
      <c r="B4079" s="1" t="n">
        <v>43864</v>
      </c>
      <c r="C4079" s="1" t="n">
        <v>45212</v>
      </c>
      <c r="D4079" t="inlineStr">
        <is>
          <t>VÄSTRA GÖTALANDS LÄN</t>
        </is>
      </c>
      <c r="E4079" t="inlineStr">
        <is>
          <t>BENGTSFORS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5847-2020</t>
        </is>
      </c>
      <c r="B4080" s="1" t="n">
        <v>43864</v>
      </c>
      <c r="C4080" s="1" t="n">
        <v>45212</v>
      </c>
      <c r="D4080" t="inlineStr">
        <is>
          <t>VÄSTRA GÖTALANDS LÄN</t>
        </is>
      </c>
      <c r="E4080" t="inlineStr">
        <is>
          <t>ALINGSÅS</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5977-2020</t>
        </is>
      </c>
      <c r="B4081" s="1" t="n">
        <v>43864</v>
      </c>
      <c r="C4081" s="1" t="n">
        <v>45212</v>
      </c>
      <c r="D4081" t="inlineStr">
        <is>
          <t>VÄSTRA GÖTALANDS LÄN</t>
        </is>
      </c>
      <c r="E4081" t="inlineStr">
        <is>
          <t>VARA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5877-2020</t>
        </is>
      </c>
      <c r="B4082" s="1" t="n">
        <v>43864</v>
      </c>
      <c r="C4082" s="1" t="n">
        <v>45212</v>
      </c>
      <c r="D4082" t="inlineStr">
        <is>
          <t>VÄSTRA GÖTALANDS LÄN</t>
        </is>
      </c>
      <c r="E4082" t="inlineStr">
        <is>
          <t>SKÖVDE</t>
        </is>
      </c>
      <c r="F4082" t="inlineStr">
        <is>
          <t>Kommuner</t>
        </is>
      </c>
      <c r="G4082" t="n">
        <v>2.7</v>
      </c>
      <c r="H4082" t="n">
        <v>0</v>
      </c>
      <c r="I4082" t="n">
        <v>0</v>
      </c>
      <c r="J4082" t="n">
        <v>0</v>
      </c>
      <c r="K4082" t="n">
        <v>0</v>
      </c>
      <c r="L4082" t="n">
        <v>0</v>
      </c>
      <c r="M4082" t="n">
        <v>0</v>
      </c>
      <c r="N4082" t="n">
        <v>0</v>
      </c>
      <c r="O4082" t="n">
        <v>0</v>
      </c>
      <c r="P4082" t="n">
        <v>0</v>
      </c>
      <c r="Q4082" t="n">
        <v>0</v>
      </c>
      <c r="R4082" s="2" t="inlineStr"/>
    </row>
    <row r="4083" ht="15" customHeight="1">
      <c r="A4083" t="inlineStr">
        <is>
          <t>A 5991-2020</t>
        </is>
      </c>
      <c r="B4083" s="1" t="n">
        <v>43864</v>
      </c>
      <c r="C4083" s="1" t="n">
        <v>45212</v>
      </c>
      <c r="D4083" t="inlineStr">
        <is>
          <t>VÄSTRA GÖTALANDS LÄN</t>
        </is>
      </c>
      <c r="E4083" t="inlineStr">
        <is>
          <t>BENGTSFORS</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6109-2020</t>
        </is>
      </c>
      <c r="B4084" s="1" t="n">
        <v>43864</v>
      </c>
      <c r="C4084" s="1" t="n">
        <v>45212</v>
      </c>
      <c r="D4084" t="inlineStr">
        <is>
          <t>VÄSTRA GÖTALANDS LÄN</t>
        </is>
      </c>
      <c r="E4084" t="inlineStr">
        <is>
          <t>BENGTSFORS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6401-2020</t>
        </is>
      </c>
      <c r="B4085" s="1" t="n">
        <v>43864</v>
      </c>
      <c r="C4085" s="1" t="n">
        <v>45212</v>
      </c>
      <c r="D4085" t="inlineStr">
        <is>
          <t>VÄSTRA GÖTALANDS LÄN</t>
        </is>
      </c>
      <c r="E4085" t="inlineStr">
        <is>
          <t>VARA</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5978-2020</t>
        </is>
      </c>
      <c r="B4086" s="1" t="n">
        <v>43865</v>
      </c>
      <c r="C4086" s="1" t="n">
        <v>45212</v>
      </c>
      <c r="D4086" t="inlineStr">
        <is>
          <t>VÄSTRA GÖTALANDS LÄN</t>
        </is>
      </c>
      <c r="E4086" t="inlineStr">
        <is>
          <t>MARIESTAD</t>
        </is>
      </c>
      <c r="F4086" t="inlineStr">
        <is>
          <t>Sveaskog</t>
        </is>
      </c>
      <c r="G4086" t="n">
        <v>0.6</v>
      </c>
      <c r="H4086" t="n">
        <v>0</v>
      </c>
      <c r="I4086" t="n">
        <v>0</v>
      </c>
      <c r="J4086" t="n">
        <v>0</v>
      </c>
      <c r="K4086" t="n">
        <v>0</v>
      </c>
      <c r="L4086" t="n">
        <v>0</v>
      </c>
      <c r="M4086" t="n">
        <v>0</v>
      </c>
      <c r="N4086" t="n">
        <v>0</v>
      </c>
      <c r="O4086" t="n">
        <v>0</v>
      </c>
      <c r="P4086" t="n">
        <v>0</v>
      </c>
      <c r="Q4086" t="n">
        <v>0</v>
      </c>
      <c r="R4086" s="2" t="inlineStr"/>
    </row>
    <row r="4087" ht="15" customHeight="1">
      <c r="A4087" t="inlineStr">
        <is>
          <t>A 6108-2020</t>
        </is>
      </c>
      <c r="B4087" s="1" t="n">
        <v>43865</v>
      </c>
      <c r="C4087" s="1" t="n">
        <v>45212</v>
      </c>
      <c r="D4087" t="inlineStr">
        <is>
          <t>VÄSTRA GÖTALANDS LÄN</t>
        </is>
      </c>
      <c r="E4087" t="inlineStr">
        <is>
          <t>BENGTSFORS</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6168-2020</t>
        </is>
      </c>
      <c r="B4088" s="1" t="n">
        <v>43865</v>
      </c>
      <c r="C4088" s="1" t="n">
        <v>45212</v>
      </c>
      <c r="D4088" t="inlineStr">
        <is>
          <t>VÄSTRA GÖTALANDS LÄN</t>
        </is>
      </c>
      <c r="E4088" t="inlineStr">
        <is>
          <t>HÄRRYDA</t>
        </is>
      </c>
      <c r="G4088" t="n">
        <v>5</v>
      </c>
      <c r="H4088" t="n">
        <v>0</v>
      </c>
      <c r="I4088" t="n">
        <v>0</v>
      </c>
      <c r="J4088" t="n">
        <v>0</v>
      </c>
      <c r="K4088" t="n">
        <v>0</v>
      </c>
      <c r="L4088" t="n">
        <v>0</v>
      </c>
      <c r="M4088" t="n">
        <v>0</v>
      </c>
      <c r="N4088" t="n">
        <v>0</v>
      </c>
      <c r="O4088" t="n">
        <v>0</v>
      </c>
      <c r="P4088" t="n">
        <v>0</v>
      </c>
      <c r="Q4088" t="n">
        <v>0</v>
      </c>
      <c r="R4088" s="2" t="inlineStr"/>
    </row>
    <row r="4089" ht="15" customHeight="1">
      <c r="A4089" t="inlineStr">
        <is>
          <t>A 6686-2020</t>
        </is>
      </c>
      <c r="B4089" s="1" t="n">
        <v>43865</v>
      </c>
      <c r="C4089" s="1" t="n">
        <v>45212</v>
      </c>
      <c r="D4089" t="inlineStr">
        <is>
          <t>VÄSTRA GÖTALANDS LÄN</t>
        </is>
      </c>
      <c r="E4089" t="inlineStr">
        <is>
          <t>VÄNERSBORG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5980-2020</t>
        </is>
      </c>
      <c r="B4090" s="1" t="n">
        <v>43865</v>
      </c>
      <c r="C4090" s="1" t="n">
        <v>45212</v>
      </c>
      <c r="D4090" t="inlineStr">
        <is>
          <t>VÄSTRA GÖTALANDS LÄN</t>
        </is>
      </c>
      <c r="E4090" t="inlineStr">
        <is>
          <t>SKARA</t>
        </is>
      </c>
      <c r="F4090" t="inlineStr">
        <is>
          <t>Sveaskog</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6155-2020</t>
        </is>
      </c>
      <c r="B4091" s="1" t="n">
        <v>43865</v>
      </c>
      <c r="C4091" s="1" t="n">
        <v>45212</v>
      </c>
      <c r="D4091" t="inlineStr">
        <is>
          <t>VÄSTRA GÖTALANDS LÄN</t>
        </is>
      </c>
      <c r="E4091" t="inlineStr">
        <is>
          <t>TANUM</t>
        </is>
      </c>
      <c r="G4091" t="n">
        <v>2.7</v>
      </c>
      <c r="H4091" t="n">
        <v>0</v>
      </c>
      <c r="I4091" t="n">
        <v>0</v>
      </c>
      <c r="J4091" t="n">
        <v>0</v>
      </c>
      <c r="K4091" t="n">
        <v>0</v>
      </c>
      <c r="L4091" t="n">
        <v>0</v>
      </c>
      <c r="M4091" t="n">
        <v>0</v>
      </c>
      <c r="N4091" t="n">
        <v>0</v>
      </c>
      <c r="O4091" t="n">
        <v>0</v>
      </c>
      <c r="P4091" t="n">
        <v>0</v>
      </c>
      <c r="Q4091" t="n">
        <v>0</v>
      </c>
      <c r="R4091" s="2" t="inlineStr"/>
    </row>
    <row r="4092" ht="15" customHeight="1">
      <c r="A4092" t="inlineStr">
        <is>
          <t>A 6172-2020</t>
        </is>
      </c>
      <c r="B4092" s="1" t="n">
        <v>43865</v>
      </c>
      <c r="C4092" s="1" t="n">
        <v>45212</v>
      </c>
      <c r="D4092" t="inlineStr">
        <is>
          <t>VÄSTRA GÖTALANDS LÄN</t>
        </is>
      </c>
      <c r="E4092" t="inlineStr">
        <is>
          <t>TANUM</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6415-2020</t>
        </is>
      </c>
      <c r="B4093" s="1" t="n">
        <v>43865</v>
      </c>
      <c r="C4093" s="1" t="n">
        <v>45212</v>
      </c>
      <c r="D4093" t="inlineStr">
        <is>
          <t>VÄSTRA GÖTALANDS LÄN</t>
        </is>
      </c>
      <c r="E4093" t="inlineStr">
        <is>
          <t>LILLA EDET</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5986-2020</t>
        </is>
      </c>
      <c r="B4094" s="1" t="n">
        <v>43865</v>
      </c>
      <c r="C4094" s="1" t="n">
        <v>45212</v>
      </c>
      <c r="D4094" t="inlineStr">
        <is>
          <t>VÄSTRA GÖTALANDS LÄN</t>
        </is>
      </c>
      <c r="E4094" t="inlineStr">
        <is>
          <t>SKARA</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6047-2020</t>
        </is>
      </c>
      <c r="B4095" s="1" t="n">
        <v>43865</v>
      </c>
      <c r="C4095" s="1" t="n">
        <v>45212</v>
      </c>
      <c r="D4095" t="inlineStr">
        <is>
          <t>VÄSTRA GÖTALANDS LÄN</t>
        </is>
      </c>
      <c r="E4095" t="inlineStr">
        <is>
          <t>HERRLJUNGA</t>
        </is>
      </c>
      <c r="G4095" t="n">
        <v>5.5</v>
      </c>
      <c r="H4095" t="n">
        <v>0</v>
      </c>
      <c r="I4095" t="n">
        <v>0</v>
      </c>
      <c r="J4095" t="n">
        <v>0</v>
      </c>
      <c r="K4095" t="n">
        <v>0</v>
      </c>
      <c r="L4095" t="n">
        <v>0</v>
      </c>
      <c r="M4095" t="n">
        <v>0</v>
      </c>
      <c r="N4095" t="n">
        <v>0</v>
      </c>
      <c r="O4095" t="n">
        <v>0</v>
      </c>
      <c r="P4095" t="n">
        <v>0</v>
      </c>
      <c r="Q4095" t="n">
        <v>0</v>
      </c>
      <c r="R4095" s="2" t="inlineStr"/>
    </row>
    <row r="4096" ht="15" customHeight="1">
      <c r="A4096" t="inlineStr">
        <is>
          <t>A 6111-2020</t>
        </is>
      </c>
      <c r="B4096" s="1" t="n">
        <v>43865</v>
      </c>
      <c r="C4096" s="1" t="n">
        <v>45212</v>
      </c>
      <c r="D4096" t="inlineStr">
        <is>
          <t>VÄSTRA GÖTALANDS LÄN</t>
        </is>
      </c>
      <c r="E4096" t="inlineStr">
        <is>
          <t>ULRICEHAMN</t>
        </is>
      </c>
      <c r="F4096" t="inlineStr">
        <is>
          <t>Kyrkan</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6398-2020</t>
        </is>
      </c>
      <c r="B4097" s="1" t="n">
        <v>43865</v>
      </c>
      <c r="C4097" s="1" t="n">
        <v>45212</v>
      </c>
      <c r="D4097" t="inlineStr">
        <is>
          <t>VÄSTRA GÖTALANDS LÄN</t>
        </is>
      </c>
      <c r="E4097" t="inlineStr">
        <is>
          <t>LILLA EDET</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6070-2020</t>
        </is>
      </c>
      <c r="B4098" s="1" t="n">
        <v>43865</v>
      </c>
      <c r="C4098" s="1" t="n">
        <v>45212</v>
      </c>
      <c r="D4098" t="inlineStr">
        <is>
          <t>VÄSTRA GÖTALANDS LÄN</t>
        </is>
      </c>
      <c r="E4098" t="inlineStr">
        <is>
          <t>MARIESTAD</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6423-2020</t>
        </is>
      </c>
      <c r="B4099" s="1" t="n">
        <v>43865</v>
      </c>
      <c r="C4099" s="1" t="n">
        <v>45212</v>
      </c>
      <c r="D4099" t="inlineStr">
        <is>
          <t>VÄSTRA GÖTALANDS LÄN</t>
        </is>
      </c>
      <c r="E4099" t="inlineStr">
        <is>
          <t>SKÖVDE</t>
        </is>
      </c>
      <c r="G4099" t="n">
        <v>7</v>
      </c>
      <c r="H4099" t="n">
        <v>0</v>
      </c>
      <c r="I4099" t="n">
        <v>0</v>
      </c>
      <c r="J4099" t="n">
        <v>0</v>
      </c>
      <c r="K4099" t="n">
        <v>0</v>
      </c>
      <c r="L4099" t="n">
        <v>0</v>
      </c>
      <c r="M4099" t="n">
        <v>0</v>
      </c>
      <c r="N4099" t="n">
        <v>0</v>
      </c>
      <c r="O4099" t="n">
        <v>0</v>
      </c>
      <c r="P4099" t="n">
        <v>0</v>
      </c>
      <c r="Q4099" t="n">
        <v>0</v>
      </c>
      <c r="R4099" s="2" t="inlineStr"/>
    </row>
    <row r="4100" ht="15" customHeight="1">
      <c r="A4100" t="inlineStr">
        <is>
          <t>A 6596-2020</t>
        </is>
      </c>
      <c r="B4100" s="1" t="n">
        <v>43865</v>
      </c>
      <c r="C4100" s="1" t="n">
        <v>45212</v>
      </c>
      <c r="D4100" t="inlineStr">
        <is>
          <t>VÄSTRA GÖTALANDS LÄN</t>
        </is>
      </c>
      <c r="E4100" t="inlineStr">
        <is>
          <t>KARLSBORG</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6432-2020</t>
        </is>
      </c>
      <c r="B4101" s="1" t="n">
        <v>43866</v>
      </c>
      <c r="C4101" s="1" t="n">
        <v>45212</v>
      </c>
      <c r="D4101" t="inlineStr">
        <is>
          <t>VÄSTRA GÖTALANDS LÄN</t>
        </is>
      </c>
      <c r="E4101" t="inlineStr">
        <is>
          <t>UDDEVALLA</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6259-2020</t>
        </is>
      </c>
      <c r="B4102" s="1" t="n">
        <v>43866</v>
      </c>
      <c r="C4102" s="1" t="n">
        <v>45212</v>
      </c>
      <c r="D4102" t="inlineStr">
        <is>
          <t>VÄSTRA GÖTALANDS LÄN</t>
        </is>
      </c>
      <c r="E4102" t="inlineStr">
        <is>
          <t>TÖREBODA</t>
        </is>
      </c>
      <c r="F4102" t="inlineStr">
        <is>
          <t>Sveaskog</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6352-2020</t>
        </is>
      </c>
      <c r="B4103" s="1" t="n">
        <v>43866</v>
      </c>
      <c r="C4103" s="1" t="n">
        <v>45212</v>
      </c>
      <c r="D4103" t="inlineStr">
        <is>
          <t>VÄSTRA GÖTALANDS LÄN</t>
        </is>
      </c>
      <c r="E4103" t="inlineStr">
        <is>
          <t>MARIESTAD</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6382-2020</t>
        </is>
      </c>
      <c r="B4104" s="1" t="n">
        <v>43866</v>
      </c>
      <c r="C4104" s="1" t="n">
        <v>45212</v>
      </c>
      <c r="D4104" t="inlineStr">
        <is>
          <t>VÄSTRA GÖTALANDS LÄN</t>
        </is>
      </c>
      <c r="E4104" t="inlineStr">
        <is>
          <t>MARIESTAD</t>
        </is>
      </c>
      <c r="G4104" t="n">
        <v>2.5</v>
      </c>
      <c r="H4104" t="n">
        <v>0</v>
      </c>
      <c r="I4104" t="n">
        <v>0</v>
      </c>
      <c r="J4104" t="n">
        <v>0</v>
      </c>
      <c r="K4104" t="n">
        <v>0</v>
      </c>
      <c r="L4104" t="n">
        <v>0</v>
      </c>
      <c r="M4104" t="n">
        <v>0</v>
      </c>
      <c r="N4104" t="n">
        <v>0</v>
      </c>
      <c r="O4104" t="n">
        <v>0</v>
      </c>
      <c r="P4104" t="n">
        <v>0</v>
      </c>
      <c r="Q4104" t="n">
        <v>0</v>
      </c>
      <c r="R4104" s="2" t="inlineStr"/>
    </row>
    <row r="4105" ht="15" customHeight="1">
      <c r="A4105" t="inlineStr">
        <is>
          <t>A 6447-2020</t>
        </is>
      </c>
      <c r="B4105" s="1" t="n">
        <v>43866</v>
      </c>
      <c r="C4105" s="1" t="n">
        <v>45212</v>
      </c>
      <c r="D4105" t="inlineStr">
        <is>
          <t>VÄSTRA GÖTALANDS LÄN</t>
        </is>
      </c>
      <c r="E4105" t="inlineStr">
        <is>
          <t>FALKÖPING</t>
        </is>
      </c>
      <c r="F4105" t="inlineStr">
        <is>
          <t>Sveaskog</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6362-2020</t>
        </is>
      </c>
      <c r="B4106" s="1" t="n">
        <v>43866</v>
      </c>
      <c r="C4106" s="1" t="n">
        <v>45212</v>
      </c>
      <c r="D4106" t="inlineStr">
        <is>
          <t>VÄSTRA GÖTALANDS LÄN</t>
        </is>
      </c>
      <c r="E4106" t="inlineStr">
        <is>
          <t>TROLLHÄTTAN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6475-2020</t>
        </is>
      </c>
      <c r="B4107" s="1" t="n">
        <v>43866</v>
      </c>
      <c r="C4107" s="1" t="n">
        <v>45212</v>
      </c>
      <c r="D4107" t="inlineStr">
        <is>
          <t>VÄSTRA GÖTALANDS LÄN</t>
        </is>
      </c>
      <c r="E4107" t="inlineStr">
        <is>
          <t>LILLA EDET</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6322-2020</t>
        </is>
      </c>
      <c r="B4108" s="1" t="n">
        <v>43866</v>
      </c>
      <c r="C4108" s="1" t="n">
        <v>45212</v>
      </c>
      <c r="D4108" t="inlineStr">
        <is>
          <t>VÄSTRA GÖTALANDS LÄN</t>
        </is>
      </c>
      <c r="E4108" t="inlineStr">
        <is>
          <t>DALS-ED</t>
        </is>
      </c>
      <c r="G4108" t="n">
        <v>7.4</v>
      </c>
      <c r="H4108" t="n">
        <v>0</v>
      </c>
      <c r="I4108" t="n">
        <v>0</v>
      </c>
      <c r="J4108" t="n">
        <v>0</v>
      </c>
      <c r="K4108" t="n">
        <v>0</v>
      </c>
      <c r="L4108" t="n">
        <v>0</v>
      </c>
      <c r="M4108" t="n">
        <v>0</v>
      </c>
      <c r="N4108" t="n">
        <v>0</v>
      </c>
      <c r="O4108" t="n">
        <v>0</v>
      </c>
      <c r="P4108" t="n">
        <v>0</v>
      </c>
      <c r="Q4108" t="n">
        <v>0</v>
      </c>
      <c r="R4108" s="2" t="inlineStr"/>
    </row>
    <row r="4109" ht="15" customHeight="1">
      <c r="A4109" t="inlineStr">
        <is>
          <t>A 6407-2020</t>
        </is>
      </c>
      <c r="B4109" s="1" t="n">
        <v>43866</v>
      </c>
      <c r="C4109" s="1" t="n">
        <v>45212</v>
      </c>
      <c r="D4109" t="inlineStr">
        <is>
          <t>VÄSTRA GÖTALANDS LÄN</t>
        </is>
      </c>
      <c r="E4109" t="inlineStr">
        <is>
          <t>LIDKÖPING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6760-2020</t>
        </is>
      </c>
      <c r="B4110" s="1" t="n">
        <v>43866</v>
      </c>
      <c r="C4110" s="1" t="n">
        <v>45212</v>
      </c>
      <c r="D4110" t="inlineStr">
        <is>
          <t>VÄSTRA GÖTALANDS LÄN</t>
        </is>
      </c>
      <c r="E4110" t="inlineStr">
        <is>
          <t>SKÖVDE</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6594-2020</t>
        </is>
      </c>
      <c r="B4111" s="1" t="n">
        <v>43867</v>
      </c>
      <c r="C4111" s="1" t="n">
        <v>45212</v>
      </c>
      <c r="D4111" t="inlineStr">
        <is>
          <t>VÄSTRA GÖTALANDS LÄN</t>
        </is>
      </c>
      <c r="E4111" t="inlineStr">
        <is>
          <t>SVENLJUNGA</t>
        </is>
      </c>
      <c r="G4111" t="n">
        <v>9.800000000000001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6705-2020</t>
        </is>
      </c>
      <c r="B4112" s="1" t="n">
        <v>43867</v>
      </c>
      <c r="C4112" s="1" t="n">
        <v>45212</v>
      </c>
      <c r="D4112" t="inlineStr">
        <is>
          <t>VÄSTRA GÖTALANDS LÄN</t>
        </is>
      </c>
      <c r="E4112" t="inlineStr">
        <is>
          <t>ÅMÅL</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6741-2020</t>
        </is>
      </c>
      <c r="B4113" s="1" t="n">
        <v>43867</v>
      </c>
      <c r="C4113" s="1" t="n">
        <v>45212</v>
      </c>
      <c r="D4113" t="inlineStr">
        <is>
          <t>VÄSTRA GÖTALANDS LÄN</t>
        </is>
      </c>
      <c r="E4113" t="inlineStr">
        <is>
          <t>MARK</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6893-2020</t>
        </is>
      </c>
      <c r="B4114" s="1" t="n">
        <v>43867</v>
      </c>
      <c r="C4114" s="1" t="n">
        <v>45212</v>
      </c>
      <c r="D4114" t="inlineStr">
        <is>
          <t>VÄSTRA GÖTALANDS LÄN</t>
        </is>
      </c>
      <c r="E4114" t="inlineStr">
        <is>
          <t>VÄNERSBORG</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6629-2020</t>
        </is>
      </c>
      <c r="B4115" s="1" t="n">
        <v>43867</v>
      </c>
      <c r="C4115" s="1" t="n">
        <v>45212</v>
      </c>
      <c r="D4115" t="inlineStr">
        <is>
          <t>VÄSTRA GÖTALANDS LÄN</t>
        </is>
      </c>
      <c r="E4115" t="inlineStr">
        <is>
          <t>GULLSPÅNG</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6577-2020</t>
        </is>
      </c>
      <c r="B4116" s="1" t="n">
        <v>43867</v>
      </c>
      <c r="C4116" s="1" t="n">
        <v>45212</v>
      </c>
      <c r="D4116" t="inlineStr">
        <is>
          <t>VÄSTRA GÖTALANDS LÄN</t>
        </is>
      </c>
      <c r="E4116" t="inlineStr">
        <is>
          <t>GÖTENE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6753-2020</t>
        </is>
      </c>
      <c r="B4117" s="1" t="n">
        <v>43867</v>
      </c>
      <c r="C4117" s="1" t="n">
        <v>45212</v>
      </c>
      <c r="D4117" t="inlineStr">
        <is>
          <t>VÄSTRA GÖTALANDS LÄN</t>
        </is>
      </c>
      <c r="E4117" t="inlineStr">
        <is>
          <t>LIDKÖPING</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6786-2020</t>
        </is>
      </c>
      <c r="B4118" s="1" t="n">
        <v>43867</v>
      </c>
      <c r="C4118" s="1" t="n">
        <v>45212</v>
      </c>
      <c r="D4118" t="inlineStr">
        <is>
          <t>VÄSTRA GÖTALANDS LÄN</t>
        </is>
      </c>
      <c r="E4118" t="inlineStr">
        <is>
          <t>ULRICEHAMN</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6513-2020</t>
        </is>
      </c>
      <c r="B4119" s="1" t="n">
        <v>43867</v>
      </c>
      <c r="C4119" s="1" t="n">
        <v>45212</v>
      </c>
      <c r="D4119" t="inlineStr">
        <is>
          <t>VÄSTRA GÖTALANDS LÄN</t>
        </is>
      </c>
      <c r="E4119" t="inlineStr">
        <is>
          <t>SKÖVDE</t>
        </is>
      </c>
      <c r="G4119" t="n">
        <v>2.1</v>
      </c>
      <c r="H4119" t="n">
        <v>0</v>
      </c>
      <c r="I4119" t="n">
        <v>0</v>
      </c>
      <c r="J4119" t="n">
        <v>0</v>
      </c>
      <c r="K4119" t="n">
        <v>0</v>
      </c>
      <c r="L4119" t="n">
        <v>0</v>
      </c>
      <c r="M4119" t="n">
        <v>0</v>
      </c>
      <c r="N4119" t="n">
        <v>0</v>
      </c>
      <c r="O4119" t="n">
        <v>0</v>
      </c>
      <c r="P4119" t="n">
        <v>0</v>
      </c>
      <c r="Q4119" t="n">
        <v>0</v>
      </c>
      <c r="R4119" s="2" t="inlineStr"/>
    </row>
    <row r="4120" ht="15" customHeight="1">
      <c r="A4120" t="inlineStr">
        <is>
          <t>A 6544-2020</t>
        </is>
      </c>
      <c r="B4120" s="1" t="n">
        <v>43867</v>
      </c>
      <c r="C4120" s="1" t="n">
        <v>45212</v>
      </c>
      <c r="D4120" t="inlineStr">
        <is>
          <t>VÄSTRA GÖTALANDS LÄN</t>
        </is>
      </c>
      <c r="E4120" t="inlineStr">
        <is>
          <t>GÖTENE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6574-2020</t>
        </is>
      </c>
      <c r="B4121" s="1" t="n">
        <v>43867</v>
      </c>
      <c r="C4121" s="1" t="n">
        <v>45212</v>
      </c>
      <c r="D4121" t="inlineStr">
        <is>
          <t>VÄSTRA GÖTALANDS LÄN</t>
        </is>
      </c>
      <c r="E4121" t="inlineStr">
        <is>
          <t>GÖTENE</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6782-2020</t>
        </is>
      </c>
      <c r="B4122" s="1" t="n">
        <v>43867</v>
      </c>
      <c r="C4122" s="1" t="n">
        <v>45212</v>
      </c>
      <c r="D4122" t="inlineStr">
        <is>
          <t>VÄSTRA GÖTALANDS LÄN</t>
        </is>
      </c>
      <c r="E4122" t="inlineStr">
        <is>
          <t>ÅMÅL</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6882-2020</t>
        </is>
      </c>
      <c r="B4123" s="1" t="n">
        <v>43868</v>
      </c>
      <c r="C4123" s="1" t="n">
        <v>45212</v>
      </c>
      <c r="D4123" t="inlineStr">
        <is>
          <t>VÄSTRA GÖTALANDS LÄN</t>
        </is>
      </c>
      <c r="E4123" t="inlineStr">
        <is>
          <t>ULRICEHAMN</t>
        </is>
      </c>
      <c r="F4123" t="inlineStr">
        <is>
          <t>Kommuner</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6952-2020</t>
        </is>
      </c>
      <c r="B4124" s="1" t="n">
        <v>43868</v>
      </c>
      <c r="C4124" s="1" t="n">
        <v>45212</v>
      </c>
      <c r="D4124" t="inlineStr">
        <is>
          <t>VÄSTRA GÖTALANDS LÄN</t>
        </is>
      </c>
      <c r="E4124" t="inlineStr">
        <is>
          <t>SVENLJUNGA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7083-2020</t>
        </is>
      </c>
      <c r="B4125" s="1" t="n">
        <v>43868</v>
      </c>
      <c r="C4125" s="1" t="n">
        <v>45212</v>
      </c>
      <c r="D4125" t="inlineStr">
        <is>
          <t>VÄSTRA GÖTALANDS LÄN</t>
        </is>
      </c>
      <c r="E4125" t="inlineStr">
        <is>
          <t>BENGTSFORS</t>
        </is>
      </c>
      <c r="G4125" t="n">
        <v>0.2</v>
      </c>
      <c r="H4125" t="n">
        <v>0</v>
      </c>
      <c r="I4125" t="n">
        <v>0</v>
      </c>
      <c r="J4125" t="n">
        <v>0</v>
      </c>
      <c r="K4125" t="n">
        <v>0</v>
      </c>
      <c r="L4125" t="n">
        <v>0</v>
      </c>
      <c r="M4125" t="n">
        <v>0</v>
      </c>
      <c r="N4125" t="n">
        <v>0</v>
      </c>
      <c r="O4125" t="n">
        <v>0</v>
      </c>
      <c r="P4125" t="n">
        <v>0</v>
      </c>
      <c r="Q4125" t="n">
        <v>0</v>
      </c>
      <c r="R4125" s="2" t="inlineStr"/>
    </row>
    <row r="4126" ht="15" customHeight="1">
      <c r="A4126" t="inlineStr">
        <is>
          <t>A 6896-2020</t>
        </is>
      </c>
      <c r="B4126" s="1" t="n">
        <v>43868</v>
      </c>
      <c r="C4126" s="1" t="n">
        <v>45212</v>
      </c>
      <c r="D4126" t="inlineStr">
        <is>
          <t>VÄSTRA GÖTALANDS LÄN</t>
        </is>
      </c>
      <c r="E4126" t="inlineStr">
        <is>
          <t>SVENLJUNGA</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6921-2020</t>
        </is>
      </c>
      <c r="B4127" s="1" t="n">
        <v>43868</v>
      </c>
      <c r="C4127" s="1" t="n">
        <v>45212</v>
      </c>
      <c r="D4127" t="inlineStr">
        <is>
          <t>VÄSTRA GÖTALANDS LÄN</t>
        </is>
      </c>
      <c r="E4127" t="inlineStr">
        <is>
          <t>FALKÖPING</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7089-2020</t>
        </is>
      </c>
      <c r="B4128" s="1" t="n">
        <v>43868</v>
      </c>
      <c r="C4128" s="1" t="n">
        <v>45212</v>
      </c>
      <c r="D4128" t="inlineStr">
        <is>
          <t>VÄSTRA GÖTALANDS LÄN</t>
        </is>
      </c>
      <c r="E4128" t="inlineStr">
        <is>
          <t>BENGTSFORS</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6820-2020</t>
        </is>
      </c>
      <c r="B4129" s="1" t="n">
        <v>43868</v>
      </c>
      <c r="C4129" s="1" t="n">
        <v>45212</v>
      </c>
      <c r="D4129" t="inlineStr">
        <is>
          <t>VÄSTRA GÖTALANDS LÄN</t>
        </is>
      </c>
      <c r="E4129" t="inlineStr">
        <is>
          <t>ÅMÅL</t>
        </is>
      </c>
      <c r="G4129" t="n">
        <v>4.5</v>
      </c>
      <c r="H4129" t="n">
        <v>0</v>
      </c>
      <c r="I4129" t="n">
        <v>0</v>
      </c>
      <c r="J4129" t="n">
        <v>0</v>
      </c>
      <c r="K4129" t="n">
        <v>0</v>
      </c>
      <c r="L4129" t="n">
        <v>0</v>
      </c>
      <c r="M4129" t="n">
        <v>0</v>
      </c>
      <c r="N4129" t="n">
        <v>0</v>
      </c>
      <c r="O4129" t="n">
        <v>0</v>
      </c>
      <c r="P4129" t="n">
        <v>0</v>
      </c>
      <c r="Q4129" t="n">
        <v>0</v>
      </c>
      <c r="R4129" s="2" t="inlineStr"/>
    </row>
    <row r="4130" ht="15" customHeight="1">
      <c r="A4130" t="inlineStr">
        <is>
          <t>A 6879-2020</t>
        </is>
      </c>
      <c r="B4130" s="1" t="n">
        <v>43868</v>
      </c>
      <c r="C4130" s="1" t="n">
        <v>45212</v>
      </c>
      <c r="D4130" t="inlineStr">
        <is>
          <t>VÄSTRA GÖTALANDS LÄN</t>
        </is>
      </c>
      <c r="E4130" t="inlineStr">
        <is>
          <t>ULRICEHAMN</t>
        </is>
      </c>
      <c r="F4130" t="inlineStr">
        <is>
          <t>Kommuner</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7043-2020</t>
        </is>
      </c>
      <c r="B4131" s="1" t="n">
        <v>43868</v>
      </c>
      <c r="C4131" s="1" t="n">
        <v>45212</v>
      </c>
      <c r="D4131" t="inlineStr">
        <is>
          <t>VÄSTRA GÖTALANDS LÄN</t>
        </is>
      </c>
      <c r="E4131" t="inlineStr">
        <is>
          <t>MARIESTAD</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7100-2020</t>
        </is>
      </c>
      <c r="B4132" s="1" t="n">
        <v>43868</v>
      </c>
      <c r="C4132" s="1" t="n">
        <v>45212</v>
      </c>
      <c r="D4132" t="inlineStr">
        <is>
          <t>VÄSTRA GÖTALANDS LÄN</t>
        </is>
      </c>
      <c r="E4132" t="inlineStr">
        <is>
          <t>FALKÖPING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6817-2020</t>
        </is>
      </c>
      <c r="B4133" s="1" t="n">
        <v>43868</v>
      </c>
      <c r="C4133" s="1" t="n">
        <v>45212</v>
      </c>
      <c r="D4133" t="inlineStr">
        <is>
          <t>VÄSTRA GÖTALANDS LÄN</t>
        </is>
      </c>
      <c r="E4133" t="inlineStr">
        <is>
          <t>SVENLJUNGA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6885-2020</t>
        </is>
      </c>
      <c r="B4134" s="1" t="n">
        <v>43868</v>
      </c>
      <c r="C4134" s="1" t="n">
        <v>45212</v>
      </c>
      <c r="D4134" t="inlineStr">
        <is>
          <t>VÄSTRA GÖTALANDS LÄN</t>
        </is>
      </c>
      <c r="E4134" t="inlineStr">
        <is>
          <t>ULRICEHAMN</t>
        </is>
      </c>
      <c r="F4134" t="inlineStr">
        <is>
          <t>Kommuner</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6919-2020</t>
        </is>
      </c>
      <c r="B4135" s="1" t="n">
        <v>43868</v>
      </c>
      <c r="C4135" s="1" t="n">
        <v>45212</v>
      </c>
      <c r="D4135" t="inlineStr">
        <is>
          <t>VÄSTRA GÖTALANDS LÄN</t>
        </is>
      </c>
      <c r="E4135" t="inlineStr">
        <is>
          <t>FALKÖPING</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7017-2020</t>
        </is>
      </c>
      <c r="B4136" s="1" t="n">
        <v>43868</v>
      </c>
      <c r="C4136" s="1" t="n">
        <v>45212</v>
      </c>
      <c r="D4136" t="inlineStr">
        <is>
          <t>VÄSTRA GÖTALANDS LÄN</t>
        </is>
      </c>
      <c r="E4136" t="inlineStr">
        <is>
          <t>TÖREBODA</t>
        </is>
      </c>
      <c r="F4136" t="inlineStr">
        <is>
          <t>Kyrkan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7119-2020</t>
        </is>
      </c>
      <c r="B4137" s="1" t="n">
        <v>43868</v>
      </c>
      <c r="C4137" s="1" t="n">
        <v>45212</v>
      </c>
      <c r="D4137" t="inlineStr">
        <is>
          <t>VÄSTRA GÖTALANDS LÄN</t>
        </is>
      </c>
      <c r="E4137" t="inlineStr">
        <is>
          <t>TIDAHOLM</t>
        </is>
      </c>
      <c r="F4137" t="inlineStr">
        <is>
          <t>Kyrkan</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7138-2020</t>
        </is>
      </c>
      <c r="B4138" s="1" t="n">
        <v>43869</v>
      </c>
      <c r="C4138" s="1" t="n">
        <v>45212</v>
      </c>
      <c r="D4138" t="inlineStr">
        <is>
          <t>VÄSTRA GÖTALANDS LÄN</t>
        </is>
      </c>
      <c r="E4138" t="inlineStr">
        <is>
          <t>MUNKEDAL</t>
        </is>
      </c>
      <c r="G4138" t="n">
        <v>6.8</v>
      </c>
      <c r="H4138" t="n">
        <v>0</v>
      </c>
      <c r="I4138" t="n">
        <v>0</v>
      </c>
      <c r="J4138" t="n">
        <v>0</v>
      </c>
      <c r="K4138" t="n">
        <v>0</v>
      </c>
      <c r="L4138" t="n">
        <v>0</v>
      </c>
      <c r="M4138" t="n">
        <v>0</v>
      </c>
      <c r="N4138" t="n">
        <v>0</v>
      </c>
      <c r="O4138" t="n">
        <v>0</v>
      </c>
      <c r="P4138" t="n">
        <v>0</v>
      </c>
      <c r="Q4138" t="n">
        <v>0</v>
      </c>
      <c r="R4138" s="2" t="inlineStr"/>
    </row>
    <row r="4139" ht="15" customHeight="1">
      <c r="A4139" t="inlineStr">
        <is>
          <t>A 7161-2020</t>
        </is>
      </c>
      <c r="B4139" s="1" t="n">
        <v>43870</v>
      </c>
      <c r="C4139" s="1" t="n">
        <v>45212</v>
      </c>
      <c r="D4139" t="inlineStr">
        <is>
          <t>VÄSTRA GÖTALANDS LÄN</t>
        </is>
      </c>
      <c r="E4139" t="inlineStr">
        <is>
          <t>STENUNGSUND</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7165-2020</t>
        </is>
      </c>
      <c r="B4140" s="1" t="n">
        <v>43870</v>
      </c>
      <c r="C4140" s="1" t="n">
        <v>45212</v>
      </c>
      <c r="D4140" t="inlineStr">
        <is>
          <t>VÄSTRA GÖTALANDS LÄN</t>
        </is>
      </c>
      <c r="E4140" t="inlineStr">
        <is>
          <t>TÖREBODA</t>
        </is>
      </c>
      <c r="G4140" t="n">
        <v>2.5</v>
      </c>
      <c r="H4140" t="n">
        <v>0</v>
      </c>
      <c r="I4140" t="n">
        <v>0</v>
      </c>
      <c r="J4140" t="n">
        <v>0</v>
      </c>
      <c r="K4140" t="n">
        <v>0</v>
      </c>
      <c r="L4140" t="n">
        <v>0</v>
      </c>
      <c r="M4140" t="n">
        <v>0</v>
      </c>
      <c r="N4140" t="n">
        <v>0</v>
      </c>
      <c r="O4140" t="n">
        <v>0</v>
      </c>
      <c r="P4140" t="n">
        <v>0</v>
      </c>
      <c r="Q4140" t="n">
        <v>0</v>
      </c>
      <c r="R4140" s="2" t="inlineStr"/>
    </row>
    <row r="4141" ht="15" customHeight="1">
      <c r="A4141" t="inlineStr">
        <is>
          <t>A 7235-2020</t>
        </is>
      </c>
      <c r="B4141" s="1" t="n">
        <v>43871</v>
      </c>
      <c r="C4141" s="1" t="n">
        <v>45212</v>
      </c>
      <c r="D4141" t="inlineStr">
        <is>
          <t>VÄSTRA GÖTALANDS LÄN</t>
        </is>
      </c>
      <c r="E4141" t="inlineStr">
        <is>
          <t>TRANEMO</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7437-2020</t>
        </is>
      </c>
      <c r="B4142" s="1" t="n">
        <v>43871</v>
      </c>
      <c r="C4142" s="1" t="n">
        <v>45212</v>
      </c>
      <c r="D4142" t="inlineStr">
        <is>
          <t>VÄSTRA GÖTALANDS LÄN</t>
        </is>
      </c>
      <c r="E4142" t="inlineStr">
        <is>
          <t>TROLLHÄTTAN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7588-2020</t>
        </is>
      </c>
      <c r="B4143" s="1" t="n">
        <v>43871</v>
      </c>
      <c r="C4143" s="1" t="n">
        <v>45212</v>
      </c>
      <c r="D4143" t="inlineStr">
        <is>
          <t>VÄSTRA GÖTALANDS LÄN</t>
        </is>
      </c>
      <c r="E4143" t="inlineStr">
        <is>
          <t>VARA</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7194-2020</t>
        </is>
      </c>
      <c r="B4144" s="1" t="n">
        <v>43871</v>
      </c>
      <c r="C4144" s="1" t="n">
        <v>45212</v>
      </c>
      <c r="D4144" t="inlineStr">
        <is>
          <t>VÄSTRA GÖTALANDS LÄN</t>
        </is>
      </c>
      <c r="E4144" t="inlineStr">
        <is>
          <t>BORÅS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7296-2020</t>
        </is>
      </c>
      <c r="B4145" s="1" t="n">
        <v>43871</v>
      </c>
      <c r="C4145" s="1" t="n">
        <v>45212</v>
      </c>
      <c r="D4145" t="inlineStr">
        <is>
          <t>VÄSTRA GÖTALANDS LÄN</t>
        </is>
      </c>
      <c r="E4145" t="inlineStr">
        <is>
          <t>BORÅS</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7328-2020</t>
        </is>
      </c>
      <c r="B4146" s="1" t="n">
        <v>43871</v>
      </c>
      <c r="C4146" s="1" t="n">
        <v>45212</v>
      </c>
      <c r="D4146" t="inlineStr">
        <is>
          <t>VÄSTRA GÖTALANDS LÄN</t>
        </is>
      </c>
      <c r="E4146" t="inlineStr">
        <is>
          <t>TIDAHOLM</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7216-2020</t>
        </is>
      </c>
      <c r="B4147" s="1" t="n">
        <v>43871</v>
      </c>
      <c r="C4147" s="1" t="n">
        <v>45212</v>
      </c>
      <c r="D4147" t="inlineStr">
        <is>
          <t>VÄSTRA GÖTALANDS LÄN</t>
        </is>
      </c>
      <c r="E4147" t="inlineStr">
        <is>
          <t>TRANEMO</t>
        </is>
      </c>
      <c r="G4147" t="n">
        <v>10</v>
      </c>
      <c r="H4147" t="n">
        <v>0</v>
      </c>
      <c r="I4147" t="n">
        <v>0</v>
      </c>
      <c r="J4147" t="n">
        <v>0</v>
      </c>
      <c r="K4147" t="n">
        <v>0</v>
      </c>
      <c r="L4147" t="n">
        <v>0</v>
      </c>
      <c r="M4147" t="n">
        <v>0</v>
      </c>
      <c r="N4147" t="n">
        <v>0</v>
      </c>
      <c r="O4147" t="n">
        <v>0</v>
      </c>
      <c r="P4147" t="n">
        <v>0</v>
      </c>
      <c r="Q4147" t="n">
        <v>0</v>
      </c>
      <c r="R4147" s="2" t="inlineStr"/>
    </row>
    <row r="4148" ht="15" customHeight="1">
      <c r="A4148" t="inlineStr">
        <is>
          <t>A 7288-2020</t>
        </is>
      </c>
      <c r="B4148" s="1" t="n">
        <v>43871</v>
      </c>
      <c r="C4148" s="1" t="n">
        <v>45212</v>
      </c>
      <c r="D4148" t="inlineStr">
        <is>
          <t>VÄSTRA GÖTALANDS LÄN</t>
        </is>
      </c>
      <c r="E4148" t="inlineStr">
        <is>
          <t>BORÅS</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7381-2020</t>
        </is>
      </c>
      <c r="B4149" s="1" t="n">
        <v>43871</v>
      </c>
      <c r="C4149" s="1" t="n">
        <v>45212</v>
      </c>
      <c r="D4149" t="inlineStr">
        <is>
          <t>VÄSTRA GÖTALANDS LÄN</t>
        </is>
      </c>
      <c r="E4149" t="inlineStr">
        <is>
          <t>MARIESTAD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7465-2020</t>
        </is>
      </c>
      <c r="B4150" s="1" t="n">
        <v>43871</v>
      </c>
      <c r="C4150" s="1" t="n">
        <v>45212</v>
      </c>
      <c r="D4150" t="inlineStr">
        <is>
          <t>VÄSTRA GÖTALANDS LÄN</t>
        </is>
      </c>
      <c r="E4150" t="inlineStr">
        <is>
          <t>HERRLJUNGA</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7171-2020</t>
        </is>
      </c>
      <c r="B4151" s="1" t="n">
        <v>43871</v>
      </c>
      <c r="C4151" s="1" t="n">
        <v>45212</v>
      </c>
      <c r="D4151" t="inlineStr">
        <is>
          <t>VÄSTRA GÖTALANDS LÄN</t>
        </is>
      </c>
      <c r="E4151" t="inlineStr">
        <is>
          <t>VARA</t>
        </is>
      </c>
      <c r="G4151" t="n">
        <v>2</v>
      </c>
      <c r="H4151" t="n">
        <v>0</v>
      </c>
      <c r="I4151" t="n">
        <v>0</v>
      </c>
      <c r="J4151" t="n">
        <v>0</v>
      </c>
      <c r="K4151" t="n">
        <v>0</v>
      </c>
      <c r="L4151" t="n">
        <v>0</v>
      </c>
      <c r="M4151" t="n">
        <v>0</v>
      </c>
      <c r="N4151" t="n">
        <v>0</v>
      </c>
      <c r="O4151" t="n">
        <v>0</v>
      </c>
      <c r="P4151" t="n">
        <v>0</v>
      </c>
      <c r="Q4151" t="n">
        <v>0</v>
      </c>
      <c r="R4151" s="2" t="inlineStr"/>
    </row>
    <row r="4152" ht="15" customHeight="1">
      <c r="A4152" t="inlineStr">
        <is>
          <t>A 7224-2020</t>
        </is>
      </c>
      <c r="B4152" s="1" t="n">
        <v>43871</v>
      </c>
      <c r="C4152" s="1" t="n">
        <v>45212</v>
      </c>
      <c r="D4152" t="inlineStr">
        <is>
          <t>VÄSTRA GÖTALANDS LÄN</t>
        </is>
      </c>
      <c r="E4152" t="inlineStr">
        <is>
          <t>TRANEMO</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7325-2020</t>
        </is>
      </c>
      <c r="B4153" s="1" t="n">
        <v>43871</v>
      </c>
      <c r="C4153" s="1" t="n">
        <v>45212</v>
      </c>
      <c r="D4153" t="inlineStr">
        <is>
          <t>VÄSTRA GÖTALANDS LÄN</t>
        </is>
      </c>
      <c r="E4153" t="inlineStr">
        <is>
          <t>STENUNGSUND</t>
        </is>
      </c>
      <c r="G4153" t="n">
        <v>1.3</v>
      </c>
      <c r="H4153" t="n">
        <v>0</v>
      </c>
      <c r="I4153" t="n">
        <v>0</v>
      </c>
      <c r="J4153" t="n">
        <v>0</v>
      </c>
      <c r="K4153" t="n">
        <v>0</v>
      </c>
      <c r="L4153" t="n">
        <v>0</v>
      </c>
      <c r="M4153" t="n">
        <v>0</v>
      </c>
      <c r="N4153" t="n">
        <v>0</v>
      </c>
      <c r="O4153" t="n">
        <v>0</v>
      </c>
      <c r="P4153" t="n">
        <v>0</v>
      </c>
      <c r="Q4153" t="n">
        <v>0</v>
      </c>
      <c r="R4153" s="2" t="inlineStr"/>
    </row>
    <row r="4154" ht="15" customHeight="1">
      <c r="A4154" t="inlineStr">
        <is>
          <t>A 7594-2020</t>
        </is>
      </c>
      <c r="B4154" s="1" t="n">
        <v>43871</v>
      </c>
      <c r="C4154" s="1" t="n">
        <v>45212</v>
      </c>
      <c r="D4154" t="inlineStr">
        <is>
          <t>VÄSTRA GÖTALANDS LÄN</t>
        </is>
      </c>
      <c r="E4154" t="inlineStr">
        <is>
          <t>DALS-ED</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7522-2020</t>
        </is>
      </c>
      <c r="B4155" s="1" t="n">
        <v>43872</v>
      </c>
      <c r="C4155" s="1" t="n">
        <v>45212</v>
      </c>
      <c r="D4155" t="inlineStr">
        <is>
          <t>VÄSTRA GÖTALANDS LÄN</t>
        </is>
      </c>
      <c r="E4155" t="inlineStr">
        <is>
          <t>DALS-ED</t>
        </is>
      </c>
      <c r="F4155" t="inlineStr">
        <is>
          <t>Kommuner</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7532-2020</t>
        </is>
      </c>
      <c r="B4156" s="1" t="n">
        <v>43872</v>
      </c>
      <c r="C4156" s="1" t="n">
        <v>45212</v>
      </c>
      <c r="D4156" t="inlineStr">
        <is>
          <t>VÄSTRA GÖTALANDS LÄN</t>
        </is>
      </c>
      <c r="E4156" t="inlineStr">
        <is>
          <t>SKARA</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7625-2020</t>
        </is>
      </c>
      <c r="B4157" s="1" t="n">
        <v>43872</v>
      </c>
      <c r="C4157" s="1" t="n">
        <v>45212</v>
      </c>
      <c r="D4157" t="inlineStr">
        <is>
          <t>VÄSTRA GÖTALANDS LÄN</t>
        </is>
      </c>
      <c r="E4157" t="inlineStr">
        <is>
          <t>SKARA</t>
        </is>
      </c>
      <c r="G4157" t="n">
        <v>6.8</v>
      </c>
      <c r="H4157" t="n">
        <v>0</v>
      </c>
      <c r="I4157" t="n">
        <v>0</v>
      </c>
      <c r="J4157" t="n">
        <v>0</v>
      </c>
      <c r="K4157" t="n">
        <v>0</v>
      </c>
      <c r="L4157" t="n">
        <v>0</v>
      </c>
      <c r="M4157" t="n">
        <v>0</v>
      </c>
      <c r="N4157" t="n">
        <v>0</v>
      </c>
      <c r="O4157" t="n">
        <v>0</v>
      </c>
      <c r="P4157" t="n">
        <v>0</v>
      </c>
      <c r="Q4157" t="n">
        <v>0</v>
      </c>
      <c r="R4157" s="2" t="inlineStr"/>
    </row>
    <row r="4158" ht="15" customHeight="1">
      <c r="A4158" t="inlineStr">
        <is>
          <t>A 7646-2020</t>
        </is>
      </c>
      <c r="B4158" s="1" t="n">
        <v>43872</v>
      </c>
      <c r="C4158" s="1" t="n">
        <v>45212</v>
      </c>
      <c r="D4158" t="inlineStr">
        <is>
          <t>VÄSTRA GÖTALANDS LÄN</t>
        </is>
      </c>
      <c r="E4158" t="inlineStr">
        <is>
          <t>LIDKÖPING</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7679-2020</t>
        </is>
      </c>
      <c r="B4159" s="1" t="n">
        <v>43872</v>
      </c>
      <c r="C4159" s="1" t="n">
        <v>45212</v>
      </c>
      <c r="D4159" t="inlineStr">
        <is>
          <t>VÄSTRA GÖTALANDS LÄN</t>
        </is>
      </c>
      <c r="E4159" t="inlineStr">
        <is>
          <t>LIDKÖPING</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7528-2020</t>
        </is>
      </c>
      <c r="B4160" s="1" t="n">
        <v>43872</v>
      </c>
      <c r="C4160" s="1" t="n">
        <v>45212</v>
      </c>
      <c r="D4160" t="inlineStr">
        <is>
          <t>VÄSTRA GÖTALANDS LÄN</t>
        </is>
      </c>
      <c r="E4160" t="inlineStr">
        <is>
          <t>SKARA</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7542-2020</t>
        </is>
      </c>
      <c r="B4161" s="1" t="n">
        <v>43872</v>
      </c>
      <c r="C4161" s="1" t="n">
        <v>45212</v>
      </c>
      <c r="D4161" t="inlineStr">
        <is>
          <t>VÄSTRA GÖTALANDS LÄN</t>
        </is>
      </c>
      <c r="E4161" t="inlineStr">
        <is>
          <t>BORÅS</t>
        </is>
      </c>
      <c r="G4161" t="n">
        <v>23.9</v>
      </c>
      <c r="H4161" t="n">
        <v>0</v>
      </c>
      <c r="I4161" t="n">
        <v>0</v>
      </c>
      <c r="J4161" t="n">
        <v>0</v>
      </c>
      <c r="K4161" t="n">
        <v>0</v>
      </c>
      <c r="L4161" t="n">
        <v>0</v>
      </c>
      <c r="M4161" t="n">
        <v>0</v>
      </c>
      <c r="N4161" t="n">
        <v>0</v>
      </c>
      <c r="O4161" t="n">
        <v>0</v>
      </c>
      <c r="P4161" t="n">
        <v>0</v>
      </c>
      <c r="Q4161" t="n">
        <v>0</v>
      </c>
      <c r="R4161" s="2" t="inlineStr"/>
    </row>
    <row r="4162" ht="15" customHeight="1">
      <c r="A4162" t="inlineStr">
        <is>
          <t>A 7624-2020</t>
        </is>
      </c>
      <c r="B4162" s="1" t="n">
        <v>43872</v>
      </c>
      <c r="C4162" s="1" t="n">
        <v>45212</v>
      </c>
      <c r="D4162" t="inlineStr">
        <is>
          <t>VÄSTRA GÖTALANDS LÄN</t>
        </is>
      </c>
      <c r="E4162" t="inlineStr">
        <is>
          <t>SKARA</t>
        </is>
      </c>
      <c r="G4162" t="n">
        <v>4.9</v>
      </c>
      <c r="H4162" t="n">
        <v>0</v>
      </c>
      <c r="I4162" t="n">
        <v>0</v>
      </c>
      <c r="J4162" t="n">
        <v>0</v>
      </c>
      <c r="K4162" t="n">
        <v>0</v>
      </c>
      <c r="L4162" t="n">
        <v>0</v>
      </c>
      <c r="M4162" t="n">
        <v>0</v>
      </c>
      <c r="N4162" t="n">
        <v>0</v>
      </c>
      <c r="O4162" t="n">
        <v>0</v>
      </c>
      <c r="P4162" t="n">
        <v>0</v>
      </c>
      <c r="Q4162" t="n">
        <v>0</v>
      </c>
      <c r="R4162" s="2" t="inlineStr"/>
    </row>
    <row r="4163" ht="15" customHeight="1">
      <c r="A4163" t="inlineStr">
        <is>
          <t>A 7706-2020</t>
        </is>
      </c>
      <c r="B4163" s="1" t="n">
        <v>43872</v>
      </c>
      <c r="C4163" s="1" t="n">
        <v>45212</v>
      </c>
      <c r="D4163" t="inlineStr">
        <is>
          <t>VÄSTRA GÖTALANDS LÄN</t>
        </is>
      </c>
      <c r="E4163" t="inlineStr">
        <is>
          <t>ALE</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7771-2020</t>
        </is>
      </c>
      <c r="B4164" s="1" t="n">
        <v>43872</v>
      </c>
      <c r="C4164" s="1" t="n">
        <v>45212</v>
      </c>
      <c r="D4164" t="inlineStr">
        <is>
          <t>VÄSTRA GÖTALANDS LÄN</t>
        </is>
      </c>
      <c r="E4164" t="inlineStr">
        <is>
          <t>DALS-ED</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7534-2020</t>
        </is>
      </c>
      <c r="B4165" s="1" t="n">
        <v>43872</v>
      </c>
      <c r="C4165" s="1" t="n">
        <v>45212</v>
      </c>
      <c r="D4165" t="inlineStr">
        <is>
          <t>VÄSTRA GÖTALANDS LÄN</t>
        </is>
      </c>
      <c r="E4165" t="inlineStr">
        <is>
          <t>DALS-ED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7608-2020</t>
        </is>
      </c>
      <c r="B4166" s="1" t="n">
        <v>43872</v>
      </c>
      <c r="C4166" s="1" t="n">
        <v>45212</v>
      </c>
      <c r="D4166" t="inlineStr">
        <is>
          <t>VÄSTRA GÖTALANDS LÄN</t>
        </is>
      </c>
      <c r="E4166" t="inlineStr">
        <is>
          <t>SKARA</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7617-2020</t>
        </is>
      </c>
      <c r="B4167" s="1" t="n">
        <v>43872</v>
      </c>
      <c r="C4167" s="1" t="n">
        <v>45212</v>
      </c>
      <c r="D4167" t="inlineStr">
        <is>
          <t>VÄSTRA GÖTALANDS LÄN</t>
        </is>
      </c>
      <c r="E4167" t="inlineStr">
        <is>
          <t>SKARA</t>
        </is>
      </c>
      <c r="G4167" t="n">
        <v>4.8</v>
      </c>
      <c r="H4167" t="n">
        <v>0</v>
      </c>
      <c r="I4167" t="n">
        <v>0</v>
      </c>
      <c r="J4167" t="n">
        <v>0</v>
      </c>
      <c r="K4167" t="n">
        <v>0</v>
      </c>
      <c r="L4167" t="n">
        <v>0</v>
      </c>
      <c r="M4167" t="n">
        <v>0</v>
      </c>
      <c r="N4167" t="n">
        <v>0</v>
      </c>
      <c r="O4167" t="n">
        <v>0</v>
      </c>
      <c r="P4167" t="n">
        <v>0</v>
      </c>
      <c r="Q4167" t="n">
        <v>0</v>
      </c>
      <c r="R4167" s="2" t="inlineStr"/>
    </row>
    <row r="4168" ht="15" customHeight="1">
      <c r="A4168" t="inlineStr">
        <is>
          <t>A 7665-2020</t>
        </is>
      </c>
      <c r="B4168" s="1" t="n">
        <v>43872</v>
      </c>
      <c r="C4168" s="1" t="n">
        <v>45212</v>
      </c>
      <c r="D4168" t="inlineStr">
        <is>
          <t>VÄSTRA GÖTALANDS LÄN</t>
        </is>
      </c>
      <c r="E4168" t="inlineStr">
        <is>
          <t>MARIESTAD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7684-2020</t>
        </is>
      </c>
      <c r="B4169" s="1" t="n">
        <v>43872</v>
      </c>
      <c r="C4169" s="1" t="n">
        <v>45212</v>
      </c>
      <c r="D4169" t="inlineStr">
        <is>
          <t>VÄSTRA GÖTALANDS LÄN</t>
        </is>
      </c>
      <c r="E4169" t="inlineStr">
        <is>
          <t>BENGTSFORS</t>
        </is>
      </c>
      <c r="F4169" t="inlineStr">
        <is>
          <t>Kommuner</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7757-2020</t>
        </is>
      </c>
      <c r="B4170" s="1" t="n">
        <v>43872</v>
      </c>
      <c r="C4170" s="1" t="n">
        <v>45212</v>
      </c>
      <c r="D4170" t="inlineStr">
        <is>
          <t>VÄSTRA GÖTALANDS LÄN</t>
        </is>
      </c>
      <c r="E4170" t="inlineStr">
        <is>
          <t>STRÖMSTAD</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7776-2020</t>
        </is>
      </c>
      <c r="B4171" s="1" t="n">
        <v>43872</v>
      </c>
      <c r="C4171" s="1" t="n">
        <v>45212</v>
      </c>
      <c r="D4171" t="inlineStr">
        <is>
          <t>VÄSTRA GÖTALANDS LÄN</t>
        </is>
      </c>
      <c r="E4171" t="inlineStr">
        <is>
          <t>ULRICEHAMN</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7611-2020</t>
        </is>
      </c>
      <c r="B4172" s="1" t="n">
        <v>43872</v>
      </c>
      <c r="C4172" s="1" t="n">
        <v>45212</v>
      </c>
      <c r="D4172" t="inlineStr">
        <is>
          <t>VÄSTRA GÖTALANDS LÄN</t>
        </is>
      </c>
      <c r="E4172" t="inlineStr">
        <is>
          <t>SKARA</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7705-2020</t>
        </is>
      </c>
      <c r="B4173" s="1" t="n">
        <v>43872</v>
      </c>
      <c r="C4173" s="1" t="n">
        <v>45212</v>
      </c>
      <c r="D4173" t="inlineStr">
        <is>
          <t>VÄSTRA GÖTALANDS LÄN</t>
        </is>
      </c>
      <c r="E4173" t="inlineStr">
        <is>
          <t>VÅRGÅRDA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7804-2020</t>
        </is>
      </c>
      <c r="B4174" s="1" t="n">
        <v>43873</v>
      </c>
      <c r="C4174" s="1" t="n">
        <v>45212</v>
      </c>
      <c r="D4174" t="inlineStr">
        <is>
          <t>VÄSTRA GÖTALANDS LÄN</t>
        </is>
      </c>
      <c r="E4174" t="inlineStr">
        <is>
          <t>ALE</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7912-2020</t>
        </is>
      </c>
      <c r="B4175" s="1" t="n">
        <v>43873</v>
      </c>
      <c r="C4175" s="1" t="n">
        <v>45212</v>
      </c>
      <c r="D4175" t="inlineStr">
        <is>
          <t>VÄSTRA GÖTALANDS LÄN</t>
        </is>
      </c>
      <c r="E4175" t="inlineStr">
        <is>
          <t>FALKÖPING</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8162-2020</t>
        </is>
      </c>
      <c r="B4176" s="1" t="n">
        <v>43873</v>
      </c>
      <c r="C4176" s="1" t="n">
        <v>45212</v>
      </c>
      <c r="D4176" t="inlineStr">
        <is>
          <t>VÄSTRA GÖTALANDS LÄN</t>
        </is>
      </c>
      <c r="E4176" t="inlineStr">
        <is>
          <t>BENGTSFORS</t>
        </is>
      </c>
      <c r="F4176" t="inlineStr">
        <is>
          <t>Övriga Aktiebolag</t>
        </is>
      </c>
      <c r="G4176" t="n">
        <v>11.7</v>
      </c>
      <c r="H4176" t="n">
        <v>0</v>
      </c>
      <c r="I4176" t="n">
        <v>0</v>
      </c>
      <c r="J4176" t="n">
        <v>0</v>
      </c>
      <c r="K4176" t="n">
        <v>0</v>
      </c>
      <c r="L4176" t="n">
        <v>0</v>
      </c>
      <c r="M4176" t="n">
        <v>0</v>
      </c>
      <c r="N4176" t="n">
        <v>0</v>
      </c>
      <c r="O4176" t="n">
        <v>0</v>
      </c>
      <c r="P4176" t="n">
        <v>0</v>
      </c>
      <c r="Q4176" t="n">
        <v>0</v>
      </c>
      <c r="R4176" s="2" t="inlineStr"/>
    </row>
    <row r="4177" ht="15" customHeight="1">
      <c r="A4177" t="inlineStr">
        <is>
          <t>A 7855-2020</t>
        </is>
      </c>
      <c r="B4177" s="1" t="n">
        <v>43873</v>
      </c>
      <c r="C4177" s="1" t="n">
        <v>45212</v>
      </c>
      <c r="D4177" t="inlineStr">
        <is>
          <t>VÄSTRA GÖTALANDS LÄN</t>
        </is>
      </c>
      <c r="E4177" t="inlineStr">
        <is>
          <t>SVENLJUNGA</t>
        </is>
      </c>
      <c r="F4177" t="inlineStr">
        <is>
          <t>Sveaskog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7853-2020</t>
        </is>
      </c>
      <c r="B4178" s="1" t="n">
        <v>43873</v>
      </c>
      <c r="C4178" s="1" t="n">
        <v>45212</v>
      </c>
      <c r="D4178" t="inlineStr">
        <is>
          <t>VÄSTRA GÖTALANDS LÄN</t>
        </is>
      </c>
      <c r="E4178" t="inlineStr">
        <is>
          <t>BENGTSFORS</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7918-2020</t>
        </is>
      </c>
      <c r="B4179" s="1" t="n">
        <v>43873</v>
      </c>
      <c r="C4179" s="1" t="n">
        <v>45212</v>
      </c>
      <c r="D4179" t="inlineStr">
        <is>
          <t>VÄSTRA GÖTALANDS LÄN</t>
        </is>
      </c>
      <c r="E4179" t="inlineStr">
        <is>
          <t>TÖREBODA</t>
        </is>
      </c>
      <c r="G4179" t="n">
        <v>4.8</v>
      </c>
      <c r="H4179" t="n">
        <v>0</v>
      </c>
      <c r="I4179" t="n">
        <v>0</v>
      </c>
      <c r="J4179" t="n">
        <v>0</v>
      </c>
      <c r="K4179" t="n">
        <v>0</v>
      </c>
      <c r="L4179" t="n">
        <v>0</v>
      </c>
      <c r="M4179" t="n">
        <v>0</v>
      </c>
      <c r="N4179" t="n">
        <v>0</v>
      </c>
      <c r="O4179" t="n">
        <v>0</v>
      </c>
      <c r="P4179" t="n">
        <v>0</v>
      </c>
      <c r="Q4179" t="n">
        <v>0</v>
      </c>
      <c r="R4179" s="2" t="inlineStr"/>
    </row>
    <row r="4180" ht="15" customHeight="1">
      <c r="A4180" t="inlineStr">
        <is>
          <t>A 8003-2020</t>
        </is>
      </c>
      <c r="B4180" s="1" t="n">
        <v>43873</v>
      </c>
      <c r="C4180" s="1" t="n">
        <v>45212</v>
      </c>
      <c r="D4180" t="inlineStr">
        <is>
          <t>VÄSTRA GÖTALANDS LÄN</t>
        </is>
      </c>
      <c r="E4180" t="inlineStr">
        <is>
          <t>VÄNERSBORG</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8008-2020</t>
        </is>
      </c>
      <c r="B4181" s="1" t="n">
        <v>43873</v>
      </c>
      <c r="C4181" s="1" t="n">
        <v>45212</v>
      </c>
      <c r="D4181" t="inlineStr">
        <is>
          <t>VÄSTRA GÖTALANDS LÄN</t>
        </is>
      </c>
      <c r="E4181" t="inlineStr">
        <is>
          <t>GÖTENE</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8018-2020</t>
        </is>
      </c>
      <c r="B4182" s="1" t="n">
        <v>43873</v>
      </c>
      <c r="C4182" s="1" t="n">
        <v>45212</v>
      </c>
      <c r="D4182" t="inlineStr">
        <is>
          <t>VÄSTRA GÖTALANDS LÄN</t>
        </is>
      </c>
      <c r="E4182" t="inlineStr">
        <is>
          <t>KARLSBORG</t>
        </is>
      </c>
      <c r="F4182" t="inlineStr">
        <is>
          <t>Övriga Aktiebolag</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7879-2020</t>
        </is>
      </c>
      <c r="B4183" s="1" t="n">
        <v>43873</v>
      </c>
      <c r="C4183" s="1" t="n">
        <v>45212</v>
      </c>
      <c r="D4183" t="inlineStr">
        <is>
          <t>VÄSTRA GÖTALANDS LÄN</t>
        </is>
      </c>
      <c r="E4183" t="inlineStr">
        <is>
          <t>BOLLEBYGD</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7905-2020</t>
        </is>
      </c>
      <c r="B4184" s="1" t="n">
        <v>43873</v>
      </c>
      <c r="C4184" s="1" t="n">
        <v>45212</v>
      </c>
      <c r="D4184" t="inlineStr">
        <is>
          <t>VÄSTRA GÖTALANDS LÄN</t>
        </is>
      </c>
      <c r="E4184" t="inlineStr">
        <is>
          <t>FALKÖPING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7928-2020</t>
        </is>
      </c>
      <c r="B4185" s="1" t="n">
        <v>43873</v>
      </c>
      <c r="C4185" s="1" t="n">
        <v>45212</v>
      </c>
      <c r="D4185" t="inlineStr">
        <is>
          <t>VÄSTRA GÖTALANDS LÄN</t>
        </is>
      </c>
      <c r="E4185" t="inlineStr">
        <is>
          <t>TÖREBODA</t>
        </is>
      </c>
      <c r="G4185" t="n">
        <v>8.800000000000001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8006-2020</t>
        </is>
      </c>
      <c r="B4186" s="1" t="n">
        <v>43873</v>
      </c>
      <c r="C4186" s="1" t="n">
        <v>45212</v>
      </c>
      <c r="D4186" t="inlineStr">
        <is>
          <t>VÄSTRA GÖTALANDS LÄN</t>
        </is>
      </c>
      <c r="E4186" t="inlineStr">
        <is>
          <t>VÄNERSBORG</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8021-2020</t>
        </is>
      </c>
      <c r="B4187" s="1" t="n">
        <v>43873</v>
      </c>
      <c r="C4187" s="1" t="n">
        <v>45212</v>
      </c>
      <c r="D4187" t="inlineStr">
        <is>
          <t>VÄSTRA GÖTALANDS LÄN</t>
        </is>
      </c>
      <c r="E4187" t="inlineStr">
        <is>
          <t>KARLSBORG</t>
        </is>
      </c>
      <c r="F4187" t="inlineStr">
        <is>
          <t>Övriga Aktiebolag</t>
        </is>
      </c>
      <c r="G4187" t="n">
        <v>3.4</v>
      </c>
      <c r="H4187" t="n">
        <v>0</v>
      </c>
      <c r="I4187" t="n">
        <v>0</v>
      </c>
      <c r="J4187" t="n">
        <v>0</v>
      </c>
      <c r="K4187" t="n">
        <v>0</v>
      </c>
      <c r="L4187" t="n">
        <v>0</v>
      </c>
      <c r="M4187" t="n">
        <v>0</v>
      </c>
      <c r="N4187" t="n">
        <v>0</v>
      </c>
      <c r="O4187" t="n">
        <v>0</v>
      </c>
      <c r="P4187" t="n">
        <v>0</v>
      </c>
      <c r="Q4187" t="n">
        <v>0</v>
      </c>
      <c r="R4187" s="2" t="inlineStr"/>
    </row>
    <row r="4188" ht="15" customHeight="1">
      <c r="A4188" t="inlineStr">
        <is>
          <t>A 8035-2020</t>
        </is>
      </c>
      <c r="B4188" s="1" t="n">
        <v>43873</v>
      </c>
      <c r="C4188" s="1" t="n">
        <v>45212</v>
      </c>
      <c r="D4188" t="inlineStr">
        <is>
          <t>VÄSTRA GÖTALANDS LÄN</t>
        </is>
      </c>
      <c r="E4188" t="inlineStr">
        <is>
          <t>VÅRGÅRDA</t>
        </is>
      </c>
      <c r="G4188" t="n">
        <v>7</v>
      </c>
      <c r="H4188" t="n">
        <v>0</v>
      </c>
      <c r="I4188" t="n">
        <v>0</v>
      </c>
      <c r="J4188" t="n">
        <v>0</v>
      </c>
      <c r="K4188" t="n">
        <v>0</v>
      </c>
      <c r="L4188" t="n">
        <v>0</v>
      </c>
      <c r="M4188" t="n">
        <v>0</v>
      </c>
      <c r="N4188" t="n">
        <v>0</v>
      </c>
      <c r="O4188" t="n">
        <v>0</v>
      </c>
      <c r="P4188" t="n">
        <v>0</v>
      </c>
      <c r="Q4188" t="n">
        <v>0</v>
      </c>
      <c r="R4188" s="2" t="inlineStr"/>
    </row>
    <row r="4189" ht="15" customHeight="1">
      <c r="A4189" t="inlineStr">
        <is>
          <t>A 8232-2020</t>
        </is>
      </c>
      <c r="B4189" s="1" t="n">
        <v>43874</v>
      </c>
      <c r="C4189" s="1" t="n">
        <v>45212</v>
      </c>
      <c r="D4189" t="inlineStr">
        <is>
          <t>VÄSTRA GÖTALANDS LÄN</t>
        </is>
      </c>
      <c r="E4189" t="inlineStr">
        <is>
          <t>BOLLEBYGD</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8371-2020</t>
        </is>
      </c>
      <c r="B4190" s="1" t="n">
        <v>43874</v>
      </c>
      <c r="C4190" s="1" t="n">
        <v>45212</v>
      </c>
      <c r="D4190" t="inlineStr">
        <is>
          <t>VÄSTRA GÖTALANDS LÄN</t>
        </is>
      </c>
      <c r="E4190" t="inlineStr">
        <is>
          <t>MARK</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8168-2020</t>
        </is>
      </c>
      <c r="B4191" s="1" t="n">
        <v>43874</v>
      </c>
      <c r="C4191" s="1" t="n">
        <v>45212</v>
      </c>
      <c r="D4191" t="inlineStr">
        <is>
          <t>VÄSTRA GÖTALANDS LÄN</t>
        </is>
      </c>
      <c r="E4191" t="inlineStr">
        <is>
          <t>BENGTSFORS</t>
        </is>
      </c>
      <c r="G4191" t="n">
        <v>4.7</v>
      </c>
      <c r="H4191" t="n">
        <v>0</v>
      </c>
      <c r="I4191" t="n">
        <v>0</v>
      </c>
      <c r="J4191" t="n">
        <v>0</v>
      </c>
      <c r="K4191" t="n">
        <v>0</v>
      </c>
      <c r="L4191" t="n">
        <v>0</v>
      </c>
      <c r="M4191" t="n">
        <v>0</v>
      </c>
      <c r="N4191" t="n">
        <v>0</v>
      </c>
      <c r="O4191" t="n">
        <v>0</v>
      </c>
      <c r="P4191" t="n">
        <v>0</v>
      </c>
      <c r="Q4191" t="n">
        <v>0</v>
      </c>
      <c r="R4191" s="2" t="inlineStr"/>
    </row>
    <row r="4192" ht="15" customHeight="1">
      <c r="A4192" t="inlineStr">
        <is>
          <t>A 8120-2020</t>
        </is>
      </c>
      <c r="B4192" s="1" t="n">
        <v>43874</v>
      </c>
      <c r="C4192" s="1" t="n">
        <v>45212</v>
      </c>
      <c r="D4192" t="inlineStr">
        <is>
          <t>VÄSTRA GÖTALANDS LÄN</t>
        </is>
      </c>
      <c r="E4192" t="inlineStr">
        <is>
          <t>FALKÖPING</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8155-2020</t>
        </is>
      </c>
      <c r="B4193" s="1" t="n">
        <v>43874</v>
      </c>
      <c r="C4193" s="1" t="n">
        <v>45212</v>
      </c>
      <c r="D4193" t="inlineStr">
        <is>
          <t>VÄSTRA GÖTALANDS LÄN</t>
        </is>
      </c>
      <c r="E4193" t="inlineStr">
        <is>
          <t>KARLSBORG</t>
        </is>
      </c>
      <c r="F4193" t="inlineStr">
        <is>
          <t>Övriga Aktiebolag</t>
        </is>
      </c>
      <c r="G4193" t="n">
        <v>12.8</v>
      </c>
      <c r="H4193" t="n">
        <v>0</v>
      </c>
      <c r="I4193" t="n">
        <v>0</v>
      </c>
      <c r="J4193" t="n">
        <v>0</v>
      </c>
      <c r="K4193" t="n">
        <v>0</v>
      </c>
      <c r="L4193" t="n">
        <v>0</v>
      </c>
      <c r="M4193" t="n">
        <v>0</v>
      </c>
      <c r="N4193" t="n">
        <v>0</v>
      </c>
      <c r="O4193" t="n">
        <v>0</v>
      </c>
      <c r="P4193" t="n">
        <v>0</v>
      </c>
      <c r="Q4193" t="n">
        <v>0</v>
      </c>
      <c r="R4193" s="2" t="inlineStr"/>
    </row>
    <row r="4194" ht="15" customHeight="1">
      <c r="A4194" t="inlineStr">
        <is>
          <t>A 8167-2020</t>
        </is>
      </c>
      <c r="B4194" s="1" t="n">
        <v>43874</v>
      </c>
      <c r="C4194" s="1" t="n">
        <v>45212</v>
      </c>
      <c r="D4194" t="inlineStr">
        <is>
          <t>VÄSTRA GÖTALANDS LÄN</t>
        </is>
      </c>
      <c r="E4194" t="inlineStr">
        <is>
          <t>KARLSBORG</t>
        </is>
      </c>
      <c r="F4194" t="inlineStr">
        <is>
          <t>Övriga Aktiebolag</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8069-2020</t>
        </is>
      </c>
      <c r="B4195" s="1" t="n">
        <v>43874</v>
      </c>
      <c r="C4195" s="1" t="n">
        <v>45212</v>
      </c>
      <c r="D4195" t="inlineStr">
        <is>
          <t>VÄSTRA GÖTALANDS LÄN</t>
        </is>
      </c>
      <c r="E4195" t="inlineStr">
        <is>
          <t>KARLSBORG</t>
        </is>
      </c>
      <c r="F4195" t="inlineStr">
        <is>
          <t>Övriga Aktiebolag</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8140-2020</t>
        </is>
      </c>
      <c r="B4196" s="1" t="n">
        <v>43874</v>
      </c>
      <c r="C4196" s="1" t="n">
        <v>45212</v>
      </c>
      <c r="D4196" t="inlineStr">
        <is>
          <t>VÄSTRA GÖTALANDS LÄN</t>
        </is>
      </c>
      <c r="E4196" t="inlineStr">
        <is>
          <t>TROLLHÄTTAN</t>
        </is>
      </c>
      <c r="G4196" t="n">
        <v>2.8</v>
      </c>
      <c r="H4196" t="n">
        <v>0</v>
      </c>
      <c r="I4196" t="n">
        <v>0</v>
      </c>
      <c r="J4196" t="n">
        <v>0</v>
      </c>
      <c r="K4196" t="n">
        <v>0</v>
      </c>
      <c r="L4196" t="n">
        <v>0</v>
      </c>
      <c r="M4196" t="n">
        <v>0</v>
      </c>
      <c r="N4196" t="n">
        <v>0</v>
      </c>
      <c r="O4196" t="n">
        <v>0</v>
      </c>
      <c r="P4196" t="n">
        <v>0</v>
      </c>
      <c r="Q4196" t="n">
        <v>0</v>
      </c>
      <c r="R4196" s="2" t="inlineStr"/>
    </row>
    <row r="4197" ht="15" customHeight="1">
      <c r="A4197" t="inlineStr">
        <is>
          <t>A 8161-2020</t>
        </is>
      </c>
      <c r="B4197" s="1" t="n">
        <v>43874</v>
      </c>
      <c r="C4197" s="1" t="n">
        <v>45212</v>
      </c>
      <c r="D4197" t="inlineStr">
        <is>
          <t>VÄSTRA GÖTALANDS LÄN</t>
        </is>
      </c>
      <c r="E4197" t="inlineStr">
        <is>
          <t>KARLSBORG</t>
        </is>
      </c>
      <c r="F4197" t="inlineStr">
        <is>
          <t>Övriga Aktiebolag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8172-2020</t>
        </is>
      </c>
      <c r="B4198" s="1" t="n">
        <v>43874</v>
      </c>
      <c r="C4198" s="1" t="n">
        <v>45212</v>
      </c>
      <c r="D4198" t="inlineStr">
        <is>
          <t>VÄSTRA GÖTALANDS LÄN</t>
        </is>
      </c>
      <c r="E4198" t="inlineStr">
        <is>
          <t>KARLSBORG</t>
        </is>
      </c>
      <c r="F4198" t="inlineStr">
        <is>
          <t>Övriga Aktiebolag</t>
        </is>
      </c>
      <c r="G4198" t="n">
        <v>12.5</v>
      </c>
      <c r="H4198" t="n">
        <v>0</v>
      </c>
      <c r="I4198" t="n">
        <v>0</v>
      </c>
      <c r="J4198" t="n">
        <v>0</v>
      </c>
      <c r="K4198" t="n">
        <v>0</v>
      </c>
      <c r="L4198" t="n">
        <v>0</v>
      </c>
      <c r="M4198" t="n">
        <v>0</v>
      </c>
      <c r="N4198" t="n">
        <v>0</v>
      </c>
      <c r="O4198" t="n">
        <v>0</v>
      </c>
      <c r="P4198" t="n">
        <v>0</v>
      </c>
      <c r="Q4198" t="n">
        <v>0</v>
      </c>
      <c r="R4198" s="2" t="inlineStr"/>
    </row>
    <row r="4199" ht="15" customHeight="1">
      <c r="A4199" t="inlineStr">
        <is>
          <t>A 8177-2020</t>
        </is>
      </c>
      <c r="B4199" s="1" t="n">
        <v>43874</v>
      </c>
      <c r="C4199" s="1" t="n">
        <v>45212</v>
      </c>
      <c r="D4199" t="inlineStr">
        <is>
          <t>VÄSTRA GÖTALANDS LÄN</t>
        </is>
      </c>
      <c r="E4199" t="inlineStr">
        <is>
          <t>BENGTSFORS</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8375-2020</t>
        </is>
      </c>
      <c r="B4200" s="1" t="n">
        <v>43874</v>
      </c>
      <c r="C4200" s="1" t="n">
        <v>45212</v>
      </c>
      <c r="D4200" t="inlineStr">
        <is>
          <t>VÄSTRA GÖTALANDS LÄN</t>
        </is>
      </c>
      <c r="E4200" t="inlineStr">
        <is>
          <t>MELLERUD</t>
        </is>
      </c>
      <c r="F4200" t="inlineStr">
        <is>
          <t>Övriga Aktiebolag</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8467-2020</t>
        </is>
      </c>
      <c r="B4201" s="1" t="n">
        <v>43875</v>
      </c>
      <c r="C4201" s="1" t="n">
        <v>45212</v>
      </c>
      <c r="D4201" t="inlineStr">
        <is>
          <t>VÄSTRA GÖTALANDS LÄN</t>
        </is>
      </c>
      <c r="E4201" t="inlineStr">
        <is>
          <t>HÄRRYDA</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8606-2020</t>
        </is>
      </c>
      <c r="B4202" s="1" t="n">
        <v>43875</v>
      </c>
      <c r="C4202" s="1" t="n">
        <v>45212</v>
      </c>
      <c r="D4202" t="inlineStr">
        <is>
          <t>VÄSTRA GÖTALANDS LÄN</t>
        </is>
      </c>
      <c r="E4202" t="inlineStr">
        <is>
          <t>VARA</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8318-2020</t>
        </is>
      </c>
      <c r="B4203" s="1" t="n">
        <v>43875</v>
      </c>
      <c r="C4203" s="1" t="n">
        <v>45212</v>
      </c>
      <c r="D4203" t="inlineStr">
        <is>
          <t>VÄSTRA GÖTALANDS LÄN</t>
        </is>
      </c>
      <c r="E4203" t="inlineStr">
        <is>
          <t>STENUNGSUND</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8701-2020</t>
        </is>
      </c>
      <c r="B4204" s="1" t="n">
        <v>43875</v>
      </c>
      <c r="C4204" s="1" t="n">
        <v>45212</v>
      </c>
      <c r="D4204" t="inlineStr">
        <is>
          <t>VÄSTRA GÖTALANDS LÄN</t>
        </is>
      </c>
      <c r="E4204" t="inlineStr">
        <is>
          <t>VÅRGÅRDA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8547-2020</t>
        </is>
      </c>
      <c r="B4205" s="1" t="n">
        <v>43876</v>
      </c>
      <c r="C4205" s="1" t="n">
        <v>45212</v>
      </c>
      <c r="D4205" t="inlineStr">
        <is>
          <t>VÄSTRA GÖTALANDS LÄN</t>
        </is>
      </c>
      <c r="E4205" t="inlineStr">
        <is>
          <t>BORÅS</t>
        </is>
      </c>
      <c r="G4205" t="n">
        <v>0.4</v>
      </c>
      <c r="H4205" t="n">
        <v>0</v>
      </c>
      <c r="I4205" t="n">
        <v>0</v>
      </c>
      <c r="J4205" t="n">
        <v>0</v>
      </c>
      <c r="K4205" t="n">
        <v>0</v>
      </c>
      <c r="L4205" t="n">
        <v>0</v>
      </c>
      <c r="M4205" t="n">
        <v>0</v>
      </c>
      <c r="N4205" t="n">
        <v>0</v>
      </c>
      <c r="O4205" t="n">
        <v>0</v>
      </c>
      <c r="P4205" t="n">
        <v>0</v>
      </c>
      <c r="Q4205" t="n">
        <v>0</v>
      </c>
      <c r="R4205" s="2" t="inlineStr"/>
    </row>
    <row r="4206" ht="15" customHeight="1">
      <c r="A4206" t="inlineStr">
        <is>
          <t>A 8548-2020</t>
        </is>
      </c>
      <c r="B4206" s="1" t="n">
        <v>43876</v>
      </c>
      <c r="C4206" s="1" t="n">
        <v>45212</v>
      </c>
      <c r="D4206" t="inlineStr">
        <is>
          <t>VÄSTRA GÖTALANDS LÄN</t>
        </is>
      </c>
      <c r="E4206" t="inlineStr">
        <is>
          <t>BORÅS</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8615-2020</t>
        </is>
      </c>
      <c r="B4207" s="1" t="n">
        <v>43878</v>
      </c>
      <c r="C4207" s="1" t="n">
        <v>45212</v>
      </c>
      <c r="D4207" t="inlineStr">
        <is>
          <t>VÄSTRA GÖTALANDS LÄN</t>
        </is>
      </c>
      <c r="E4207" t="inlineStr">
        <is>
          <t>STENUNGSUND</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8705-2020</t>
        </is>
      </c>
      <c r="B4208" s="1" t="n">
        <v>43878</v>
      </c>
      <c r="C4208" s="1" t="n">
        <v>45212</v>
      </c>
      <c r="D4208" t="inlineStr">
        <is>
          <t>VÄSTRA GÖTALANDS LÄN</t>
        </is>
      </c>
      <c r="E4208" t="inlineStr">
        <is>
          <t>FALKÖPING</t>
        </is>
      </c>
      <c r="G4208" t="n">
        <v>5.8</v>
      </c>
      <c r="H4208" t="n">
        <v>0</v>
      </c>
      <c r="I4208" t="n">
        <v>0</v>
      </c>
      <c r="J4208" t="n">
        <v>0</v>
      </c>
      <c r="K4208" t="n">
        <v>0</v>
      </c>
      <c r="L4208" t="n">
        <v>0</v>
      </c>
      <c r="M4208" t="n">
        <v>0</v>
      </c>
      <c r="N4208" t="n">
        <v>0</v>
      </c>
      <c r="O4208" t="n">
        <v>0</v>
      </c>
      <c r="P4208" t="n">
        <v>0</v>
      </c>
      <c r="Q4208" t="n">
        <v>0</v>
      </c>
      <c r="R4208" s="2" t="inlineStr"/>
    </row>
    <row r="4209" ht="15" customHeight="1">
      <c r="A4209" t="inlineStr">
        <is>
          <t>A 8773-2020</t>
        </is>
      </c>
      <c r="B4209" s="1" t="n">
        <v>43878</v>
      </c>
      <c r="C4209" s="1" t="n">
        <v>45212</v>
      </c>
      <c r="D4209" t="inlineStr">
        <is>
          <t>VÄSTRA GÖTALANDS LÄN</t>
        </is>
      </c>
      <c r="E4209" t="inlineStr">
        <is>
          <t>LILLA EDET</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8965-2020</t>
        </is>
      </c>
      <c r="B4210" s="1" t="n">
        <v>43878</v>
      </c>
      <c r="C4210" s="1" t="n">
        <v>45212</v>
      </c>
      <c r="D4210" t="inlineStr">
        <is>
          <t>VÄSTRA GÖTALANDS LÄN</t>
        </is>
      </c>
      <c r="E4210" t="inlineStr">
        <is>
          <t>TROLLHÄTTAN</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8730-2020</t>
        </is>
      </c>
      <c r="B4211" s="1" t="n">
        <v>43878</v>
      </c>
      <c r="C4211" s="1" t="n">
        <v>45212</v>
      </c>
      <c r="D4211" t="inlineStr">
        <is>
          <t>VÄSTRA GÖTALANDS LÄN</t>
        </is>
      </c>
      <c r="E4211" t="inlineStr">
        <is>
          <t>TIDAHOLM</t>
        </is>
      </c>
      <c r="F4211" t="inlineStr">
        <is>
          <t>Sveaskog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8767-2020</t>
        </is>
      </c>
      <c r="B4212" s="1" t="n">
        <v>43878</v>
      </c>
      <c r="C4212" s="1" t="n">
        <v>45212</v>
      </c>
      <c r="D4212" t="inlineStr">
        <is>
          <t>VÄSTRA GÖTALANDS LÄN</t>
        </is>
      </c>
      <c r="E4212" t="inlineStr">
        <is>
          <t>FÄRGELANDA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8925-2020</t>
        </is>
      </c>
      <c r="B4213" s="1" t="n">
        <v>43878</v>
      </c>
      <c r="C4213" s="1" t="n">
        <v>45212</v>
      </c>
      <c r="D4213" t="inlineStr">
        <is>
          <t>VÄSTRA GÖTALANDS LÄN</t>
        </is>
      </c>
      <c r="E4213" t="inlineStr">
        <is>
          <t>VARA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9305-2020</t>
        </is>
      </c>
      <c r="B4214" s="1" t="n">
        <v>43878</v>
      </c>
      <c r="C4214" s="1" t="n">
        <v>45212</v>
      </c>
      <c r="D4214" t="inlineStr">
        <is>
          <t>VÄSTRA GÖTALANDS LÄN</t>
        </is>
      </c>
      <c r="E4214" t="inlineStr">
        <is>
          <t>MUNKEDAL</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8707-2020</t>
        </is>
      </c>
      <c r="B4215" s="1" t="n">
        <v>43878</v>
      </c>
      <c r="C4215" s="1" t="n">
        <v>45212</v>
      </c>
      <c r="D4215" t="inlineStr">
        <is>
          <t>VÄSTRA GÖTALANDS LÄN</t>
        </is>
      </c>
      <c r="E4215" t="inlineStr">
        <is>
          <t>BORÅS</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8857-2020</t>
        </is>
      </c>
      <c r="B4216" s="1" t="n">
        <v>43878</v>
      </c>
      <c r="C4216" s="1" t="n">
        <v>45212</v>
      </c>
      <c r="D4216" t="inlineStr">
        <is>
          <t>VÄSTRA GÖTALANDS LÄN</t>
        </is>
      </c>
      <c r="E4216" t="inlineStr">
        <is>
          <t>UDDEVALLA</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9025-2020</t>
        </is>
      </c>
      <c r="B4217" s="1" t="n">
        <v>43879</v>
      </c>
      <c r="C4217" s="1" t="n">
        <v>45212</v>
      </c>
      <c r="D4217" t="inlineStr">
        <is>
          <t>VÄSTRA GÖTALANDS LÄN</t>
        </is>
      </c>
      <c r="E4217" t="inlineStr">
        <is>
          <t>VÅRGÅRDA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9133-2020</t>
        </is>
      </c>
      <c r="B4218" s="1" t="n">
        <v>43879</v>
      </c>
      <c r="C4218" s="1" t="n">
        <v>45212</v>
      </c>
      <c r="D4218" t="inlineStr">
        <is>
          <t>VÄSTRA GÖTALANDS LÄN</t>
        </is>
      </c>
      <c r="E4218" t="inlineStr">
        <is>
          <t>ALINGSÅS</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9154-2020</t>
        </is>
      </c>
      <c r="B4219" s="1" t="n">
        <v>43879</v>
      </c>
      <c r="C4219" s="1" t="n">
        <v>45212</v>
      </c>
      <c r="D4219" t="inlineStr">
        <is>
          <t>VÄSTRA GÖTALANDS LÄN</t>
        </is>
      </c>
      <c r="E4219" t="inlineStr">
        <is>
          <t>ALE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9182-2020</t>
        </is>
      </c>
      <c r="B4220" s="1" t="n">
        <v>43879</v>
      </c>
      <c r="C4220" s="1" t="n">
        <v>45212</v>
      </c>
      <c r="D4220" t="inlineStr">
        <is>
          <t>VÄSTRA GÖTALANDS LÄN</t>
        </is>
      </c>
      <c r="E4220" t="inlineStr">
        <is>
          <t>HERRLJUNGA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9126-2020</t>
        </is>
      </c>
      <c r="B4221" s="1" t="n">
        <v>43879</v>
      </c>
      <c r="C4221" s="1" t="n">
        <v>45212</v>
      </c>
      <c r="D4221" t="inlineStr">
        <is>
          <t>VÄSTRA GÖTALANDS LÄN</t>
        </is>
      </c>
      <c r="E4221" t="inlineStr">
        <is>
          <t>ALINGSÅS</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9142-2020</t>
        </is>
      </c>
      <c r="B4222" s="1" t="n">
        <v>43879</v>
      </c>
      <c r="C4222" s="1" t="n">
        <v>45212</v>
      </c>
      <c r="D4222" t="inlineStr">
        <is>
          <t>VÄSTRA GÖTALANDS LÄN</t>
        </is>
      </c>
      <c r="E4222" t="inlineStr">
        <is>
          <t>VÄNERSBORG</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9167-2020</t>
        </is>
      </c>
      <c r="B4223" s="1" t="n">
        <v>43879</v>
      </c>
      <c r="C4223" s="1" t="n">
        <v>45212</v>
      </c>
      <c r="D4223" t="inlineStr">
        <is>
          <t>VÄSTRA GÖTALANDS LÄN</t>
        </is>
      </c>
      <c r="E4223" t="inlineStr">
        <is>
          <t>FÄRGELANDA</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9155-2020</t>
        </is>
      </c>
      <c r="B4224" s="1" t="n">
        <v>43879</v>
      </c>
      <c r="C4224" s="1" t="n">
        <v>45212</v>
      </c>
      <c r="D4224" t="inlineStr">
        <is>
          <t>VÄSTRA GÖTALANDS LÄN</t>
        </is>
      </c>
      <c r="E4224" t="inlineStr">
        <is>
          <t>VÄNERSBORG</t>
        </is>
      </c>
      <c r="G4224" t="n">
        <v>0.4</v>
      </c>
      <c r="H4224" t="n">
        <v>0</v>
      </c>
      <c r="I4224" t="n">
        <v>0</v>
      </c>
      <c r="J4224" t="n">
        <v>0</v>
      </c>
      <c r="K4224" t="n">
        <v>0</v>
      </c>
      <c r="L4224" t="n">
        <v>0</v>
      </c>
      <c r="M4224" t="n">
        <v>0</v>
      </c>
      <c r="N4224" t="n">
        <v>0</v>
      </c>
      <c r="O4224" t="n">
        <v>0</v>
      </c>
      <c r="P4224" t="n">
        <v>0</v>
      </c>
      <c r="Q4224" t="n">
        <v>0</v>
      </c>
      <c r="R4224" s="2" t="inlineStr"/>
    </row>
    <row r="4225" ht="15" customHeight="1">
      <c r="A4225" t="inlineStr">
        <is>
          <t>A 9229-2020</t>
        </is>
      </c>
      <c r="B4225" s="1" t="n">
        <v>43879</v>
      </c>
      <c r="C4225" s="1" t="n">
        <v>45212</v>
      </c>
      <c r="D4225" t="inlineStr">
        <is>
          <t>VÄSTRA GÖTALANDS LÄN</t>
        </is>
      </c>
      <c r="E4225" t="inlineStr">
        <is>
          <t>ULRICEHAMN</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9316-2020</t>
        </is>
      </c>
      <c r="B4226" s="1" t="n">
        <v>43880</v>
      </c>
      <c r="C4226" s="1" t="n">
        <v>45212</v>
      </c>
      <c r="D4226" t="inlineStr">
        <is>
          <t>VÄSTRA GÖTALANDS LÄN</t>
        </is>
      </c>
      <c r="E4226" t="inlineStr">
        <is>
          <t>KUNGÄLV</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9336-2020</t>
        </is>
      </c>
      <c r="B4227" s="1" t="n">
        <v>43880</v>
      </c>
      <c r="C4227" s="1" t="n">
        <v>45212</v>
      </c>
      <c r="D4227" t="inlineStr">
        <is>
          <t>VÄSTRA GÖTALANDS LÄN</t>
        </is>
      </c>
      <c r="E4227" t="inlineStr">
        <is>
          <t>GULLSPÅNG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9499-2020</t>
        </is>
      </c>
      <c r="B4228" s="1" t="n">
        <v>43880</v>
      </c>
      <c r="C4228" s="1" t="n">
        <v>45212</v>
      </c>
      <c r="D4228" t="inlineStr">
        <is>
          <t>VÄSTRA GÖTALANDS LÄN</t>
        </is>
      </c>
      <c r="E4228" t="inlineStr">
        <is>
          <t>HJO</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9436-2020</t>
        </is>
      </c>
      <c r="B4229" s="1" t="n">
        <v>43880</v>
      </c>
      <c r="C4229" s="1" t="n">
        <v>45212</v>
      </c>
      <c r="D4229" t="inlineStr">
        <is>
          <t>VÄSTRA GÖTALANDS LÄN</t>
        </is>
      </c>
      <c r="E4229" t="inlineStr">
        <is>
          <t>BOLLEBYGD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9490-2020</t>
        </is>
      </c>
      <c r="B4230" s="1" t="n">
        <v>43880</v>
      </c>
      <c r="C4230" s="1" t="n">
        <v>45212</v>
      </c>
      <c r="D4230" t="inlineStr">
        <is>
          <t>VÄSTRA GÖTALANDS LÄN</t>
        </is>
      </c>
      <c r="E4230" t="inlineStr">
        <is>
          <t>BENGTSFORS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9840-2020</t>
        </is>
      </c>
      <c r="B4231" s="1" t="n">
        <v>43881</v>
      </c>
      <c r="C4231" s="1" t="n">
        <v>45212</v>
      </c>
      <c r="D4231" t="inlineStr">
        <is>
          <t>VÄSTRA GÖTALANDS LÄN</t>
        </is>
      </c>
      <c r="E4231" t="inlineStr">
        <is>
          <t>STRÖMSTAD</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9622-2020</t>
        </is>
      </c>
      <c r="B4232" s="1" t="n">
        <v>43881</v>
      </c>
      <c r="C4232" s="1" t="n">
        <v>45212</v>
      </c>
      <c r="D4232" t="inlineStr">
        <is>
          <t>VÄSTRA GÖTALANDS LÄN</t>
        </is>
      </c>
      <c r="E4232" t="inlineStr">
        <is>
          <t>FÄRGELANDA</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9789-2020</t>
        </is>
      </c>
      <c r="B4233" s="1" t="n">
        <v>43881</v>
      </c>
      <c r="C4233" s="1" t="n">
        <v>45212</v>
      </c>
      <c r="D4233" t="inlineStr">
        <is>
          <t>VÄSTRA GÖTALANDS LÄN</t>
        </is>
      </c>
      <c r="E4233" t="inlineStr">
        <is>
          <t>ÅMÅL</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9773-2020</t>
        </is>
      </c>
      <c r="B4234" s="1" t="n">
        <v>43881</v>
      </c>
      <c r="C4234" s="1" t="n">
        <v>45212</v>
      </c>
      <c r="D4234" t="inlineStr">
        <is>
          <t>VÄSTRA GÖTALANDS LÄN</t>
        </is>
      </c>
      <c r="E4234" t="inlineStr">
        <is>
          <t>ULRICEHAMN</t>
        </is>
      </c>
      <c r="G4234" t="n">
        <v>3.7</v>
      </c>
      <c r="H4234" t="n">
        <v>0</v>
      </c>
      <c r="I4234" t="n">
        <v>0</v>
      </c>
      <c r="J4234" t="n">
        <v>0</v>
      </c>
      <c r="K4234" t="n">
        <v>0</v>
      </c>
      <c r="L4234" t="n">
        <v>0</v>
      </c>
      <c r="M4234" t="n">
        <v>0</v>
      </c>
      <c r="N4234" t="n">
        <v>0</v>
      </c>
      <c r="O4234" t="n">
        <v>0</v>
      </c>
      <c r="P4234" t="n">
        <v>0</v>
      </c>
      <c r="Q4234" t="n">
        <v>0</v>
      </c>
      <c r="R4234" s="2" t="inlineStr"/>
    </row>
    <row r="4235" ht="15" customHeight="1">
      <c r="A4235" t="inlineStr">
        <is>
          <t>A 9864-2020</t>
        </is>
      </c>
      <c r="B4235" s="1" t="n">
        <v>43882</v>
      </c>
      <c r="C4235" s="1" t="n">
        <v>45212</v>
      </c>
      <c r="D4235" t="inlineStr">
        <is>
          <t>VÄSTRA GÖTALANDS LÄN</t>
        </is>
      </c>
      <c r="E4235" t="inlineStr">
        <is>
          <t>BENGTSFORS</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9998-2020</t>
        </is>
      </c>
      <c r="B4236" s="1" t="n">
        <v>43882</v>
      </c>
      <c r="C4236" s="1" t="n">
        <v>45212</v>
      </c>
      <c r="D4236" t="inlineStr">
        <is>
          <t>VÄSTRA GÖTALANDS LÄN</t>
        </is>
      </c>
      <c r="E4236" t="inlineStr">
        <is>
          <t>BORÅS</t>
        </is>
      </c>
      <c r="G4236" t="n">
        <v>3.9</v>
      </c>
      <c r="H4236" t="n">
        <v>0</v>
      </c>
      <c r="I4236" t="n">
        <v>0</v>
      </c>
      <c r="J4236" t="n">
        <v>0</v>
      </c>
      <c r="K4236" t="n">
        <v>0</v>
      </c>
      <c r="L4236" t="n">
        <v>0</v>
      </c>
      <c r="M4236" t="n">
        <v>0</v>
      </c>
      <c r="N4236" t="n">
        <v>0</v>
      </c>
      <c r="O4236" t="n">
        <v>0</v>
      </c>
      <c r="P4236" t="n">
        <v>0</v>
      </c>
      <c r="Q4236" t="n">
        <v>0</v>
      </c>
      <c r="R4236" s="2" t="inlineStr"/>
    </row>
    <row r="4237" ht="15" customHeight="1">
      <c r="A4237" t="inlineStr">
        <is>
          <t>A 9854-2020</t>
        </is>
      </c>
      <c r="B4237" s="1" t="n">
        <v>43882</v>
      </c>
      <c r="C4237" s="1" t="n">
        <v>45212</v>
      </c>
      <c r="D4237" t="inlineStr">
        <is>
          <t>VÄSTRA GÖTALANDS LÄN</t>
        </is>
      </c>
      <c r="E4237" t="inlineStr">
        <is>
          <t>ALINGSÅS</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9886-2020</t>
        </is>
      </c>
      <c r="B4238" s="1" t="n">
        <v>43882</v>
      </c>
      <c r="C4238" s="1" t="n">
        <v>45212</v>
      </c>
      <c r="D4238" t="inlineStr">
        <is>
          <t>VÄSTRA GÖTALANDS LÄN</t>
        </is>
      </c>
      <c r="E4238" t="inlineStr">
        <is>
          <t>TRANEMO</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9906-2020</t>
        </is>
      </c>
      <c r="B4239" s="1" t="n">
        <v>43882</v>
      </c>
      <c r="C4239" s="1" t="n">
        <v>45212</v>
      </c>
      <c r="D4239" t="inlineStr">
        <is>
          <t>VÄSTRA GÖTALANDS LÄN</t>
        </is>
      </c>
      <c r="E4239" t="inlineStr">
        <is>
          <t>TÖREBODA</t>
        </is>
      </c>
      <c r="F4239" t="inlineStr">
        <is>
          <t>Övriga statliga verk och myndigheter</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10071-2020</t>
        </is>
      </c>
      <c r="B4240" s="1" t="n">
        <v>43884</v>
      </c>
      <c r="C4240" s="1" t="n">
        <v>45212</v>
      </c>
      <c r="D4240" t="inlineStr">
        <is>
          <t>VÄSTRA GÖTALANDS LÄN</t>
        </is>
      </c>
      <c r="E4240" t="inlineStr">
        <is>
          <t>FÄRGELANDA</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10081-2020</t>
        </is>
      </c>
      <c r="B4241" s="1" t="n">
        <v>43885</v>
      </c>
      <c r="C4241" s="1" t="n">
        <v>45212</v>
      </c>
      <c r="D4241" t="inlineStr">
        <is>
          <t>VÄSTRA GÖTALANDS LÄN</t>
        </is>
      </c>
      <c r="E4241" t="inlineStr">
        <is>
          <t>TÖREBODA</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10179-2020</t>
        </is>
      </c>
      <c r="B4242" s="1" t="n">
        <v>43885</v>
      </c>
      <c r="C4242" s="1" t="n">
        <v>45212</v>
      </c>
      <c r="D4242" t="inlineStr">
        <is>
          <t>VÄSTRA GÖTALANDS LÄN</t>
        </is>
      </c>
      <c r="E4242" t="inlineStr">
        <is>
          <t>SKARA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10350-2020</t>
        </is>
      </c>
      <c r="B4243" s="1" t="n">
        <v>43885</v>
      </c>
      <c r="C4243" s="1" t="n">
        <v>45212</v>
      </c>
      <c r="D4243" t="inlineStr">
        <is>
          <t>VÄSTRA GÖTALANDS LÄN</t>
        </is>
      </c>
      <c r="E4243" t="inlineStr">
        <is>
          <t>SKÖVDE</t>
        </is>
      </c>
      <c r="G4243" t="n">
        <v>2.4</v>
      </c>
      <c r="H4243" t="n">
        <v>0</v>
      </c>
      <c r="I4243" t="n">
        <v>0</v>
      </c>
      <c r="J4243" t="n">
        <v>0</v>
      </c>
      <c r="K4243" t="n">
        <v>0</v>
      </c>
      <c r="L4243" t="n">
        <v>0</v>
      </c>
      <c r="M4243" t="n">
        <v>0</v>
      </c>
      <c r="N4243" t="n">
        <v>0</v>
      </c>
      <c r="O4243" t="n">
        <v>0</v>
      </c>
      <c r="P4243" t="n">
        <v>0</v>
      </c>
      <c r="Q4243" t="n">
        <v>0</v>
      </c>
      <c r="R4243" s="2" t="inlineStr"/>
    </row>
    <row r="4244" ht="15" customHeight="1">
      <c r="A4244" t="inlineStr">
        <is>
          <t>A 10381-2020</t>
        </is>
      </c>
      <c r="B4244" s="1" t="n">
        <v>43885</v>
      </c>
      <c r="C4244" s="1" t="n">
        <v>45212</v>
      </c>
      <c r="D4244" t="inlineStr">
        <is>
          <t>VÄSTRA GÖTALANDS LÄN</t>
        </is>
      </c>
      <c r="E4244" t="inlineStr">
        <is>
          <t>BENGTSFORS</t>
        </is>
      </c>
      <c r="G4244" t="n">
        <v>2.9</v>
      </c>
      <c r="H4244" t="n">
        <v>0</v>
      </c>
      <c r="I4244" t="n">
        <v>0</v>
      </c>
      <c r="J4244" t="n">
        <v>0</v>
      </c>
      <c r="K4244" t="n">
        <v>0</v>
      </c>
      <c r="L4244" t="n">
        <v>0</v>
      </c>
      <c r="M4244" t="n">
        <v>0</v>
      </c>
      <c r="N4244" t="n">
        <v>0</v>
      </c>
      <c r="O4244" t="n">
        <v>0</v>
      </c>
      <c r="P4244" t="n">
        <v>0</v>
      </c>
      <c r="Q4244" t="n">
        <v>0</v>
      </c>
      <c r="R4244" s="2" t="inlineStr"/>
    </row>
    <row r="4245" ht="15" customHeight="1">
      <c r="A4245" t="inlineStr">
        <is>
          <t>A 10399-2020</t>
        </is>
      </c>
      <c r="B4245" s="1" t="n">
        <v>43885</v>
      </c>
      <c r="C4245" s="1" t="n">
        <v>45212</v>
      </c>
      <c r="D4245" t="inlineStr">
        <is>
          <t>VÄSTRA GÖTALANDS LÄN</t>
        </is>
      </c>
      <c r="E4245" t="inlineStr">
        <is>
          <t>STRÖMSTAD</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10079-2020</t>
        </is>
      </c>
      <c r="B4246" s="1" t="n">
        <v>43886</v>
      </c>
      <c r="C4246" s="1" t="n">
        <v>45212</v>
      </c>
      <c r="D4246" t="inlineStr">
        <is>
          <t>VÄSTRA GÖTALANDS LÄN</t>
        </is>
      </c>
      <c r="E4246" t="inlineStr">
        <is>
          <t>ALE</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10423-2020</t>
        </is>
      </c>
      <c r="B4247" s="1" t="n">
        <v>43886</v>
      </c>
      <c r="C4247" s="1" t="n">
        <v>45212</v>
      </c>
      <c r="D4247" t="inlineStr">
        <is>
          <t>VÄSTRA GÖTALANDS LÄN</t>
        </is>
      </c>
      <c r="E4247" t="inlineStr">
        <is>
          <t>STENUNGSUND</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10429-2020</t>
        </is>
      </c>
      <c r="B4248" s="1" t="n">
        <v>43886</v>
      </c>
      <c r="C4248" s="1" t="n">
        <v>45212</v>
      </c>
      <c r="D4248" t="inlineStr">
        <is>
          <t>VÄSTRA GÖTALANDS LÄN</t>
        </is>
      </c>
      <c r="E4248" t="inlineStr">
        <is>
          <t>TÖREBODA</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11366-2020</t>
        </is>
      </c>
      <c r="B4249" s="1" t="n">
        <v>43886</v>
      </c>
      <c r="C4249" s="1" t="n">
        <v>45212</v>
      </c>
      <c r="D4249" t="inlineStr">
        <is>
          <t>VÄSTRA GÖTALANDS LÄN</t>
        </is>
      </c>
      <c r="E4249" t="inlineStr">
        <is>
          <t>DALS-ED</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10499-2020</t>
        </is>
      </c>
      <c r="B4250" s="1" t="n">
        <v>43886</v>
      </c>
      <c r="C4250" s="1" t="n">
        <v>45212</v>
      </c>
      <c r="D4250" t="inlineStr">
        <is>
          <t>VÄSTRA GÖTALANDS LÄN</t>
        </is>
      </c>
      <c r="E4250" t="inlineStr">
        <is>
          <t>ULRICEHAMN</t>
        </is>
      </c>
      <c r="G4250" t="n">
        <v>1.5</v>
      </c>
      <c r="H4250" t="n">
        <v>0</v>
      </c>
      <c r="I4250" t="n">
        <v>0</v>
      </c>
      <c r="J4250" t="n">
        <v>0</v>
      </c>
      <c r="K4250" t="n">
        <v>0</v>
      </c>
      <c r="L4250" t="n">
        <v>0</v>
      </c>
      <c r="M4250" t="n">
        <v>0</v>
      </c>
      <c r="N4250" t="n">
        <v>0</v>
      </c>
      <c r="O4250" t="n">
        <v>0</v>
      </c>
      <c r="P4250" t="n">
        <v>0</v>
      </c>
      <c r="Q4250" t="n">
        <v>0</v>
      </c>
      <c r="R4250" s="2" t="inlineStr"/>
    </row>
    <row r="4251" ht="15" customHeight="1">
      <c r="A4251" t="inlineStr">
        <is>
          <t>A 10157-2020</t>
        </is>
      </c>
      <c r="B4251" s="1" t="n">
        <v>43886</v>
      </c>
      <c r="C4251" s="1" t="n">
        <v>45212</v>
      </c>
      <c r="D4251" t="inlineStr">
        <is>
          <t>VÄSTRA GÖTALANDS LÄN</t>
        </is>
      </c>
      <c r="E4251" t="inlineStr">
        <is>
          <t>ULRICEHAMN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10433-2020</t>
        </is>
      </c>
      <c r="B4252" s="1" t="n">
        <v>43886</v>
      </c>
      <c r="C4252" s="1" t="n">
        <v>45212</v>
      </c>
      <c r="D4252" t="inlineStr">
        <is>
          <t>VÄSTRA GÖTALANDS LÄN</t>
        </is>
      </c>
      <c r="E4252" t="inlineStr">
        <is>
          <t>DALS-ED</t>
        </is>
      </c>
      <c r="F4252" t="inlineStr">
        <is>
          <t>Bergvik skog väst AB</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11370-2020</t>
        </is>
      </c>
      <c r="B4253" s="1" t="n">
        <v>43886</v>
      </c>
      <c r="C4253" s="1" t="n">
        <v>45212</v>
      </c>
      <c r="D4253" t="inlineStr">
        <is>
          <t>VÄSTRA GÖTALANDS LÄN</t>
        </is>
      </c>
      <c r="E4253" t="inlineStr">
        <is>
          <t>DALS-ED</t>
        </is>
      </c>
      <c r="G4253" t="n">
        <v>6.5</v>
      </c>
      <c r="H4253" t="n">
        <v>0</v>
      </c>
      <c r="I4253" t="n">
        <v>0</v>
      </c>
      <c r="J4253" t="n">
        <v>0</v>
      </c>
      <c r="K4253" t="n">
        <v>0</v>
      </c>
      <c r="L4253" t="n">
        <v>0</v>
      </c>
      <c r="M4253" t="n">
        <v>0</v>
      </c>
      <c r="N4253" t="n">
        <v>0</v>
      </c>
      <c r="O4253" t="n">
        <v>0</v>
      </c>
      <c r="P4253" t="n">
        <v>0</v>
      </c>
      <c r="Q4253" t="n">
        <v>0</v>
      </c>
      <c r="R4253" s="2" t="inlineStr"/>
    </row>
    <row r="4254" ht="15" customHeight="1">
      <c r="A4254" t="inlineStr">
        <is>
          <t>A 10421-2020</t>
        </is>
      </c>
      <c r="B4254" s="1" t="n">
        <v>43886</v>
      </c>
      <c r="C4254" s="1" t="n">
        <v>45212</v>
      </c>
      <c r="D4254" t="inlineStr">
        <is>
          <t>VÄSTRA GÖTALANDS LÄN</t>
        </is>
      </c>
      <c r="E4254" t="inlineStr">
        <is>
          <t>BORÅS</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10520-2020</t>
        </is>
      </c>
      <c r="B4255" s="1" t="n">
        <v>43886</v>
      </c>
      <c r="C4255" s="1" t="n">
        <v>45212</v>
      </c>
      <c r="D4255" t="inlineStr">
        <is>
          <t>VÄSTRA GÖTALANDS LÄN</t>
        </is>
      </c>
      <c r="E4255" t="inlineStr">
        <is>
          <t>ALINGSÅS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10177-2020</t>
        </is>
      </c>
      <c r="B4256" s="1" t="n">
        <v>43887</v>
      </c>
      <c r="C4256" s="1" t="n">
        <v>45212</v>
      </c>
      <c r="D4256" t="inlineStr">
        <is>
          <t>VÄSTRA GÖTALANDS LÄN</t>
        </is>
      </c>
      <c r="E4256" t="inlineStr">
        <is>
          <t>UDDEVALLA</t>
        </is>
      </c>
      <c r="G4256" t="n">
        <v>2.6</v>
      </c>
      <c r="H4256" t="n">
        <v>0</v>
      </c>
      <c r="I4256" t="n">
        <v>0</v>
      </c>
      <c r="J4256" t="n">
        <v>0</v>
      </c>
      <c r="K4256" t="n">
        <v>0</v>
      </c>
      <c r="L4256" t="n">
        <v>0</v>
      </c>
      <c r="M4256" t="n">
        <v>0</v>
      </c>
      <c r="N4256" t="n">
        <v>0</v>
      </c>
      <c r="O4256" t="n">
        <v>0</v>
      </c>
      <c r="P4256" t="n">
        <v>0</v>
      </c>
      <c r="Q4256" t="n">
        <v>0</v>
      </c>
      <c r="R4256" s="2" t="inlineStr"/>
    </row>
    <row r="4257" ht="15" customHeight="1">
      <c r="A4257" t="inlineStr">
        <is>
          <t>A 11857-2020</t>
        </is>
      </c>
      <c r="B4257" s="1" t="n">
        <v>43887</v>
      </c>
      <c r="C4257" s="1" t="n">
        <v>45212</v>
      </c>
      <c r="D4257" t="inlineStr">
        <is>
          <t>VÄSTRA GÖTALANDS LÄN</t>
        </is>
      </c>
      <c r="E4257" t="inlineStr">
        <is>
          <t>TANUM</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11846-2020</t>
        </is>
      </c>
      <c r="B4258" s="1" t="n">
        <v>43887</v>
      </c>
      <c r="C4258" s="1" t="n">
        <v>45212</v>
      </c>
      <c r="D4258" t="inlineStr">
        <is>
          <t>VÄSTRA GÖTALANDS LÄN</t>
        </is>
      </c>
      <c r="E4258" t="inlineStr">
        <is>
          <t>TANUM</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10609-2020</t>
        </is>
      </c>
      <c r="B4259" s="1" t="n">
        <v>43887</v>
      </c>
      <c r="C4259" s="1" t="n">
        <v>45212</v>
      </c>
      <c r="D4259" t="inlineStr">
        <is>
          <t>VÄSTRA GÖTALANDS LÄN</t>
        </is>
      </c>
      <c r="E4259" t="inlineStr">
        <is>
          <t>LILLA EDET</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11484-2020</t>
        </is>
      </c>
      <c r="B4260" s="1" t="n">
        <v>43887</v>
      </c>
      <c r="C4260" s="1" t="n">
        <v>45212</v>
      </c>
      <c r="D4260" t="inlineStr">
        <is>
          <t>VÄSTRA GÖTALANDS LÄN</t>
        </is>
      </c>
      <c r="E4260" t="inlineStr">
        <is>
          <t>TÖREBODA</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11840-2020</t>
        </is>
      </c>
      <c r="B4261" s="1" t="n">
        <v>43887</v>
      </c>
      <c r="C4261" s="1" t="n">
        <v>45212</v>
      </c>
      <c r="D4261" t="inlineStr">
        <is>
          <t>VÄSTRA GÖTALANDS LÄN</t>
        </is>
      </c>
      <c r="E4261" t="inlineStr">
        <is>
          <t>TANUM</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10270-2020</t>
        </is>
      </c>
      <c r="B4262" s="1" t="n">
        <v>43887</v>
      </c>
      <c r="C4262" s="1" t="n">
        <v>45212</v>
      </c>
      <c r="D4262" t="inlineStr">
        <is>
          <t>VÄSTRA GÖTALANDS LÄN</t>
        </is>
      </c>
      <c r="E4262" t="inlineStr">
        <is>
          <t>HÄRRYDA</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11853-2020</t>
        </is>
      </c>
      <c r="B4263" s="1" t="n">
        <v>43887</v>
      </c>
      <c r="C4263" s="1" t="n">
        <v>45212</v>
      </c>
      <c r="D4263" t="inlineStr">
        <is>
          <t>VÄSTRA GÖTALANDS LÄN</t>
        </is>
      </c>
      <c r="E4263" t="inlineStr">
        <is>
          <t>TANUM</t>
        </is>
      </c>
      <c r="G4263" t="n">
        <v>4</v>
      </c>
      <c r="H4263" t="n">
        <v>0</v>
      </c>
      <c r="I4263" t="n">
        <v>0</v>
      </c>
      <c r="J4263" t="n">
        <v>0</v>
      </c>
      <c r="K4263" t="n">
        <v>0</v>
      </c>
      <c r="L4263" t="n">
        <v>0</v>
      </c>
      <c r="M4263" t="n">
        <v>0</v>
      </c>
      <c r="N4263" t="n">
        <v>0</v>
      </c>
      <c r="O4263" t="n">
        <v>0</v>
      </c>
      <c r="P4263" t="n">
        <v>0</v>
      </c>
      <c r="Q4263" t="n">
        <v>0</v>
      </c>
      <c r="R4263" s="2" t="inlineStr"/>
    </row>
    <row r="4264" ht="15" customHeight="1">
      <c r="A4264" t="inlineStr">
        <is>
          <t>A 11605-2020</t>
        </is>
      </c>
      <c r="B4264" s="1" t="n">
        <v>43888</v>
      </c>
      <c r="C4264" s="1" t="n">
        <v>45212</v>
      </c>
      <c r="D4264" t="inlineStr">
        <is>
          <t>VÄSTRA GÖTALANDS LÄN</t>
        </is>
      </c>
      <c r="E4264" t="inlineStr">
        <is>
          <t>TIDAHOLM</t>
        </is>
      </c>
      <c r="F4264" t="inlineStr">
        <is>
          <t>Kommuner</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11091-2020</t>
        </is>
      </c>
      <c r="B4265" s="1" t="n">
        <v>43889</v>
      </c>
      <c r="C4265" s="1" t="n">
        <v>45212</v>
      </c>
      <c r="D4265" t="inlineStr">
        <is>
          <t>VÄSTRA GÖTALANDS LÄN</t>
        </is>
      </c>
      <c r="E4265" t="inlineStr">
        <is>
          <t>DALS-ED</t>
        </is>
      </c>
      <c r="G4265" t="n">
        <v>8.800000000000001</v>
      </c>
      <c r="H4265" t="n">
        <v>0</v>
      </c>
      <c r="I4265" t="n">
        <v>0</v>
      </c>
      <c r="J4265" t="n">
        <v>0</v>
      </c>
      <c r="K4265" t="n">
        <v>0</v>
      </c>
      <c r="L4265" t="n">
        <v>0</v>
      </c>
      <c r="M4265" t="n">
        <v>0</v>
      </c>
      <c r="N4265" t="n">
        <v>0</v>
      </c>
      <c r="O4265" t="n">
        <v>0</v>
      </c>
      <c r="P4265" t="n">
        <v>0</v>
      </c>
      <c r="Q4265" t="n">
        <v>0</v>
      </c>
      <c r="R4265" s="2" t="inlineStr"/>
    </row>
    <row r="4266" ht="15" customHeight="1">
      <c r="A4266" t="inlineStr">
        <is>
          <t>A 10903-2020</t>
        </is>
      </c>
      <c r="B4266" s="1" t="n">
        <v>43889</v>
      </c>
      <c r="C4266" s="1" t="n">
        <v>45212</v>
      </c>
      <c r="D4266" t="inlineStr">
        <is>
          <t>VÄSTRA GÖTALANDS LÄN</t>
        </is>
      </c>
      <c r="E4266" t="inlineStr">
        <is>
          <t>FALKÖPING</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11080-2020</t>
        </is>
      </c>
      <c r="B4267" s="1" t="n">
        <v>43889</v>
      </c>
      <c r="C4267" s="1" t="n">
        <v>45212</v>
      </c>
      <c r="D4267" t="inlineStr">
        <is>
          <t>VÄSTRA GÖTALANDS LÄN</t>
        </is>
      </c>
      <c r="E4267" t="inlineStr">
        <is>
          <t>DALS-ED</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11109-2020</t>
        </is>
      </c>
      <c r="B4268" s="1" t="n">
        <v>43889</v>
      </c>
      <c r="C4268" s="1" t="n">
        <v>45212</v>
      </c>
      <c r="D4268" t="inlineStr">
        <is>
          <t>VÄSTRA GÖTALANDS LÄN</t>
        </is>
      </c>
      <c r="E4268" t="inlineStr">
        <is>
          <t>TANUM</t>
        </is>
      </c>
      <c r="G4268" t="n">
        <v>12.5</v>
      </c>
      <c r="H4268" t="n">
        <v>0</v>
      </c>
      <c r="I4268" t="n">
        <v>0</v>
      </c>
      <c r="J4268" t="n">
        <v>0</v>
      </c>
      <c r="K4268" t="n">
        <v>0</v>
      </c>
      <c r="L4268" t="n">
        <v>0</v>
      </c>
      <c r="M4268" t="n">
        <v>0</v>
      </c>
      <c r="N4268" t="n">
        <v>0</v>
      </c>
      <c r="O4268" t="n">
        <v>0</v>
      </c>
      <c r="P4268" t="n">
        <v>0</v>
      </c>
      <c r="Q4268" t="n">
        <v>0</v>
      </c>
      <c r="R4268" s="2" t="inlineStr"/>
    </row>
    <row r="4269" ht="15" customHeight="1">
      <c r="A4269" t="inlineStr">
        <is>
          <t>A 10915-2020</t>
        </is>
      </c>
      <c r="B4269" s="1" t="n">
        <v>43889</v>
      </c>
      <c r="C4269" s="1" t="n">
        <v>45212</v>
      </c>
      <c r="D4269" t="inlineStr">
        <is>
          <t>VÄSTRA GÖTALANDS LÄN</t>
        </is>
      </c>
      <c r="E4269" t="inlineStr">
        <is>
          <t>MELLERUD</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11139-2020</t>
        </is>
      </c>
      <c r="B4270" s="1" t="n">
        <v>43890</v>
      </c>
      <c r="C4270" s="1" t="n">
        <v>45212</v>
      </c>
      <c r="D4270" t="inlineStr">
        <is>
          <t>VÄSTRA GÖTALANDS LÄN</t>
        </is>
      </c>
      <c r="E4270" t="inlineStr">
        <is>
          <t>FALKÖPING</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11156-2020</t>
        </is>
      </c>
      <c r="B4271" s="1" t="n">
        <v>43891</v>
      </c>
      <c r="C4271" s="1" t="n">
        <v>45212</v>
      </c>
      <c r="D4271" t="inlineStr">
        <is>
          <t>VÄSTRA GÖTALANDS LÄN</t>
        </is>
      </c>
      <c r="E4271" t="inlineStr">
        <is>
          <t>TANUM</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11208-2020</t>
        </is>
      </c>
      <c r="B4272" s="1" t="n">
        <v>43892</v>
      </c>
      <c r="C4272" s="1" t="n">
        <v>45212</v>
      </c>
      <c r="D4272" t="inlineStr">
        <is>
          <t>VÄSTRA GÖTALANDS LÄN</t>
        </is>
      </c>
      <c r="E4272" t="inlineStr">
        <is>
          <t>BENGTSFORS</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11388-2020</t>
        </is>
      </c>
      <c r="B4273" s="1" t="n">
        <v>43892</v>
      </c>
      <c r="C4273" s="1" t="n">
        <v>45212</v>
      </c>
      <c r="D4273" t="inlineStr">
        <is>
          <t>VÄSTRA GÖTALANDS LÄN</t>
        </is>
      </c>
      <c r="E4273" t="inlineStr">
        <is>
          <t>ULRICEHAMN</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11227-2020</t>
        </is>
      </c>
      <c r="B4274" s="1" t="n">
        <v>43892</v>
      </c>
      <c r="C4274" s="1" t="n">
        <v>45212</v>
      </c>
      <c r="D4274" t="inlineStr">
        <is>
          <t>VÄSTRA GÖTALANDS LÄN</t>
        </is>
      </c>
      <c r="E4274" t="inlineStr">
        <is>
          <t>BENGTSFORS</t>
        </is>
      </c>
      <c r="G4274" t="n">
        <v>2.9</v>
      </c>
      <c r="H4274" t="n">
        <v>0</v>
      </c>
      <c r="I4274" t="n">
        <v>0</v>
      </c>
      <c r="J4274" t="n">
        <v>0</v>
      </c>
      <c r="K4274" t="n">
        <v>0</v>
      </c>
      <c r="L4274" t="n">
        <v>0</v>
      </c>
      <c r="M4274" t="n">
        <v>0</v>
      </c>
      <c r="N4274" t="n">
        <v>0</v>
      </c>
      <c r="O4274" t="n">
        <v>0</v>
      </c>
      <c r="P4274" t="n">
        <v>0</v>
      </c>
      <c r="Q4274" t="n">
        <v>0</v>
      </c>
      <c r="R4274" s="2" t="inlineStr"/>
    </row>
    <row r="4275" ht="15" customHeight="1">
      <c r="A4275" t="inlineStr">
        <is>
          <t>A 11306-2020</t>
        </is>
      </c>
      <c r="B4275" s="1" t="n">
        <v>43892</v>
      </c>
      <c r="C4275" s="1" t="n">
        <v>45212</v>
      </c>
      <c r="D4275" t="inlineStr">
        <is>
          <t>VÄSTRA GÖTALANDS LÄN</t>
        </is>
      </c>
      <c r="E4275" t="inlineStr">
        <is>
          <t>ALINGSÅS</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11319-2020</t>
        </is>
      </c>
      <c r="B4276" s="1" t="n">
        <v>43892</v>
      </c>
      <c r="C4276" s="1" t="n">
        <v>45212</v>
      </c>
      <c r="D4276" t="inlineStr">
        <is>
          <t>VÄSTRA GÖTALANDS LÄN</t>
        </is>
      </c>
      <c r="E4276" t="inlineStr">
        <is>
          <t>UDDEVALLA</t>
        </is>
      </c>
      <c r="G4276" t="n">
        <v>7.1</v>
      </c>
      <c r="H4276" t="n">
        <v>0</v>
      </c>
      <c r="I4276" t="n">
        <v>0</v>
      </c>
      <c r="J4276" t="n">
        <v>0</v>
      </c>
      <c r="K4276" t="n">
        <v>0</v>
      </c>
      <c r="L4276" t="n">
        <v>0</v>
      </c>
      <c r="M4276" t="n">
        <v>0</v>
      </c>
      <c r="N4276" t="n">
        <v>0</v>
      </c>
      <c r="O4276" t="n">
        <v>0</v>
      </c>
      <c r="P4276" t="n">
        <v>0</v>
      </c>
      <c r="Q4276" t="n">
        <v>0</v>
      </c>
      <c r="R4276" s="2" t="inlineStr"/>
    </row>
    <row r="4277" ht="15" customHeight="1">
      <c r="A4277" t="inlineStr">
        <is>
          <t>A 11230-2020</t>
        </is>
      </c>
      <c r="B4277" s="1" t="n">
        <v>43892</v>
      </c>
      <c r="C4277" s="1" t="n">
        <v>45212</v>
      </c>
      <c r="D4277" t="inlineStr">
        <is>
          <t>VÄSTRA GÖTALANDS LÄN</t>
        </is>
      </c>
      <c r="E4277" t="inlineStr">
        <is>
          <t>BENGTSFORS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11265-2020</t>
        </is>
      </c>
      <c r="B4278" s="1" t="n">
        <v>43892</v>
      </c>
      <c r="C4278" s="1" t="n">
        <v>45212</v>
      </c>
      <c r="D4278" t="inlineStr">
        <is>
          <t>VÄSTRA GÖTALANDS LÄN</t>
        </is>
      </c>
      <c r="E4278" t="inlineStr">
        <is>
          <t>SVENLJUNGA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11302-2020</t>
        </is>
      </c>
      <c r="B4279" s="1" t="n">
        <v>43892</v>
      </c>
      <c r="C4279" s="1" t="n">
        <v>45212</v>
      </c>
      <c r="D4279" t="inlineStr">
        <is>
          <t>VÄSTRA GÖTALANDS LÄN</t>
        </is>
      </c>
      <c r="E4279" t="inlineStr">
        <is>
          <t>VÅRGÅRDA</t>
        </is>
      </c>
      <c r="G4279" t="n">
        <v>1.1</v>
      </c>
      <c r="H4279" t="n">
        <v>0</v>
      </c>
      <c r="I4279" t="n">
        <v>0</v>
      </c>
      <c r="J4279" t="n">
        <v>0</v>
      </c>
      <c r="K4279" t="n">
        <v>0</v>
      </c>
      <c r="L4279" t="n">
        <v>0</v>
      </c>
      <c r="M4279" t="n">
        <v>0</v>
      </c>
      <c r="N4279" t="n">
        <v>0</v>
      </c>
      <c r="O4279" t="n">
        <v>0</v>
      </c>
      <c r="P4279" t="n">
        <v>0</v>
      </c>
      <c r="Q4279" t="n">
        <v>0</v>
      </c>
      <c r="R4279" s="2" t="inlineStr"/>
    </row>
    <row r="4280" ht="15" customHeight="1">
      <c r="A4280" t="inlineStr">
        <is>
          <t>A 11309-2020</t>
        </is>
      </c>
      <c r="B4280" s="1" t="n">
        <v>43892</v>
      </c>
      <c r="C4280" s="1" t="n">
        <v>45212</v>
      </c>
      <c r="D4280" t="inlineStr">
        <is>
          <t>VÄSTRA GÖTALANDS LÄN</t>
        </is>
      </c>
      <c r="E4280" t="inlineStr">
        <is>
          <t>ALINGSÅS</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11315-2020</t>
        </is>
      </c>
      <c r="B4281" s="1" t="n">
        <v>43892</v>
      </c>
      <c r="C4281" s="1" t="n">
        <v>45212</v>
      </c>
      <c r="D4281" t="inlineStr">
        <is>
          <t>VÄSTRA GÖTALANDS LÄN</t>
        </is>
      </c>
      <c r="E4281" t="inlineStr">
        <is>
          <t>LILLA EDET</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11351-2020</t>
        </is>
      </c>
      <c r="B4282" s="1" t="n">
        <v>43892</v>
      </c>
      <c r="C4282" s="1" t="n">
        <v>45212</v>
      </c>
      <c r="D4282" t="inlineStr">
        <is>
          <t>VÄSTRA GÖTALANDS LÄN</t>
        </is>
      </c>
      <c r="E4282" t="inlineStr">
        <is>
          <t>LIDKÖPING</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11554-2020</t>
        </is>
      </c>
      <c r="B4283" s="1" t="n">
        <v>43893</v>
      </c>
      <c r="C4283" s="1" t="n">
        <v>45212</v>
      </c>
      <c r="D4283" t="inlineStr">
        <is>
          <t>VÄSTRA GÖTALANDS LÄN</t>
        </is>
      </c>
      <c r="E4283" t="inlineStr">
        <is>
          <t>HJO</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11586-2020</t>
        </is>
      </c>
      <c r="B4284" s="1" t="n">
        <v>43893</v>
      </c>
      <c r="C4284" s="1" t="n">
        <v>45212</v>
      </c>
      <c r="D4284" t="inlineStr">
        <is>
          <t>VÄSTRA GÖTALANDS LÄN</t>
        </is>
      </c>
      <c r="E4284" t="inlineStr">
        <is>
          <t>MARK</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11643-2020</t>
        </is>
      </c>
      <c r="B4285" s="1" t="n">
        <v>43893</v>
      </c>
      <c r="C4285" s="1" t="n">
        <v>45212</v>
      </c>
      <c r="D4285" t="inlineStr">
        <is>
          <t>VÄSTRA GÖTALANDS LÄN</t>
        </is>
      </c>
      <c r="E4285" t="inlineStr">
        <is>
          <t>VARA</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11443-2020</t>
        </is>
      </c>
      <c r="B4286" s="1" t="n">
        <v>43893</v>
      </c>
      <c r="C4286" s="1" t="n">
        <v>45212</v>
      </c>
      <c r="D4286" t="inlineStr">
        <is>
          <t>VÄSTRA GÖTALANDS LÄN</t>
        </is>
      </c>
      <c r="E4286" t="inlineStr">
        <is>
          <t>MARK</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11479-2020</t>
        </is>
      </c>
      <c r="B4287" s="1" t="n">
        <v>43893</v>
      </c>
      <c r="C4287" s="1" t="n">
        <v>45212</v>
      </c>
      <c r="D4287" t="inlineStr">
        <is>
          <t>VÄSTRA GÖTALANDS LÄN</t>
        </is>
      </c>
      <c r="E4287" t="inlineStr">
        <is>
          <t>MARK</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11556-2020</t>
        </is>
      </c>
      <c r="B4288" s="1" t="n">
        <v>43893</v>
      </c>
      <c r="C4288" s="1" t="n">
        <v>45212</v>
      </c>
      <c r="D4288" t="inlineStr">
        <is>
          <t>VÄSTRA GÖTALANDS LÄN</t>
        </is>
      </c>
      <c r="E4288" t="inlineStr">
        <is>
          <t>HJO</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11632-2020</t>
        </is>
      </c>
      <c r="B4289" s="1" t="n">
        <v>43893</v>
      </c>
      <c r="C4289" s="1" t="n">
        <v>45212</v>
      </c>
      <c r="D4289" t="inlineStr">
        <is>
          <t>VÄSTRA GÖTALANDS LÄN</t>
        </is>
      </c>
      <c r="E4289" t="inlineStr">
        <is>
          <t>TRANEMO</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12810-2020</t>
        </is>
      </c>
      <c r="B4290" s="1" t="n">
        <v>43893</v>
      </c>
      <c r="C4290" s="1" t="n">
        <v>45212</v>
      </c>
      <c r="D4290" t="inlineStr">
        <is>
          <t>VÄSTRA GÖTALANDS LÄN</t>
        </is>
      </c>
      <c r="E4290" t="inlineStr">
        <is>
          <t>TANUM</t>
        </is>
      </c>
      <c r="G4290" t="n">
        <v>4.8</v>
      </c>
      <c r="H4290" t="n">
        <v>0</v>
      </c>
      <c r="I4290" t="n">
        <v>0</v>
      </c>
      <c r="J4290" t="n">
        <v>0</v>
      </c>
      <c r="K4290" t="n">
        <v>0</v>
      </c>
      <c r="L4290" t="n">
        <v>0</v>
      </c>
      <c r="M4290" t="n">
        <v>0</v>
      </c>
      <c r="N4290" t="n">
        <v>0</v>
      </c>
      <c r="O4290" t="n">
        <v>0</v>
      </c>
      <c r="P4290" t="n">
        <v>0</v>
      </c>
      <c r="Q4290" t="n">
        <v>0</v>
      </c>
      <c r="R4290" s="2" t="inlineStr"/>
    </row>
    <row r="4291" ht="15" customHeight="1">
      <c r="A4291" t="inlineStr">
        <is>
          <t>A 11493-2020</t>
        </is>
      </c>
      <c r="B4291" s="1" t="n">
        <v>43893</v>
      </c>
      <c r="C4291" s="1" t="n">
        <v>45212</v>
      </c>
      <c r="D4291" t="inlineStr">
        <is>
          <t>VÄSTRA GÖTALANDS LÄN</t>
        </is>
      </c>
      <c r="E4291" t="inlineStr">
        <is>
          <t>TÖREBODA</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11579-2020</t>
        </is>
      </c>
      <c r="B4292" s="1" t="n">
        <v>43893</v>
      </c>
      <c r="C4292" s="1" t="n">
        <v>45212</v>
      </c>
      <c r="D4292" t="inlineStr">
        <is>
          <t>VÄSTRA GÖTALANDS LÄN</t>
        </is>
      </c>
      <c r="E4292" t="inlineStr">
        <is>
          <t>ULRICEHAMN</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11724-2020</t>
        </is>
      </c>
      <c r="B4293" s="1" t="n">
        <v>43894</v>
      </c>
      <c r="C4293" s="1" t="n">
        <v>45212</v>
      </c>
      <c r="D4293" t="inlineStr">
        <is>
          <t>VÄSTRA GÖTALANDS LÄN</t>
        </is>
      </c>
      <c r="E4293" t="inlineStr">
        <is>
          <t>FÄRGELANDA</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11831-2020</t>
        </is>
      </c>
      <c r="B4294" s="1" t="n">
        <v>43894</v>
      </c>
      <c r="C4294" s="1" t="n">
        <v>45212</v>
      </c>
      <c r="D4294" t="inlineStr">
        <is>
          <t>VÄSTRA GÖTALANDS LÄN</t>
        </is>
      </c>
      <c r="E4294" t="inlineStr">
        <is>
          <t>ULRICEHAMN</t>
        </is>
      </c>
      <c r="G4294" t="n">
        <v>0.5</v>
      </c>
      <c r="H4294" t="n">
        <v>0</v>
      </c>
      <c r="I4294" t="n">
        <v>0</v>
      </c>
      <c r="J4294" t="n">
        <v>0</v>
      </c>
      <c r="K4294" t="n">
        <v>0</v>
      </c>
      <c r="L4294" t="n">
        <v>0</v>
      </c>
      <c r="M4294" t="n">
        <v>0</v>
      </c>
      <c r="N4294" t="n">
        <v>0</v>
      </c>
      <c r="O4294" t="n">
        <v>0</v>
      </c>
      <c r="P4294" t="n">
        <v>0</v>
      </c>
      <c r="Q4294" t="n">
        <v>0</v>
      </c>
      <c r="R4294" s="2" t="inlineStr"/>
    </row>
    <row r="4295" ht="15" customHeight="1">
      <c r="A4295" t="inlineStr">
        <is>
          <t>A 11864-2020</t>
        </is>
      </c>
      <c r="B4295" s="1" t="n">
        <v>43894</v>
      </c>
      <c r="C4295" s="1" t="n">
        <v>45212</v>
      </c>
      <c r="D4295" t="inlineStr">
        <is>
          <t>VÄSTRA GÖTALANDS LÄN</t>
        </is>
      </c>
      <c r="E4295" t="inlineStr">
        <is>
          <t>LYSEKIL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12013-2020</t>
        </is>
      </c>
      <c r="B4296" s="1" t="n">
        <v>43894</v>
      </c>
      <c r="C4296" s="1" t="n">
        <v>45212</v>
      </c>
      <c r="D4296" t="inlineStr">
        <is>
          <t>VÄSTRA GÖTALANDS LÄN</t>
        </is>
      </c>
      <c r="E4296" t="inlineStr">
        <is>
          <t>ÅMÅL</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12052-2020</t>
        </is>
      </c>
      <c r="B4297" s="1" t="n">
        <v>43894</v>
      </c>
      <c r="C4297" s="1" t="n">
        <v>45212</v>
      </c>
      <c r="D4297" t="inlineStr">
        <is>
          <t>VÄSTRA GÖTALANDS LÄN</t>
        </is>
      </c>
      <c r="E4297" t="inlineStr">
        <is>
          <t>TÖREBODA</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13421-2020</t>
        </is>
      </c>
      <c r="B4298" s="1" t="n">
        <v>43894</v>
      </c>
      <c r="C4298" s="1" t="n">
        <v>45212</v>
      </c>
      <c r="D4298" t="inlineStr">
        <is>
          <t>VÄSTRA GÖTALANDS LÄN</t>
        </is>
      </c>
      <c r="E4298" t="inlineStr">
        <is>
          <t>DALS-ED</t>
        </is>
      </c>
      <c r="G4298" t="n">
        <v>2.9</v>
      </c>
      <c r="H4298" t="n">
        <v>0</v>
      </c>
      <c r="I4298" t="n">
        <v>0</v>
      </c>
      <c r="J4298" t="n">
        <v>0</v>
      </c>
      <c r="K4298" t="n">
        <v>0</v>
      </c>
      <c r="L4298" t="n">
        <v>0</v>
      </c>
      <c r="M4298" t="n">
        <v>0</v>
      </c>
      <c r="N4298" t="n">
        <v>0</v>
      </c>
      <c r="O4298" t="n">
        <v>0</v>
      </c>
      <c r="P4298" t="n">
        <v>0</v>
      </c>
      <c r="Q4298" t="n">
        <v>0</v>
      </c>
      <c r="R4298" s="2" t="inlineStr"/>
    </row>
    <row r="4299" ht="15" customHeight="1">
      <c r="A4299" t="inlineStr">
        <is>
          <t>A 13490-2020</t>
        </is>
      </c>
      <c r="B4299" s="1" t="n">
        <v>43894</v>
      </c>
      <c r="C4299" s="1" t="n">
        <v>45212</v>
      </c>
      <c r="D4299" t="inlineStr">
        <is>
          <t>VÄSTRA GÖTALANDS LÄN</t>
        </is>
      </c>
      <c r="E4299" t="inlineStr">
        <is>
          <t>GRÄSTORP</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11852-2020</t>
        </is>
      </c>
      <c r="B4300" s="1" t="n">
        <v>43894</v>
      </c>
      <c r="C4300" s="1" t="n">
        <v>45212</v>
      </c>
      <c r="D4300" t="inlineStr">
        <is>
          <t>VÄSTRA GÖTALANDS LÄN</t>
        </is>
      </c>
      <c r="E4300" t="inlineStr">
        <is>
          <t>TIDAHOLM</t>
        </is>
      </c>
      <c r="F4300" t="inlineStr">
        <is>
          <t>Sveaskog</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11869-2020</t>
        </is>
      </c>
      <c r="B4301" s="1" t="n">
        <v>43894</v>
      </c>
      <c r="C4301" s="1" t="n">
        <v>45212</v>
      </c>
      <c r="D4301" t="inlineStr">
        <is>
          <t>VÄSTRA GÖTALANDS LÄN</t>
        </is>
      </c>
      <c r="E4301" t="inlineStr">
        <is>
          <t>FALKÖPING</t>
        </is>
      </c>
      <c r="G4301" t="n">
        <v>6.5</v>
      </c>
      <c r="H4301" t="n">
        <v>0</v>
      </c>
      <c r="I4301" t="n">
        <v>0</v>
      </c>
      <c r="J4301" t="n">
        <v>0</v>
      </c>
      <c r="K4301" t="n">
        <v>0</v>
      </c>
      <c r="L4301" t="n">
        <v>0</v>
      </c>
      <c r="M4301" t="n">
        <v>0</v>
      </c>
      <c r="N4301" t="n">
        <v>0</v>
      </c>
      <c r="O4301" t="n">
        <v>0</v>
      </c>
      <c r="P4301" t="n">
        <v>0</v>
      </c>
      <c r="Q4301" t="n">
        <v>0</v>
      </c>
      <c r="R4301" s="2" t="inlineStr"/>
    </row>
    <row r="4302" ht="15" customHeight="1">
      <c r="A4302" t="inlineStr">
        <is>
          <t>A 11981-2020</t>
        </is>
      </c>
      <c r="B4302" s="1" t="n">
        <v>43894</v>
      </c>
      <c r="C4302" s="1" t="n">
        <v>45212</v>
      </c>
      <c r="D4302" t="inlineStr">
        <is>
          <t>VÄSTRA GÖTALANDS LÄN</t>
        </is>
      </c>
      <c r="E4302" t="inlineStr">
        <is>
          <t>TRANEMO</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11732-2020</t>
        </is>
      </c>
      <c r="B4303" s="1" t="n">
        <v>43894</v>
      </c>
      <c r="C4303" s="1" t="n">
        <v>45212</v>
      </c>
      <c r="D4303" t="inlineStr">
        <is>
          <t>VÄSTRA GÖTALANDS LÄN</t>
        </is>
      </c>
      <c r="E4303" t="inlineStr">
        <is>
          <t>SVENLJUNGA</t>
        </is>
      </c>
      <c r="G4303" t="n">
        <v>7</v>
      </c>
      <c r="H4303" t="n">
        <v>0</v>
      </c>
      <c r="I4303" t="n">
        <v>0</v>
      </c>
      <c r="J4303" t="n">
        <v>0</v>
      </c>
      <c r="K4303" t="n">
        <v>0</v>
      </c>
      <c r="L4303" t="n">
        <v>0</v>
      </c>
      <c r="M4303" t="n">
        <v>0</v>
      </c>
      <c r="N4303" t="n">
        <v>0</v>
      </c>
      <c r="O4303" t="n">
        <v>0</v>
      </c>
      <c r="P4303" t="n">
        <v>0</v>
      </c>
      <c r="Q4303" t="n">
        <v>0</v>
      </c>
      <c r="R4303" s="2" t="inlineStr"/>
    </row>
    <row r="4304" ht="15" customHeight="1">
      <c r="A4304" t="inlineStr">
        <is>
          <t>A 11877-2020</t>
        </is>
      </c>
      <c r="B4304" s="1" t="n">
        <v>43894</v>
      </c>
      <c r="C4304" s="1" t="n">
        <v>45212</v>
      </c>
      <c r="D4304" t="inlineStr">
        <is>
          <t>VÄSTRA GÖTALANDS LÄN</t>
        </is>
      </c>
      <c r="E4304" t="inlineStr">
        <is>
          <t>GÖTENE</t>
        </is>
      </c>
      <c r="F4304" t="inlineStr">
        <is>
          <t>Kyrkan</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12010-2020</t>
        </is>
      </c>
      <c r="B4305" s="1" t="n">
        <v>43894</v>
      </c>
      <c r="C4305" s="1" t="n">
        <v>45212</v>
      </c>
      <c r="D4305" t="inlineStr">
        <is>
          <t>VÄSTRA GÖTALANDS LÄN</t>
        </is>
      </c>
      <c r="E4305" t="inlineStr">
        <is>
          <t>BENGTSFORS</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12787-2020</t>
        </is>
      </c>
      <c r="B4306" s="1" t="n">
        <v>43894</v>
      </c>
      <c r="C4306" s="1" t="n">
        <v>45212</v>
      </c>
      <c r="D4306" t="inlineStr">
        <is>
          <t>VÄSTRA GÖTALANDS LÄN</t>
        </is>
      </c>
      <c r="E4306" t="inlineStr">
        <is>
          <t>UDDEVALLA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12073-2020</t>
        </is>
      </c>
      <c r="B4307" s="1" t="n">
        <v>43895</v>
      </c>
      <c r="C4307" s="1" t="n">
        <v>45212</v>
      </c>
      <c r="D4307" t="inlineStr">
        <is>
          <t>VÄSTRA GÖTALANDS LÄN</t>
        </is>
      </c>
      <c r="E4307" t="inlineStr">
        <is>
          <t>SKARA</t>
        </is>
      </c>
      <c r="G4307" t="n">
        <v>3.8</v>
      </c>
      <c r="H4307" t="n">
        <v>0</v>
      </c>
      <c r="I4307" t="n">
        <v>0</v>
      </c>
      <c r="J4307" t="n">
        <v>0</v>
      </c>
      <c r="K4307" t="n">
        <v>0</v>
      </c>
      <c r="L4307" t="n">
        <v>0</v>
      </c>
      <c r="M4307" t="n">
        <v>0</v>
      </c>
      <c r="N4307" t="n">
        <v>0</v>
      </c>
      <c r="O4307" t="n">
        <v>0</v>
      </c>
      <c r="P4307" t="n">
        <v>0</v>
      </c>
      <c r="Q4307" t="n">
        <v>0</v>
      </c>
      <c r="R4307" s="2" t="inlineStr"/>
    </row>
    <row r="4308" ht="15" customHeight="1">
      <c r="A4308" t="inlineStr">
        <is>
          <t>A 12183-2020</t>
        </is>
      </c>
      <c r="B4308" s="1" t="n">
        <v>43895</v>
      </c>
      <c r="C4308" s="1" t="n">
        <v>45212</v>
      </c>
      <c r="D4308" t="inlineStr">
        <is>
          <t>VÄSTRA GÖTALANDS LÄN</t>
        </is>
      </c>
      <c r="E4308" t="inlineStr">
        <is>
          <t>ALINGSÅS</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12263-2020</t>
        </is>
      </c>
      <c r="B4309" s="1" t="n">
        <v>43895</v>
      </c>
      <c r="C4309" s="1" t="n">
        <v>45212</v>
      </c>
      <c r="D4309" t="inlineStr">
        <is>
          <t>VÄSTRA GÖTALANDS LÄN</t>
        </is>
      </c>
      <c r="E4309" t="inlineStr">
        <is>
          <t>MUNKEDAL</t>
        </is>
      </c>
      <c r="G4309" t="n">
        <v>1.1</v>
      </c>
      <c r="H4309" t="n">
        <v>0</v>
      </c>
      <c r="I4309" t="n">
        <v>0</v>
      </c>
      <c r="J4309" t="n">
        <v>0</v>
      </c>
      <c r="K4309" t="n">
        <v>0</v>
      </c>
      <c r="L4309" t="n">
        <v>0</v>
      </c>
      <c r="M4309" t="n">
        <v>0</v>
      </c>
      <c r="N4309" t="n">
        <v>0</v>
      </c>
      <c r="O4309" t="n">
        <v>0</v>
      </c>
      <c r="P4309" t="n">
        <v>0</v>
      </c>
      <c r="Q4309" t="n">
        <v>0</v>
      </c>
      <c r="R4309" s="2" t="inlineStr"/>
    </row>
    <row r="4310" ht="15" customHeight="1">
      <c r="A4310" t="inlineStr">
        <is>
          <t>A 13751-2020</t>
        </is>
      </c>
      <c r="B4310" s="1" t="n">
        <v>43896</v>
      </c>
      <c r="C4310" s="1" t="n">
        <v>45212</v>
      </c>
      <c r="D4310" t="inlineStr">
        <is>
          <t>VÄSTRA GÖTALANDS LÄN</t>
        </is>
      </c>
      <c r="E4310" t="inlineStr">
        <is>
          <t>MUNKEDAL</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13736-2020</t>
        </is>
      </c>
      <c r="B4311" s="1" t="n">
        <v>43896</v>
      </c>
      <c r="C4311" s="1" t="n">
        <v>45212</v>
      </c>
      <c r="D4311" t="inlineStr">
        <is>
          <t>VÄSTRA GÖTALANDS LÄN</t>
        </is>
      </c>
      <c r="E4311" t="inlineStr">
        <is>
          <t>MUNKEDAL</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13755-2020</t>
        </is>
      </c>
      <c r="B4312" s="1" t="n">
        <v>43896</v>
      </c>
      <c r="C4312" s="1" t="n">
        <v>45212</v>
      </c>
      <c r="D4312" t="inlineStr">
        <is>
          <t>VÄSTRA GÖTALANDS LÄN</t>
        </is>
      </c>
      <c r="E4312" t="inlineStr">
        <is>
          <t>MUNKEDAL</t>
        </is>
      </c>
      <c r="G4312" t="n">
        <v>37.8</v>
      </c>
      <c r="H4312" t="n">
        <v>0</v>
      </c>
      <c r="I4312" t="n">
        <v>0</v>
      </c>
      <c r="J4312" t="n">
        <v>0</v>
      </c>
      <c r="K4312" t="n">
        <v>0</v>
      </c>
      <c r="L4312" t="n">
        <v>0</v>
      </c>
      <c r="M4312" t="n">
        <v>0</v>
      </c>
      <c r="N4312" t="n">
        <v>0</v>
      </c>
      <c r="O4312" t="n">
        <v>0</v>
      </c>
      <c r="P4312" t="n">
        <v>0</v>
      </c>
      <c r="Q4312" t="n">
        <v>0</v>
      </c>
      <c r="R4312" s="2" t="inlineStr"/>
    </row>
    <row r="4313" ht="15" customHeight="1">
      <c r="A4313" t="inlineStr">
        <is>
          <t>A 12477-2020</t>
        </is>
      </c>
      <c r="B4313" s="1" t="n">
        <v>43896</v>
      </c>
      <c r="C4313" s="1" t="n">
        <v>45212</v>
      </c>
      <c r="D4313" t="inlineStr">
        <is>
          <t>VÄSTRA GÖTALANDS LÄN</t>
        </is>
      </c>
      <c r="E4313" t="inlineStr">
        <is>
          <t>MUNKEDAL</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13752-2020</t>
        </is>
      </c>
      <c r="B4314" s="1" t="n">
        <v>43896</v>
      </c>
      <c r="C4314" s="1" t="n">
        <v>45212</v>
      </c>
      <c r="D4314" t="inlineStr">
        <is>
          <t>VÄSTRA GÖTALANDS LÄN</t>
        </is>
      </c>
      <c r="E4314" t="inlineStr">
        <is>
          <t>MUNKEDAL</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12554-2020</t>
        </is>
      </c>
      <c r="B4315" s="1" t="n">
        <v>43898</v>
      </c>
      <c r="C4315" s="1" t="n">
        <v>45212</v>
      </c>
      <c r="D4315" t="inlineStr">
        <is>
          <t>VÄSTRA GÖTALANDS LÄN</t>
        </is>
      </c>
      <c r="E4315" t="inlineStr">
        <is>
          <t>BORÅS</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14166-2020</t>
        </is>
      </c>
      <c r="B4316" s="1" t="n">
        <v>43899</v>
      </c>
      <c r="C4316" s="1" t="n">
        <v>45212</v>
      </c>
      <c r="D4316" t="inlineStr">
        <is>
          <t>VÄSTRA GÖTALANDS LÄN</t>
        </is>
      </c>
      <c r="E4316" t="inlineStr">
        <is>
          <t>BENGTSFORS</t>
        </is>
      </c>
      <c r="F4316" t="inlineStr">
        <is>
          <t>Kyrkan</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12583-2020</t>
        </is>
      </c>
      <c r="B4317" s="1" t="n">
        <v>43899</v>
      </c>
      <c r="C4317" s="1" t="n">
        <v>45212</v>
      </c>
      <c r="D4317" t="inlineStr">
        <is>
          <t>VÄSTRA GÖTALANDS LÄN</t>
        </is>
      </c>
      <c r="E4317" t="inlineStr">
        <is>
          <t>TIDAHOLM</t>
        </is>
      </c>
      <c r="F4317" t="inlineStr">
        <is>
          <t>Sveaskog</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12857-2020</t>
        </is>
      </c>
      <c r="B4318" s="1" t="n">
        <v>43899</v>
      </c>
      <c r="C4318" s="1" t="n">
        <v>45212</v>
      </c>
      <c r="D4318" t="inlineStr">
        <is>
          <t>VÄSTRA GÖTALANDS LÄN</t>
        </is>
      </c>
      <c r="E4318" t="inlineStr">
        <is>
          <t>BENGTSFORS</t>
        </is>
      </c>
      <c r="G4318" t="n">
        <v>0.5</v>
      </c>
      <c r="H4318" t="n">
        <v>0</v>
      </c>
      <c r="I4318" t="n">
        <v>0</v>
      </c>
      <c r="J4318" t="n">
        <v>0</v>
      </c>
      <c r="K4318" t="n">
        <v>0</v>
      </c>
      <c r="L4318" t="n">
        <v>0</v>
      </c>
      <c r="M4318" t="n">
        <v>0</v>
      </c>
      <c r="N4318" t="n">
        <v>0</v>
      </c>
      <c r="O4318" t="n">
        <v>0</v>
      </c>
      <c r="P4318" t="n">
        <v>0</v>
      </c>
      <c r="Q4318" t="n">
        <v>0</v>
      </c>
      <c r="R4318" s="2" t="inlineStr"/>
    </row>
    <row r="4319" ht="15" customHeight="1">
      <c r="A4319" t="inlineStr">
        <is>
          <t>A 12582-2020</t>
        </is>
      </c>
      <c r="B4319" s="1" t="n">
        <v>43899</v>
      </c>
      <c r="C4319" s="1" t="n">
        <v>45212</v>
      </c>
      <c r="D4319" t="inlineStr">
        <is>
          <t>VÄSTRA GÖTALANDS LÄN</t>
        </is>
      </c>
      <c r="E4319" t="inlineStr">
        <is>
          <t>DALS-ED</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12840-2020</t>
        </is>
      </c>
      <c r="B4320" s="1" t="n">
        <v>43899</v>
      </c>
      <c r="C4320" s="1" t="n">
        <v>45212</v>
      </c>
      <c r="D4320" t="inlineStr">
        <is>
          <t>VÄSTRA GÖTALANDS LÄN</t>
        </is>
      </c>
      <c r="E4320" t="inlineStr">
        <is>
          <t>TRANEMO</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12865-2020</t>
        </is>
      </c>
      <c r="B4321" s="1" t="n">
        <v>43899</v>
      </c>
      <c r="C4321" s="1" t="n">
        <v>45212</v>
      </c>
      <c r="D4321" t="inlineStr">
        <is>
          <t>VÄSTRA GÖTALANDS LÄN</t>
        </is>
      </c>
      <c r="E4321" t="inlineStr">
        <is>
          <t>MUNKEDAL</t>
        </is>
      </c>
      <c r="G4321" t="n">
        <v>7.1</v>
      </c>
      <c r="H4321" t="n">
        <v>0</v>
      </c>
      <c r="I4321" t="n">
        <v>0</v>
      </c>
      <c r="J4321" t="n">
        <v>0</v>
      </c>
      <c r="K4321" t="n">
        <v>0</v>
      </c>
      <c r="L4321" t="n">
        <v>0</v>
      </c>
      <c r="M4321" t="n">
        <v>0</v>
      </c>
      <c r="N4321" t="n">
        <v>0</v>
      </c>
      <c r="O4321" t="n">
        <v>0</v>
      </c>
      <c r="P4321" t="n">
        <v>0</v>
      </c>
      <c r="Q4321" t="n">
        <v>0</v>
      </c>
      <c r="R4321" s="2" t="inlineStr"/>
    </row>
    <row r="4322" ht="15" customHeight="1">
      <c r="A4322" t="inlineStr">
        <is>
          <t>A 12872-2020</t>
        </is>
      </c>
      <c r="B4322" s="1" t="n">
        <v>43899</v>
      </c>
      <c r="C4322" s="1" t="n">
        <v>45212</v>
      </c>
      <c r="D4322" t="inlineStr">
        <is>
          <t>VÄSTRA GÖTALANDS LÄN</t>
        </is>
      </c>
      <c r="E4322" t="inlineStr">
        <is>
          <t>MUNKEDAL</t>
        </is>
      </c>
      <c r="G4322" t="n">
        <v>3.6</v>
      </c>
      <c r="H4322" t="n">
        <v>0</v>
      </c>
      <c r="I4322" t="n">
        <v>0</v>
      </c>
      <c r="J4322" t="n">
        <v>0</v>
      </c>
      <c r="K4322" t="n">
        <v>0</v>
      </c>
      <c r="L4322" t="n">
        <v>0</v>
      </c>
      <c r="M4322" t="n">
        <v>0</v>
      </c>
      <c r="N4322" t="n">
        <v>0</v>
      </c>
      <c r="O4322" t="n">
        <v>0</v>
      </c>
      <c r="P4322" t="n">
        <v>0</v>
      </c>
      <c r="Q4322" t="n">
        <v>0</v>
      </c>
      <c r="R4322" s="2" t="inlineStr"/>
    </row>
    <row r="4323" ht="15" customHeight="1">
      <c r="A4323" t="inlineStr">
        <is>
          <t>A 13993-2020</t>
        </is>
      </c>
      <c r="B4323" s="1" t="n">
        <v>43899</v>
      </c>
      <c r="C4323" s="1" t="n">
        <v>45212</v>
      </c>
      <c r="D4323" t="inlineStr">
        <is>
          <t>VÄSTRA GÖTALANDS LÄN</t>
        </is>
      </c>
      <c r="E4323" t="inlineStr">
        <is>
          <t>UDDEVALLA</t>
        </is>
      </c>
      <c r="F4323" t="inlineStr">
        <is>
          <t>Kyrkan</t>
        </is>
      </c>
      <c r="G4323" t="n">
        <v>9.4</v>
      </c>
      <c r="H4323" t="n">
        <v>0</v>
      </c>
      <c r="I4323" t="n">
        <v>0</v>
      </c>
      <c r="J4323" t="n">
        <v>0</v>
      </c>
      <c r="K4323" t="n">
        <v>0</v>
      </c>
      <c r="L4323" t="n">
        <v>0</v>
      </c>
      <c r="M4323" t="n">
        <v>0</v>
      </c>
      <c r="N4323" t="n">
        <v>0</v>
      </c>
      <c r="O4323" t="n">
        <v>0</v>
      </c>
      <c r="P4323" t="n">
        <v>0</v>
      </c>
      <c r="Q4323" t="n">
        <v>0</v>
      </c>
      <c r="R4323" s="2" t="inlineStr"/>
    </row>
    <row r="4324" ht="15" customHeight="1">
      <c r="A4324" t="inlineStr">
        <is>
          <t>A 12597-2020</t>
        </is>
      </c>
      <c r="B4324" s="1" t="n">
        <v>43899</v>
      </c>
      <c r="C4324" s="1" t="n">
        <v>45212</v>
      </c>
      <c r="D4324" t="inlineStr">
        <is>
          <t>VÄSTRA GÖTALANDS LÄN</t>
        </is>
      </c>
      <c r="E4324" t="inlineStr">
        <is>
          <t>LIDKÖPING</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12693-2020</t>
        </is>
      </c>
      <c r="B4325" s="1" t="n">
        <v>43899</v>
      </c>
      <c r="C4325" s="1" t="n">
        <v>45212</v>
      </c>
      <c r="D4325" t="inlineStr">
        <is>
          <t>VÄSTRA GÖTALANDS LÄN</t>
        </is>
      </c>
      <c r="E4325" t="inlineStr">
        <is>
          <t>LIDKÖPING</t>
        </is>
      </c>
      <c r="G4325" t="n">
        <v>4.8</v>
      </c>
      <c r="H4325" t="n">
        <v>0</v>
      </c>
      <c r="I4325" t="n">
        <v>0</v>
      </c>
      <c r="J4325" t="n">
        <v>0</v>
      </c>
      <c r="K4325" t="n">
        <v>0</v>
      </c>
      <c r="L4325" t="n">
        <v>0</v>
      </c>
      <c r="M4325" t="n">
        <v>0</v>
      </c>
      <c r="N4325" t="n">
        <v>0</v>
      </c>
      <c r="O4325" t="n">
        <v>0</v>
      </c>
      <c r="P4325" t="n">
        <v>0</v>
      </c>
      <c r="Q4325" t="n">
        <v>0</v>
      </c>
      <c r="R4325" s="2" t="inlineStr"/>
    </row>
    <row r="4326" ht="15" customHeight="1">
      <c r="A4326" t="inlineStr">
        <is>
          <t>A 12835-2020</t>
        </is>
      </c>
      <c r="B4326" s="1" t="n">
        <v>43899</v>
      </c>
      <c r="C4326" s="1" t="n">
        <v>45212</v>
      </c>
      <c r="D4326" t="inlineStr">
        <is>
          <t>VÄSTRA GÖTALANDS LÄN</t>
        </is>
      </c>
      <c r="E4326" t="inlineStr">
        <is>
          <t>BENGTSFORS</t>
        </is>
      </c>
      <c r="G4326" t="n">
        <v>1.4</v>
      </c>
      <c r="H4326" t="n">
        <v>0</v>
      </c>
      <c r="I4326" t="n">
        <v>0</v>
      </c>
      <c r="J4326" t="n">
        <v>0</v>
      </c>
      <c r="K4326" t="n">
        <v>0</v>
      </c>
      <c r="L4326" t="n">
        <v>0</v>
      </c>
      <c r="M4326" t="n">
        <v>0</v>
      </c>
      <c r="N4326" t="n">
        <v>0</v>
      </c>
      <c r="O4326" t="n">
        <v>0</v>
      </c>
      <c r="P4326" t="n">
        <v>0</v>
      </c>
      <c r="Q4326" t="n">
        <v>0</v>
      </c>
      <c r="R4326" s="2" t="inlineStr"/>
    </row>
    <row r="4327" ht="15" customHeight="1">
      <c r="A4327" t="inlineStr">
        <is>
          <t>A 12860-2020</t>
        </is>
      </c>
      <c r="B4327" s="1" t="n">
        <v>43899</v>
      </c>
      <c r="C4327" s="1" t="n">
        <v>45212</v>
      </c>
      <c r="D4327" t="inlineStr">
        <is>
          <t>VÄSTRA GÖTALANDS LÄN</t>
        </is>
      </c>
      <c r="E4327" t="inlineStr">
        <is>
          <t>ULRICEHAMN</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12638-2020</t>
        </is>
      </c>
      <c r="B4328" s="1" t="n">
        <v>43899</v>
      </c>
      <c r="C4328" s="1" t="n">
        <v>45212</v>
      </c>
      <c r="D4328" t="inlineStr">
        <is>
          <t>VÄSTRA GÖTALANDS LÄN</t>
        </is>
      </c>
      <c r="E4328" t="inlineStr">
        <is>
          <t>ULRICEHAMN</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12697-2020</t>
        </is>
      </c>
      <c r="B4329" s="1" t="n">
        <v>43899</v>
      </c>
      <c r="C4329" s="1" t="n">
        <v>45212</v>
      </c>
      <c r="D4329" t="inlineStr">
        <is>
          <t>VÄSTRA GÖTALANDS LÄN</t>
        </is>
      </c>
      <c r="E4329" t="inlineStr">
        <is>
          <t>LIDKÖPING</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13316-2020</t>
        </is>
      </c>
      <c r="B4330" s="1" t="n">
        <v>43900</v>
      </c>
      <c r="C4330" s="1" t="n">
        <v>45212</v>
      </c>
      <c r="D4330" t="inlineStr">
        <is>
          <t>VÄSTRA GÖTALANDS LÄN</t>
        </is>
      </c>
      <c r="E4330" t="inlineStr">
        <is>
          <t>VARA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12994-2020</t>
        </is>
      </c>
      <c r="B4331" s="1" t="n">
        <v>43900</v>
      </c>
      <c r="C4331" s="1" t="n">
        <v>45212</v>
      </c>
      <c r="D4331" t="inlineStr">
        <is>
          <t>VÄSTRA GÖTALANDS LÄN</t>
        </is>
      </c>
      <c r="E4331" t="inlineStr">
        <is>
          <t>GRÄSTORP</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13009-2020</t>
        </is>
      </c>
      <c r="B4332" s="1" t="n">
        <v>43900</v>
      </c>
      <c r="C4332" s="1" t="n">
        <v>45212</v>
      </c>
      <c r="D4332" t="inlineStr">
        <is>
          <t>VÄSTRA GÖTALANDS LÄN</t>
        </is>
      </c>
      <c r="E4332" t="inlineStr">
        <is>
          <t>TIBRO</t>
        </is>
      </c>
      <c r="F4332" t="inlineStr">
        <is>
          <t>Sveaskog</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13020-2020</t>
        </is>
      </c>
      <c r="B4333" s="1" t="n">
        <v>43900</v>
      </c>
      <c r="C4333" s="1" t="n">
        <v>45212</v>
      </c>
      <c r="D4333" t="inlineStr">
        <is>
          <t>VÄSTRA GÖTALANDS LÄN</t>
        </is>
      </c>
      <c r="E4333" t="inlineStr">
        <is>
          <t>VÅRGÅRDA</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13024-2020</t>
        </is>
      </c>
      <c r="B4334" s="1" t="n">
        <v>43900</v>
      </c>
      <c r="C4334" s="1" t="n">
        <v>45212</v>
      </c>
      <c r="D4334" t="inlineStr">
        <is>
          <t>VÄSTRA GÖTALANDS LÄN</t>
        </is>
      </c>
      <c r="E4334" t="inlineStr">
        <is>
          <t>ALINGSÅS</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13055-2020</t>
        </is>
      </c>
      <c r="B4335" s="1" t="n">
        <v>43900</v>
      </c>
      <c r="C4335" s="1" t="n">
        <v>45212</v>
      </c>
      <c r="D4335" t="inlineStr">
        <is>
          <t>VÄSTRA GÖTALANDS LÄN</t>
        </is>
      </c>
      <c r="E4335" t="inlineStr">
        <is>
          <t>BENGTSFORS</t>
        </is>
      </c>
      <c r="G4335" t="n">
        <v>1.8</v>
      </c>
      <c r="H4335" t="n">
        <v>0</v>
      </c>
      <c r="I4335" t="n">
        <v>0</v>
      </c>
      <c r="J4335" t="n">
        <v>0</v>
      </c>
      <c r="K4335" t="n">
        <v>0</v>
      </c>
      <c r="L4335" t="n">
        <v>0</v>
      </c>
      <c r="M4335" t="n">
        <v>0</v>
      </c>
      <c r="N4335" t="n">
        <v>0</v>
      </c>
      <c r="O4335" t="n">
        <v>0</v>
      </c>
      <c r="P4335" t="n">
        <v>0</v>
      </c>
      <c r="Q4335" t="n">
        <v>0</v>
      </c>
      <c r="R4335" s="2" t="inlineStr"/>
    </row>
    <row r="4336" ht="15" customHeight="1">
      <c r="A4336" t="inlineStr">
        <is>
          <t>A 12932-2020</t>
        </is>
      </c>
      <c r="B4336" s="1" t="n">
        <v>43900</v>
      </c>
      <c r="C4336" s="1" t="n">
        <v>45212</v>
      </c>
      <c r="D4336" t="inlineStr">
        <is>
          <t>VÄSTRA GÖTALANDS LÄN</t>
        </is>
      </c>
      <c r="E4336" t="inlineStr">
        <is>
          <t>LILLA EDET</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12985-2020</t>
        </is>
      </c>
      <c r="B4337" s="1" t="n">
        <v>43900</v>
      </c>
      <c r="C4337" s="1" t="n">
        <v>45212</v>
      </c>
      <c r="D4337" t="inlineStr">
        <is>
          <t>VÄSTRA GÖTALANDS LÄN</t>
        </is>
      </c>
      <c r="E4337" t="inlineStr">
        <is>
          <t>GRÄSTORP</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13000-2020</t>
        </is>
      </c>
      <c r="B4338" s="1" t="n">
        <v>43900</v>
      </c>
      <c r="C4338" s="1" t="n">
        <v>45212</v>
      </c>
      <c r="D4338" t="inlineStr">
        <is>
          <t>VÄSTRA GÖTALANDS LÄN</t>
        </is>
      </c>
      <c r="E4338" t="inlineStr">
        <is>
          <t>BENGTSFORS</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13061-2020</t>
        </is>
      </c>
      <c r="B4339" s="1" t="n">
        <v>43900</v>
      </c>
      <c r="C4339" s="1" t="n">
        <v>45212</v>
      </c>
      <c r="D4339" t="inlineStr">
        <is>
          <t>VÄSTRA GÖTALANDS LÄN</t>
        </is>
      </c>
      <c r="E4339" t="inlineStr">
        <is>
          <t>BORÅS</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14123-2020</t>
        </is>
      </c>
      <c r="B4340" s="1" t="n">
        <v>43900</v>
      </c>
      <c r="C4340" s="1" t="n">
        <v>45212</v>
      </c>
      <c r="D4340" t="inlineStr">
        <is>
          <t>VÄSTRA GÖTALANDS LÄN</t>
        </is>
      </c>
      <c r="E4340" t="inlineStr">
        <is>
          <t>TANUM</t>
        </is>
      </c>
      <c r="F4340" t="inlineStr">
        <is>
          <t>Kyrkan</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14489-2020</t>
        </is>
      </c>
      <c r="B4341" s="1" t="n">
        <v>43900</v>
      </c>
      <c r="C4341" s="1" t="n">
        <v>45212</v>
      </c>
      <c r="D4341" t="inlineStr">
        <is>
          <t>VÄSTRA GÖTALANDS LÄN</t>
        </is>
      </c>
      <c r="E4341" t="inlineStr">
        <is>
          <t>TANUM</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14486-2020</t>
        </is>
      </c>
      <c r="B4342" s="1" t="n">
        <v>43900</v>
      </c>
      <c r="C4342" s="1" t="n">
        <v>45212</v>
      </c>
      <c r="D4342" t="inlineStr">
        <is>
          <t>VÄSTRA GÖTALANDS LÄN</t>
        </is>
      </c>
      <c r="E4342" t="inlineStr">
        <is>
          <t>TANUM</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12880-2020</t>
        </is>
      </c>
      <c r="B4343" s="1" t="n">
        <v>43900</v>
      </c>
      <c r="C4343" s="1" t="n">
        <v>45212</v>
      </c>
      <c r="D4343" t="inlineStr">
        <is>
          <t>VÄSTRA GÖTALANDS LÄN</t>
        </is>
      </c>
      <c r="E4343" t="inlineStr">
        <is>
          <t>TÖREBODA</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12966-2020</t>
        </is>
      </c>
      <c r="B4344" s="1" t="n">
        <v>43900</v>
      </c>
      <c r="C4344" s="1" t="n">
        <v>45212</v>
      </c>
      <c r="D4344" t="inlineStr">
        <is>
          <t>VÄSTRA GÖTALANDS LÄN</t>
        </is>
      </c>
      <c r="E4344" t="inlineStr">
        <is>
          <t>MARIESTAD</t>
        </is>
      </c>
      <c r="G4344" t="n">
        <v>1.5</v>
      </c>
      <c r="H4344" t="n">
        <v>0</v>
      </c>
      <c r="I4344" t="n">
        <v>0</v>
      </c>
      <c r="J4344" t="n">
        <v>0</v>
      </c>
      <c r="K4344" t="n">
        <v>0</v>
      </c>
      <c r="L4344" t="n">
        <v>0</v>
      </c>
      <c r="M4344" t="n">
        <v>0</v>
      </c>
      <c r="N4344" t="n">
        <v>0</v>
      </c>
      <c r="O4344" t="n">
        <v>0</v>
      </c>
      <c r="P4344" t="n">
        <v>0</v>
      </c>
      <c r="Q4344" t="n">
        <v>0</v>
      </c>
      <c r="R4344" s="2" t="inlineStr"/>
    </row>
    <row r="4345" ht="15" customHeight="1">
      <c r="A4345" t="inlineStr">
        <is>
          <t>A 12973-2020</t>
        </is>
      </c>
      <c r="B4345" s="1" t="n">
        <v>43900</v>
      </c>
      <c r="C4345" s="1" t="n">
        <v>45212</v>
      </c>
      <c r="D4345" t="inlineStr">
        <is>
          <t>VÄSTRA GÖTALANDS LÄN</t>
        </is>
      </c>
      <c r="E4345" t="inlineStr">
        <is>
          <t>SKÖVDE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13004-2020</t>
        </is>
      </c>
      <c r="B4346" s="1" t="n">
        <v>43900</v>
      </c>
      <c r="C4346" s="1" t="n">
        <v>45212</v>
      </c>
      <c r="D4346" t="inlineStr">
        <is>
          <t>VÄSTRA GÖTALANDS LÄN</t>
        </is>
      </c>
      <c r="E4346" t="inlineStr">
        <is>
          <t>GRÄSTORP</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13016-2020</t>
        </is>
      </c>
      <c r="B4347" s="1" t="n">
        <v>43900</v>
      </c>
      <c r="C4347" s="1" t="n">
        <v>45212</v>
      </c>
      <c r="D4347" t="inlineStr">
        <is>
          <t>VÄSTRA GÖTALANDS LÄN</t>
        </is>
      </c>
      <c r="E4347" t="inlineStr">
        <is>
          <t>VÅRGÅRDA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13022-2020</t>
        </is>
      </c>
      <c r="B4348" s="1" t="n">
        <v>43900</v>
      </c>
      <c r="C4348" s="1" t="n">
        <v>45212</v>
      </c>
      <c r="D4348" t="inlineStr">
        <is>
          <t>VÄSTRA GÖTALANDS LÄN</t>
        </is>
      </c>
      <c r="E4348" t="inlineStr">
        <is>
          <t>SVENLJUNGA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13159-2020</t>
        </is>
      </c>
      <c r="B4349" s="1" t="n">
        <v>43901</v>
      </c>
      <c r="C4349" s="1" t="n">
        <v>45212</v>
      </c>
      <c r="D4349" t="inlineStr">
        <is>
          <t>VÄSTRA GÖTALANDS LÄN</t>
        </is>
      </c>
      <c r="E4349" t="inlineStr">
        <is>
          <t>SKARA</t>
        </is>
      </c>
      <c r="F4349" t="inlineStr">
        <is>
          <t>Sveaskog</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13205-2020</t>
        </is>
      </c>
      <c r="B4350" s="1" t="n">
        <v>43901</v>
      </c>
      <c r="C4350" s="1" t="n">
        <v>45212</v>
      </c>
      <c r="D4350" t="inlineStr">
        <is>
          <t>VÄSTRA GÖTALANDS LÄN</t>
        </is>
      </c>
      <c r="E4350" t="inlineStr">
        <is>
          <t>SKARA</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13134-2020</t>
        </is>
      </c>
      <c r="B4351" s="1" t="n">
        <v>43901</v>
      </c>
      <c r="C4351" s="1" t="n">
        <v>45212</v>
      </c>
      <c r="D4351" t="inlineStr">
        <is>
          <t>VÄSTRA GÖTALANDS LÄN</t>
        </is>
      </c>
      <c r="E4351" t="inlineStr">
        <is>
          <t>DALS-ED</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13203-2020</t>
        </is>
      </c>
      <c r="B4352" s="1" t="n">
        <v>43901</v>
      </c>
      <c r="C4352" s="1" t="n">
        <v>45212</v>
      </c>
      <c r="D4352" t="inlineStr">
        <is>
          <t>VÄSTRA GÖTALANDS LÄN</t>
        </is>
      </c>
      <c r="E4352" t="inlineStr">
        <is>
          <t>ULRICEHAMN</t>
        </is>
      </c>
      <c r="G4352" t="n">
        <v>9.199999999999999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13210-2020</t>
        </is>
      </c>
      <c r="B4353" s="1" t="n">
        <v>43901</v>
      </c>
      <c r="C4353" s="1" t="n">
        <v>45212</v>
      </c>
      <c r="D4353" t="inlineStr">
        <is>
          <t>VÄSTRA GÖTALANDS LÄN</t>
        </is>
      </c>
      <c r="E4353" t="inlineStr">
        <is>
          <t>ULRICEHAMN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13289-2020</t>
        </is>
      </c>
      <c r="B4354" s="1" t="n">
        <v>43901</v>
      </c>
      <c r="C4354" s="1" t="n">
        <v>45212</v>
      </c>
      <c r="D4354" t="inlineStr">
        <is>
          <t>VÄSTRA GÖTALANDS LÄN</t>
        </is>
      </c>
      <c r="E4354" t="inlineStr">
        <is>
          <t>BENGTSFORS</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14603-2020</t>
        </is>
      </c>
      <c r="B4355" s="1" t="n">
        <v>43901</v>
      </c>
      <c r="C4355" s="1" t="n">
        <v>45212</v>
      </c>
      <c r="D4355" t="inlineStr">
        <is>
          <t>VÄSTRA GÖTALANDS LÄN</t>
        </is>
      </c>
      <c r="E4355" t="inlineStr">
        <is>
          <t>DALS-ED</t>
        </is>
      </c>
      <c r="F4355" t="inlineStr">
        <is>
          <t>Kyrkan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13136-2020</t>
        </is>
      </c>
      <c r="B4356" s="1" t="n">
        <v>43901</v>
      </c>
      <c r="C4356" s="1" t="n">
        <v>45212</v>
      </c>
      <c r="D4356" t="inlineStr">
        <is>
          <t>VÄSTRA GÖTALANDS LÄN</t>
        </is>
      </c>
      <c r="E4356" t="inlineStr">
        <is>
          <t>ULRICEHAMN</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13127-2020</t>
        </is>
      </c>
      <c r="B4357" s="1" t="n">
        <v>43901</v>
      </c>
      <c r="C4357" s="1" t="n">
        <v>45212</v>
      </c>
      <c r="D4357" t="inlineStr">
        <is>
          <t>VÄSTRA GÖTALANDS LÄN</t>
        </is>
      </c>
      <c r="E4357" t="inlineStr">
        <is>
          <t>DALS-ED</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13220-2020</t>
        </is>
      </c>
      <c r="B4358" s="1" t="n">
        <v>43901</v>
      </c>
      <c r="C4358" s="1" t="n">
        <v>45212</v>
      </c>
      <c r="D4358" t="inlineStr">
        <is>
          <t>VÄSTRA GÖTALANDS LÄN</t>
        </is>
      </c>
      <c r="E4358" t="inlineStr">
        <is>
          <t>ULRICEHAMN</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13432-2020</t>
        </is>
      </c>
      <c r="B4359" s="1" t="n">
        <v>43902</v>
      </c>
      <c r="C4359" s="1" t="n">
        <v>45212</v>
      </c>
      <c r="D4359" t="inlineStr">
        <is>
          <t>VÄSTRA GÖTALANDS LÄN</t>
        </is>
      </c>
      <c r="E4359" t="inlineStr">
        <is>
          <t>ALE</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13482-2020</t>
        </is>
      </c>
      <c r="B4360" s="1" t="n">
        <v>43902</v>
      </c>
      <c r="C4360" s="1" t="n">
        <v>45212</v>
      </c>
      <c r="D4360" t="inlineStr">
        <is>
          <t>VÄSTRA GÖTALANDS LÄN</t>
        </is>
      </c>
      <c r="E4360" t="inlineStr">
        <is>
          <t>MARK</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13521-2020</t>
        </is>
      </c>
      <c r="B4361" s="1" t="n">
        <v>43902</v>
      </c>
      <c r="C4361" s="1" t="n">
        <v>45212</v>
      </c>
      <c r="D4361" t="inlineStr">
        <is>
          <t>VÄSTRA GÖTALANDS LÄN</t>
        </is>
      </c>
      <c r="E4361" t="inlineStr">
        <is>
          <t>FÄRGELANDA</t>
        </is>
      </c>
      <c r="G4361" t="n">
        <v>4.8</v>
      </c>
      <c r="H4361" t="n">
        <v>0</v>
      </c>
      <c r="I4361" t="n">
        <v>0</v>
      </c>
      <c r="J4361" t="n">
        <v>0</v>
      </c>
      <c r="K4361" t="n">
        <v>0</v>
      </c>
      <c r="L4361" t="n">
        <v>0</v>
      </c>
      <c r="M4361" t="n">
        <v>0</v>
      </c>
      <c r="N4361" t="n">
        <v>0</v>
      </c>
      <c r="O4361" t="n">
        <v>0</v>
      </c>
      <c r="P4361" t="n">
        <v>0</v>
      </c>
      <c r="Q4361" t="n">
        <v>0</v>
      </c>
      <c r="R4361" s="2" t="inlineStr"/>
    </row>
    <row r="4362" ht="15" customHeight="1">
      <c r="A4362" t="inlineStr">
        <is>
          <t>A 13478-2020</t>
        </is>
      </c>
      <c r="B4362" s="1" t="n">
        <v>43902</v>
      </c>
      <c r="C4362" s="1" t="n">
        <v>45212</v>
      </c>
      <c r="D4362" t="inlineStr">
        <is>
          <t>VÄSTRA GÖTALANDS LÄN</t>
        </is>
      </c>
      <c r="E4362" t="inlineStr">
        <is>
          <t>ULRICEHAMN</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13536-2020</t>
        </is>
      </c>
      <c r="B4363" s="1" t="n">
        <v>43902</v>
      </c>
      <c r="C4363" s="1" t="n">
        <v>45212</v>
      </c>
      <c r="D4363" t="inlineStr">
        <is>
          <t>VÄSTRA GÖTALANDS LÄN</t>
        </is>
      </c>
      <c r="E4363" t="inlineStr">
        <is>
          <t>TIBRO</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14666-2020</t>
        </is>
      </c>
      <c r="B4364" s="1" t="n">
        <v>43902</v>
      </c>
      <c r="C4364" s="1" t="n">
        <v>45212</v>
      </c>
      <c r="D4364" t="inlineStr">
        <is>
          <t>VÄSTRA GÖTALANDS LÄN</t>
        </is>
      </c>
      <c r="E4364" t="inlineStr">
        <is>
          <t>KARLSBORG</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14748-2020</t>
        </is>
      </c>
      <c r="B4365" s="1" t="n">
        <v>43902</v>
      </c>
      <c r="C4365" s="1" t="n">
        <v>45212</v>
      </c>
      <c r="D4365" t="inlineStr">
        <is>
          <t>VÄSTRA GÖTALANDS LÄN</t>
        </is>
      </c>
      <c r="E4365" t="inlineStr">
        <is>
          <t>BENGTSFORS</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13327-2020</t>
        </is>
      </c>
      <c r="B4366" s="1" t="n">
        <v>43902</v>
      </c>
      <c r="C4366" s="1" t="n">
        <v>45212</v>
      </c>
      <c r="D4366" t="inlineStr">
        <is>
          <t>VÄSTRA GÖTALANDS LÄN</t>
        </is>
      </c>
      <c r="E4366" t="inlineStr">
        <is>
          <t>TIBRO</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13397-2020</t>
        </is>
      </c>
      <c r="B4367" s="1" t="n">
        <v>43902</v>
      </c>
      <c r="C4367" s="1" t="n">
        <v>45212</v>
      </c>
      <c r="D4367" t="inlineStr">
        <is>
          <t>VÄSTRA GÖTALANDS LÄN</t>
        </is>
      </c>
      <c r="E4367" t="inlineStr">
        <is>
          <t>SVENLJUNGA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14529-2020</t>
        </is>
      </c>
      <c r="B4368" s="1" t="n">
        <v>43902</v>
      </c>
      <c r="C4368" s="1" t="n">
        <v>45212</v>
      </c>
      <c r="D4368" t="inlineStr">
        <is>
          <t>VÄSTRA GÖTALANDS LÄN</t>
        </is>
      </c>
      <c r="E4368" t="inlineStr">
        <is>
          <t>STRÖMSTAD</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14745-2020</t>
        </is>
      </c>
      <c r="B4369" s="1" t="n">
        <v>43902</v>
      </c>
      <c r="C4369" s="1" t="n">
        <v>45212</v>
      </c>
      <c r="D4369" t="inlineStr">
        <is>
          <t>VÄSTRA GÖTALANDS LÄN</t>
        </is>
      </c>
      <c r="E4369" t="inlineStr">
        <is>
          <t>VARA</t>
        </is>
      </c>
      <c r="G4369" t="n">
        <v>8</v>
      </c>
      <c r="H4369" t="n">
        <v>0</v>
      </c>
      <c r="I4369" t="n">
        <v>0</v>
      </c>
      <c r="J4369" t="n">
        <v>0</v>
      </c>
      <c r="K4369" t="n">
        <v>0</v>
      </c>
      <c r="L4369" t="n">
        <v>0</v>
      </c>
      <c r="M4369" t="n">
        <v>0</v>
      </c>
      <c r="N4369" t="n">
        <v>0</v>
      </c>
      <c r="O4369" t="n">
        <v>0</v>
      </c>
      <c r="P4369" t="n">
        <v>0</v>
      </c>
      <c r="Q4369" t="n">
        <v>0</v>
      </c>
      <c r="R4369" s="2" t="inlineStr"/>
    </row>
    <row r="4370" ht="15" customHeight="1">
      <c r="A4370" t="inlineStr">
        <is>
          <t>A 13343-2020</t>
        </is>
      </c>
      <c r="B4370" s="1" t="n">
        <v>43902</v>
      </c>
      <c r="C4370" s="1" t="n">
        <v>45212</v>
      </c>
      <c r="D4370" t="inlineStr">
        <is>
          <t>VÄSTRA GÖTALANDS LÄN</t>
        </is>
      </c>
      <c r="E4370" t="inlineStr">
        <is>
          <t>MARIESTAD</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13392-2020</t>
        </is>
      </c>
      <c r="B4371" s="1" t="n">
        <v>43902</v>
      </c>
      <c r="C4371" s="1" t="n">
        <v>45212</v>
      </c>
      <c r="D4371" t="inlineStr">
        <is>
          <t>VÄSTRA GÖTALANDS LÄN</t>
        </is>
      </c>
      <c r="E4371" t="inlineStr">
        <is>
          <t>SVENLJUNGA</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14690-2020</t>
        </is>
      </c>
      <c r="B4372" s="1" t="n">
        <v>43903</v>
      </c>
      <c r="C4372" s="1" t="n">
        <v>45212</v>
      </c>
      <c r="D4372" t="inlineStr">
        <is>
          <t>VÄSTRA GÖTALANDS LÄN</t>
        </is>
      </c>
      <c r="E4372" t="inlineStr">
        <is>
          <t>VARA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13937-2020</t>
        </is>
      </c>
      <c r="B4373" s="1" t="n">
        <v>43903</v>
      </c>
      <c r="C4373" s="1" t="n">
        <v>45212</v>
      </c>
      <c r="D4373" t="inlineStr">
        <is>
          <t>VÄSTRA GÖTALANDS LÄN</t>
        </is>
      </c>
      <c r="E4373" t="inlineStr">
        <is>
          <t>VARA</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13589-2020</t>
        </is>
      </c>
      <c r="B4374" s="1" t="n">
        <v>43903</v>
      </c>
      <c r="C4374" s="1" t="n">
        <v>45212</v>
      </c>
      <c r="D4374" t="inlineStr">
        <is>
          <t>VÄSTRA GÖTALANDS LÄN</t>
        </is>
      </c>
      <c r="E4374" t="inlineStr">
        <is>
          <t>BENGTSFORS</t>
        </is>
      </c>
      <c r="F4374" t="inlineStr">
        <is>
          <t>Övriga Aktiebolag</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13608-2020</t>
        </is>
      </c>
      <c r="B4375" s="1" t="n">
        <v>43903</v>
      </c>
      <c r="C4375" s="1" t="n">
        <v>45212</v>
      </c>
      <c r="D4375" t="inlineStr">
        <is>
          <t>VÄSTRA GÖTALANDS LÄN</t>
        </is>
      </c>
      <c r="E4375" t="inlineStr">
        <is>
          <t>SKÖVDE</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13652-2020</t>
        </is>
      </c>
      <c r="B4376" s="1" t="n">
        <v>43903</v>
      </c>
      <c r="C4376" s="1" t="n">
        <v>45212</v>
      </c>
      <c r="D4376" t="inlineStr">
        <is>
          <t>VÄSTRA GÖTALANDS LÄN</t>
        </is>
      </c>
      <c r="E4376" t="inlineStr">
        <is>
          <t>TIBRO</t>
        </is>
      </c>
      <c r="G4376" t="n">
        <v>1</v>
      </c>
      <c r="H4376" t="n">
        <v>0</v>
      </c>
      <c r="I4376" t="n">
        <v>0</v>
      </c>
      <c r="J4376" t="n">
        <v>0</v>
      </c>
      <c r="K4376" t="n">
        <v>0</v>
      </c>
      <c r="L4376" t="n">
        <v>0</v>
      </c>
      <c r="M4376" t="n">
        <v>0</v>
      </c>
      <c r="N4376" t="n">
        <v>0</v>
      </c>
      <c r="O4376" t="n">
        <v>0</v>
      </c>
      <c r="P4376" t="n">
        <v>0</v>
      </c>
      <c r="Q4376" t="n">
        <v>0</v>
      </c>
      <c r="R4376" s="2" t="inlineStr"/>
    </row>
    <row r="4377" ht="15" customHeight="1">
      <c r="A4377" t="inlineStr">
        <is>
          <t>A 13641-2020</t>
        </is>
      </c>
      <c r="B4377" s="1" t="n">
        <v>43903</v>
      </c>
      <c r="C4377" s="1" t="n">
        <v>45212</v>
      </c>
      <c r="D4377" t="inlineStr">
        <is>
          <t>VÄSTRA GÖTALANDS LÄN</t>
        </is>
      </c>
      <c r="E4377" t="inlineStr">
        <is>
          <t>TANUM</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13938-2020</t>
        </is>
      </c>
      <c r="B4378" s="1" t="n">
        <v>43903</v>
      </c>
      <c r="C4378" s="1" t="n">
        <v>45212</v>
      </c>
      <c r="D4378" t="inlineStr">
        <is>
          <t>VÄSTRA GÖTALANDS LÄN</t>
        </is>
      </c>
      <c r="E4378" t="inlineStr">
        <is>
          <t>VARA</t>
        </is>
      </c>
      <c r="G4378" t="n">
        <v>17.1</v>
      </c>
      <c r="H4378" t="n">
        <v>0</v>
      </c>
      <c r="I4378" t="n">
        <v>0</v>
      </c>
      <c r="J4378" t="n">
        <v>0</v>
      </c>
      <c r="K4378" t="n">
        <v>0</v>
      </c>
      <c r="L4378" t="n">
        <v>0</v>
      </c>
      <c r="M4378" t="n">
        <v>0</v>
      </c>
      <c r="N4378" t="n">
        <v>0</v>
      </c>
      <c r="O4378" t="n">
        <v>0</v>
      </c>
      <c r="P4378" t="n">
        <v>0</v>
      </c>
      <c r="Q4378" t="n">
        <v>0</v>
      </c>
      <c r="R4378" s="2" t="inlineStr"/>
    </row>
    <row r="4379" ht="15" customHeight="1">
      <c r="A4379" t="inlineStr">
        <is>
          <t>A 14034-2020</t>
        </is>
      </c>
      <c r="B4379" s="1" t="n">
        <v>43906</v>
      </c>
      <c r="C4379" s="1" t="n">
        <v>45212</v>
      </c>
      <c r="D4379" t="inlineStr">
        <is>
          <t>VÄSTRA GÖTALANDS LÄN</t>
        </is>
      </c>
      <c r="E4379" t="inlineStr">
        <is>
          <t>GULLSPÅNG</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14029-2020</t>
        </is>
      </c>
      <c r="B4380" s="1" t="n">
        <v>43906</v>
      </c>
      <c r="C4380" s="1" t="n">
        <v>45212</v>
      </c>
      <c r="D4380" t="inlineStr">
        <is>
          <t>VÄSTRA GÖTALANDS LÄN</t>
        </is>
      </c>
      <c r="E4380" t="inlineStr">
        <is>
          <t>MARK</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14032-2020</t>
        </is>
      </c>
      <c r="B4381" s="1" t="n">
        <v>43906</v>
      </c>
      <c r="C4381" s="1" t="n">
        <v>45212</v>
      </c>
      <c r="D4381" t="inlineStr">
        <is>
          <t>VÄSTRA GÖTALANDS LÄN</t>
        </is>
      </c>
      <c r="E4381" t="inlineStr">
        <is>
          <t>GULLSPÅNG</t>
        </is>
      </c>
      <c r="G4381" t="n">
        <v>0.2</v>
      </c>
      <c r="H4381" t="n">
        <v>0</v>
      </c>
      <c r="I4381" t="n">
        <v>0</v>
      </c>
      <c r="J4381" t="n">
        <v>0</v>
      </c>
      <c r="K4381" t="n">
        <v>0</v>
      </c>
      <c r="L4381" t="n">
        <v>0</v>
      </c>
      <c r="M4381" t="n">
        <v>0</v>
      </c>
      <c r="N4381" t="n">
        <v>0</v>
      </c>
      <c r="O4381" t="n">
        <v>0</v>
      </c>
      <c r="P4381" t="n">
        <v>0</v>
      </c>
      <c r="Q4381" t="n">
        <v>0</v>
      </c>
      <c r="R4381" s="2" t="inlineStr"/>
    </row>
    <row r="4382" ht="15" customHeight="1">
      <c r="A4382" t="inlineStr">
        <is>
          <t>A 13873-2020</t>
        </is>
      </c>
      <c r="B4382" s="1" t="n">
        <v>43906</v>
      </c>
      <c r="C4382" s="1" t="n">
        <v>45212</v>
      </c>
      <c r="D4382" t="inlineStr">
        <is>
          <t>VÄSTRA GÖTALANDS LÄN</t>
        </is>
      </c>
      <c r="E4382" t="inlineStr">
        <is>
          <t>MARIESTAD</t>
        </is>
      </c>
      <c r="F4382" t="inlineStr">
        <is>
          <t>Sveaskog</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13884-2020</t>
        </is>
      </c>
      <c r="B4383" s="1" t="n">
        <v>43906</v>
      </c>
      <c r="C4383" s="1" t="n">
        <v>45212</v>
      </c>
      <c r="D4383" t="inlineStr">
        <is>
          <t>VÄSTRA GÖTALANDS LÄN</t>
        </is>
      </c>
      <c r="E4383" t="inlineStr">
        <is>
          <t>VARA</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13960-2020</t>
        </is>
      </c>
      <c r="B4384" s="1" t="n">
        <v>43906</v>
      </c>
      <c r="C4384" s="1" t="n">
        <v>45212</v>
      </c>
      <c r="D4384" t="inlineStr">
        <is>
          <t>VÄSTRA GÖTALANDS LÄN</t>
        </is>
      </c>
      <c r="E4384" t="inlineStr">
        <is>
          <t>UDDEVALLA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16219-2020</t>
        </is>
      </c>
      <c r="B4385" s="1" t="n">
        <v>43907</v>
      </c>
      <c r="C4385" s="1" t="n">
        <v>45212</v>
      </c>
      <c r="D4385" t="inlineStr">
        <is>
          <t>VÄSTRA GÖTALANDS LÄN</t>
        </is>
      </c>
      <c r="E4385" t="inlineStr">
        <is>
          <t>FALKÖPING</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14130-2020</t>
        </is>
      </c>
      <c r="B4386" s="1" t="n">
        <v>43907</v>
      </c>
      <c r="C4386" s="1" t="n">
        <v>45212</v>
      </c>
      <c r="D4386" t="inlineStr">
        <is>
          <t>VÄSTRA GÖTALANDS LÄN</t>
        </is>
      </c>
      <c r="E4386" t="inlineStr">
        <is>
          <t>VARA</t>
        </is>
      </c>
      <c r="G4386" t="n">
        <v>0.5</v>
      </c>
      <c r="H4386" t="n">
        <v>0</v>
      </c>
      <c r="I4386" t="n">
        <v>0</v>
      </c>
      <c r="J4386" t="n">
        <v>0</v>
      </c>
      <c r="K4386" t="n">
        <v>0</v>
      </c>
      <c r="L4386" t="n">
        <v>0</v>
      </c>
      <c r="M4386" t="n">
        <v>0</v>
      </c>
      <c r="N4386" t="n">
        <v>0</v>
      </c>
      <c r="O4386" t="n">
        <v>0</v>
      </c>
      <c r="P4386" t="n">
        <v>0</v>
      </c>
      <c r="Q4386" t="n">
        <v>0</v>
      </c>
      <c r="R4386" s="2" t="inlineStr"/>
    </row>
    <row r="4387" ht="15" customHeight="1">
      <c r="A4387" t="inlineStr">
        <is>
          <t>A 14219-2020</t>
        </is>
      </c>
      <c r="B4387" s="1" t="n">
        <v>43907</v>
      </c>
      <c r="C4387" s="1" t="n">
        <v>45212</v>
      </c>
      <c r="D4387" t="inlineStr">
        <is>
          <t>VÄSTRA GÖTALANDS LÄN</t>
        </is>
      </c>
      <c r="E4387" t="inlineStr">
        <is>
          <t>FALKÖPING</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14993-2020</t>
        </is>
      </c>
      <c r="B4388" s="1" t="n">
        <v>43907</v>
      </c>
      <c r="C4388" s="1" t="n">
        <v>45212</v>
      </c>
      <c r="D4388" t="inlineStr">
        <is>
          <t>VÄSTRA GÖTALANDS LÄN</t>
        </is>
      </c>
      <c r="E4388" t="inlineStr">
        <is>
          <t>MARK</t>
        </is>
      </c>
      <c r="G4388" t="n">
        <v>2.5</v>
      </c>
      <c r="H4388" t="n">
        <v>0</v>
      </c>
      <c r="I4388" t="n">
        <v>0</v>
      </c>
      <c r="J4388" t="n">
        <v>0</v>
      </c>
      <c r="K4388" t="n">
        <v>0</v>
      </c>
      <c r="L4388" t="n">
        <v>0</v>
      </c>
      <c r="M4388" t="n">
        <v>0</v>
      </c>
      <c r="N4388" t="n">
        <v>0</v>
      </c>
      <c r="O4388" t="n">
        <v>0</v>
      </c>
      <c r="P4388" t="n">
        <v>0</v>
      </c>
      <c r="Q4388" t="n">
        <v>0</v>
      </c>
      <c r="R4388" s="2" t="inlineStr"/>
    </row>
    <row r="4389" ht="15" customHeight="1">
      <c r="A4389" t="inlineStr">
        <is>
          <t>A 14159-2020</t>
        </is>
      </c>
      <c r="B4389" s="1" t="n">
        <v>43907</v>
      </c>
      <c r="C4389" s="1" t="n">
        <v>45212</v>
      </c>
      <c r="D4389" t="inlineStr">
        <is>
          <t>VÄSTRA GÖTALANDS LÄN</t>
        </is>
      </c>
      <c r="E4389" t="inlineStr">
        <is>
          <t>BENGTSFORS</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14261-2020</t>
        </is>
      </c>
      <c r="B4390" s="1" t="n">
        <v>43907</v>
      </c>
      <c r="C4390" s="1" t="n">
        <v>45212</v>
      </c>
      <c r="D4390" t="inlineStr">
        <is>
          <t>VÄSTRA GÖTALANDS LÄN</t>
        </is>
      </c>
      <c r="E4390" t="inlineStr">
        <is>
          <t>GÖTENE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14297-2020</t>
        </is>
      </c>
      <c r="B4391" s="1" t="n">
        <v>43907</v>
      </c>
      <c r="C4391" s="1" t="n">
        <v>45212</v>
      </c>
      <c r="D4391" t="inlineStr">
        <is>
          <t>VÄSTRA GÖTALANDS LÄN</t>
        </is>
      </c>
      <c r="E4391" t="inlineStr">
        <is>
          <t>UDDEVALLA</t>
        </is>
      </c>
      <c r="G4391" t="n">
        <v>1.9</v>
      </c>
      <c r="H4391" t="n">
        <v>0</v>
      </c>
      <c r="I4391" t="n">
        <v>0</v>
      </c>
      <c r="J4391" t="n">
        <v>0</v>
      </c>
      <c r="K4391" t="n">
        <v>0</v>
      </c>
      <c r="L4391" t="n">
        <v>0</v>
      </c>
      <c r="M4391" t="n">
        <v>0</v>
      </c>
      <c r="N4391" t="n">
        <v>0</v>
      </c>
      <c r="O4391" t="n">
        <v>0</v>
      </c>
      <c r="P4391" t="n">
        <v>0</v>
      </c>
      <c r="Q4391" t="n">
        <v>0</v>
      </c>
      <c r="R4391" s="2" t="inlineStr"/>
    </row>
    <row r="4392" ht="15" customHeight="1">
      <c r="A4392" t="inlineStr">
        <is>
          <t>A 16237-2020</t>
        </is>
      </c>
      <c r="B4392" s="1" t="n">
        <v>43907</v>
      </c>
      <c r="C4392" s="1" t="n">
        <v>45212</v>
      </c>
      <c r="D4392" t="inlineStr">
        <is>
          <t>VÄSTRA GÖTALANDS LÄN</t>
        </is>
      </c>
      <c r="E4392" t="inlineStr">
        <is>
          <t>FALKÖPING</t>
        </is>
      </c>
      <c r="G4392" t="n">
        <v>5.1</v>
      </c>
      <c r="H4392" t="n">
        <v>0</v>
      </c>
      <c r="I4392" t="n">
        <v>0</v>
      </c>
      <c r="J4392" t="n">
        <v>0</v>
      </c>
      <c r="K4392" t="n">
        <v>0</v>
      </c>
      <c r="L4392" t="n">
        <v>0</v>
      </c>
      <c r="M4392" t="n">
        <v>0</v>
      </c>
      <c r="N4392" t="n">
        <v>0</v>
      </c>
      <c r="O4392" t="n">
        <v>0</v>
      </c>
      <c r="P4392" t="n">
        <v>0</v>
      </c>
      <c r="Q4392" t="n">
        <v>0</v>
      </c>
      <c r="R4392" s="2" t="inlineStr"/>
    </row>
    <row r="4393" ht="15" customHeight="1">
      <c r="A4393" t="inlineStr">
        <is>
          <t>A 14127-2020</t>
        </is>
      </c>
      <c r="B4393" s="1" t="n">
        <v>43907</v>
      </c>
      <c r="C4393" s="1" t="n">
        <v>45212</v>
      </c>
      <c r="D4393" t="inlineStr">
        <is>
          <t>VÄSTRA GÖTALANDS LÄN</t>
        </is>
      </c>
      <c r="E4393" t="inlineStr">
        <is>
          <t>VARA</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14248-2020</t>
        </is>
      </c>
      <c r="B4394" s="1" t="n">
        <v>43907</v>
      </c>
      <c r="C4394" s="1" t="n">
        <v>45212</v>
      </c>
      <c r="D4394" t="inlineStr">
        <is>
          <t>VÄSTRA GÖTALANDS LÄN</t>
        </is>
      </c>
      <c r="E4394" t="inlineStr">
        <is>
          <t>TROLLHÄTTAN</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16066-2020</t>
        </is>
      </c>
      <c r="B4395" s="1" t="n">
        <v>43907</v>
      </c>
      <c r="C4395" s="1" t="n">
        <v>45212</v>
      </c>
      <c r="D4395" t="inlineStr">
        <is>
          <t>VÄSTRA GÖTALANDS LÄN</t>
        </is>
      </c>
      <c r="E4395" t="inlineStr">
        <is>
          <t>FALKÖPING</t>
        </is>
      </c>
      <c r="G4395" t="n">
        <v>3.9</v>
      </c>
      <c r="H4395" t="n">
        <v>0</v>
      </c>
      <c r="I4395" t="n">
        <v>0</v>
      </c>
      <c r="J4395" t="n">
        <v>0</v>
      </c>
      <c r="K4395" t="n">
        <v>0</v>
      </c>
      <c r="L4395" t="n">
        <v>0</v>
      </c>
      <c r="M4395" t="n">
        <v>0</v>
      </c>
      <c r="N4395" t="n">
        <v>0</v>
      </c>
      <c r="O4395" t="n">
        <v>0</v>
      </c>
      <c r="P4395" t="n">
        <v>0</v>
      </c>
      <c r="Q4395" t="n">
        <v>0</v>
      </c>
      <c r="R4395" s="2" t="inlineStr"/>
    </row>
    <row r="4396" ht="15" customHeight="1">
      <c r="A4396" t="inlineStr">
        <is>
          <t>A 14357-2020</t>
        </is>
      </c>
      <c r="B4396" s="1" t="n">
        <v>43908</v>
      </c>
      <c r="C4396" s="1" t="n">
        <v>45212</v>
      </c>
      <c r="D4396" t="inlineStr">
        <is>
          <t>VÄSTRA GÖTALANDS LÄN</t>
        </is>
      </c>
      <c r="E4396" t="inlineStr">
        <is>
          <t>MUNKEDAL</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14448-2020</t>
        </is>
      </c>
      <c r="B4397" s="1" t="n">
        <v>43908</v>
      </c>
      <c r="C4397" s="1" t="n">
        <v>45212</v>
      </c>
      <c r="D4397" t="inlineStr">
        <is>
          <t>VÄSTRA GÖTALANDS LÄN</t>
        </is>
      </c>
      <c r="E4397" t="inlineStr">
        <is>
          <t>BENGTSFORS</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14546-2020</t>
        </is>
      </c>
      <c r="B4398" s="1" t="n">
        <v>43908</v>
      </c>
      <c r="C4398" s="1" t="n">
        <v>45212</v>
      </c>
      <c r="D4398" t="inlineStr">
        <is>
          <t>VÄSTRA GÖTALANDS LÄN</t>
        </is>
      </c>
      <c r="E4398" t="inlineStr">
        <is>
          <t>MARK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14568-2020</t>
        </is>
      </c>
      <c r="B4399" s="1" t="n">
        <v>43908</v>
      </c>
      <c r="C4399" s="1" t="n">
        <v>45212</v>
      </c>
      <c r="D4399" t="inlineStr">
        <is>
          <t>VÄSTRA GÖTALANDS LÄN</t>
        </is>
      </c>
      <c r="E4399" t="inlineStr">
        <is>
          <t>DALS-ED</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15275-2020</t>
        </is>
      </c>
      <c r="B4400" s="1" t="n">
        <v>43908</v>
      </c>
      <c r="C4400" s="1" t="n">
        <v>45212</v>
      </c>
      <c r="D4400" t="inlineStr">
        <is>
          <t>VÄSTRA GÖTALANDS LÄN</t>
        </is>
      </c>
      <c r="E4400" t="inlineStr">
        <is>
          <t>LIDKÖPING</t>
        </is>
      </c>
      <c r="F4400" t="inlineStr">
        <is>
          <t>Kommuner</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16355-2020</t>
        </is>
      </c>
      <c r="B4401" s="1" t="n">
        <v>43908</v>
      </c>
      <c r="C4401" s="1" t="n">
        <v>45212</v>
      </c>
      <c r="D4401" t="inlineStr">
        <is>
          <t>VÄSTRA GÖTALANDS LÄN</t>
        </is>
      </c>
      <c r="E4401" t="inlineStr">
        <is>
          <t>VARA</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14346-2020</t>
        </is>
      </c>
      <c r="B4402" s="1" t="n">
        <v>43908</v>
      </c>
      <c r="C4402" s="1" t="n">
        <v>45212</v>
      </c>
      <c r="D4402" t="inlineStr">
        <is>
          <t>VÄSTRA GÖTALANDS LÄN</t>
        </is>
      </c>
      <c r="E4402" t="inlineStr">
        <is>
          <t>ALINGSÅS</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14383-2020</t>
        </is>
      </c>
      <c r="B4403" s="1" t="n">
        <v>43908</v>
      </c>
      <c r="C4403" s="1" t="n">
        <v>45212</v>
      </c>
      <c r="D4403" t="inlineStr">
        <is>
          <t>VÄSTRA GÖTALANDS LÄN</t>
        </is>
      </c>
      <c r="E4403" t="inlineStr">
        <is>
          <t>FALKÖPING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14412-2020</t>
        </is>
      </c>
      <c r="B4404" s="1" t="n">
        <v>43908</v>
      </c>
      <c r="C4404" s="1" t="n">
        <v>45212</v>
      </c>
      <c r="D4404" t="inlineStr">
        <is>
          <t>VÄSTRA GÖTALANDS LÄN</t>
        </is>
      </c>
      <c r="E4404" t="inlineStr">
        <is>
          <t>MARIESTAD</t>
        </is>
      </c>
      <c r="F4404" t="inlineStr">
        <is>
          <t>Kyrkan</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15287-2020</t>
        </is>
      </c>
      <c r="B4405" s="1" t="n">
        <v>43908</v>
      </c>
      <c r="C4405" s="1" t="n">
        <v>45212</v>
      </c>
      <c r="D4405" t="inlineStr">
        <is>
          <t>VÄSTRA GÖTALANDS LÄN</t>
        </is>
      </c>
      <c r="E4405" t="inlineStr">
        <is>
          <t>LIDKÖPING</t>
        </is>
      </c>
      <c r="F4405" t="inlineStr">
        <is>
          <t>Kommuner</t>
        </is>
      </c>
      <c r="G4405" t="n">
        <v>2.3</v>
      </c>
      <c r="H4405" t="n">
        <v>0</v>
      </c>
      <c r="I4405" t="n">
        <v>0</v>
      </c>
      <c r="J4405" t="n">
        <v>0</v>
      </c>
      <c r="K4405" t="n">
        <v>0</v>
      </c>
      <c r="L4405" t="n">
        <v>0</v>
      </c>
      <c r="M4405" t="n">
        <v>0</v>
      </c>
      <c r="N4405" t="n">
        <v>0</v>
      </c>
      <c r="O4405" t="n">
        <v>0</v>
      </c>
      <c r="P4405" t="n">
        <v>0</v>
      </c>
      <c r="Q4405" t="n">
        <v>0</v>
      </c>
      <c r="R4405" s="2" t="inlineStr"/>
    </row>
    <row r="4406" ht="15" customHeight="1">
      <c r="A4406" t="inlineStr">
        <is>
          <t>A 16366-2020</t>
        </is>
      </c>
      <c r="B4406" s="1" t="n">
        <v>43908</v>
      </c>
      <c r="C4406" s="1" t="n">
        <v>45212</v>
      </c>
      <c r="D4406" t="inlineStr">
        <is>
          <t>VÄSTRA GÖTALANDS LÄN</t>
        </is>
      </c>
      <c r="E4406" t="inlineStr">
        <is>
          <t>VARA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14396-2020</t>
        </is>
      </c>
      <c r="B4407" s="1" t="n">
        <v>43908</v>
      </c>
      <c r="C4407" s="1" t="n">
        <v>45212</v>
      </c>
      <c r="D4407" t="inlineStr">
        <is>
          <t>VÄSTRA GÖTALANDS LÄN</t>
        </is>
      </c>
      <c r="E4407" t="inlineStr">
        <is>
          <t>FALKÖPING</t>
        </is>
      </c>
      <c r="F4407" t="inlineStr">
        <is>
          <t>Sveaskog</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14413-2020</t>
        </is>
      </c>
      <c r="B4408" s="1" t="n">
        <v>43908</v>
      </c>
      <c r="C4408" s="1" t="n">
        <v>45212</v>
      </c>
      <c r="D4408" t="inlineStr">
        <is>
          <t>VÄSTRA GÖTALANDS LÄN</t>
        </is>
      </c>
      <c r="E4408" t="inlineStr">
        <is>
          <t>DALS-ED</t>
        </is>
      </c>
      <c r="G4408" t="n">
        <v>5.9</v>
      </c>
      <c r="H4408" t="n">
        <v>0</v>
      </c>
      <c r="I4408" t="n">
        <v>0</v>
      </c>
      <c r="J4408" t="n">
        <v>0</v>
      </c>
      <c r="K4408" t="n">
        <v>0</v>
      </c>
      <c r="L4408" t="n">
        <v>0</v>
      </c>
      <c r="M4408" t="n">
        <v>0</v>
      </c>
      <c r="N4408" t="n">
        <v>0</v>
      </c>
      <c r="O4408" t="n">
        <v>0</v>
      </c>
      <c r="P4408" t="n">
        <v>0</v>
      </c>
      <c r="Q4408" t="n">
        <v>0</v>
      </c>
      <c r="R4408" s="2" t="inlineStr"/>
    </row>
    <row r="4409" ht="15" customHeight="1">
      <c r="A4409" t="inlineStr">
        <is>
          <t>A 14342-2020</t>
        </is>
      </c>
      <c r="B4409" s="1" t="n">
        <v>43908</v>
      </c>
      <c r="C4409" s="1" t="n">
        <v>45212</v>
      </c>
      <c r="D4409" t="inlineStr">
        <is>
          <t>VÄSTRA GÖTALANDS LÄN</t>
        </is>
      </c>
      <c r="E4409" t="inlineStr">
        <is>
          <t>FALKÖPING</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14569-2020</t>
        </is>
      </c>
      <c r="B4410" s="1" t="n">
        <v>43908</v>
      </c>
      <c r="C4410" s="1" t="n">
        <v>45212</v>
      </c>
      <c r="D4410" t="inlineStr">
        <is>
          <t>VÄSTRA GÖTALANDS LÄN</t>
        </is>
      </c>
      <c r="E4410" t="inlineStr">
        <is>
          <t>SKÖVDE</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14641-2020</t>
        </is>
      </c>
      <c r="B4411" s="1" t="n">
        <v>43909</v>
      </c>
      <c r="C4411" s="1" t="n">
        <v>45212</v>
      </c>
      <c r="D4411" t="inlineStr">
        <is>
          <t>VÄSTRA GÖTALANDS LÄN</t>
        </is>
      </c>
      <c r="E4411" t="inlineStr">
        <is>
          <t>BENGTSFORS</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14722-2020</t>
        </is>
      </c>
      <c r="B4412" s="1" t="n">
        <v>43909</v>
      </c>
      <c r="C4412" s="1" t="n">
        <v>45212</v>
      </c>
      <c r="D4412" t="inlineStr">
        <is>
          <t>VÄSTRA GÖTALANDS LÄN</t>
        </is>
      </c>
      <c r="E4412" t="inlineStr">
        <is>
          <t>SKARA</t>
        </is>
      </c>
      <c r="G4412" t="n">
        <v>2.6</v>
      </c>
      <c r="H4412" t="n">
        <v>0</v>
      </c>
      <c r="I4412" t="n">
        <v>0</v>
      </c>
      <c r="J4412" t="n">
        <v>0</v>
      </c>
      <c r="K4412" t="n">
        <v>0</v>
      </c>
      <c r="L4412" t="n">
        <v>0</v>
      </c>
      <c r="M4412" t="n">
        <v>0</v>
      </c>
      <c r="N4412" t="n">
        <v>0</v>
      </c>
      <c r="O4412" t="n">
        <v>0</v>
      </c>
      <c r="P4412" t="n">
        <v>0</v>
      </c>
      <c r="Q4412" t="n">
        <v>0</v>
      </c>
      <c r="R4412" s="2" t="inlineStr"/>
    </row>
    <row r="4413" ht="15" customHeight="1">
      <c r="A4413" t="inlineStr">
        <is>
          <t>A 14772-2020</t>
        </is>
      </c>
      <c r="B4413" s="1" t="n">
        <v>43909</v>
      </c>
      <c r="C4413" s="1" t="n">
        <v>45212</v>
      </c>
      <c r="D4413" t="inlineStr">
        <is>
          <t>VÄSTRA GÖTALANDS LÄN</t>
        </is>
      </c>
      <c r="E4413" t="inlineStr">
        <is>
          <t>LILLA EDET</t>
        </is>
      </c>
      <c r="G4413" t="n">
        <v>0.4</v>
      </c>
      <c r="H4413" t="n">
        <v>0</v>
      </c>
      <c r="I4413" t="n">
        <v>0</v>
      </c>
      <c r="J4413" t="n">
        <v>0</v>
      </c>
      <c r="K4413" t="n">
        <v>0</v>
      </c>
      <c r="L4413" t="n">
        <v>0</v>
      </c>
      <c r="M4413" t="n">
        <v>0</v>
      </c>
      <c r="N4413" t="n">
        <v>0</v>
      </c>
      <c r="O4413" t="n">
        <v>0</v>
      </c>
      <c r="P4413" t="n">
        <v>0</v>
      </c>
      <c r="Q4413" t="n">
        <v>0</v>
      </c>
      <c r="R4413" s="2" t="inlineStr"/>
    </row>
    <row r="4414" ht="15" customHeight="1">
      <c r="A4414" t="inlineStr">
        <is>
          <t>A 16553-2020</t>
        </is>
      </c>
      <c r="B4414" s="1" t="n">
        <v>43909</v>
      </c>
      <c r="C4414" s="1" t="n">
        <v>45212</v>
      </c>
      <c r="D4414" t="inlineStr">
        <is>
          <t>VÄSTRA GÖTALANDS LÄN</t>
        </is>
      </c>
      <c r="E4414" t="inlineStr">
        <is>
          <t>GULLSPÅNG</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14646-2020</t>
        </is>
      </c>
      <c r="B4415" s="1" t="n">
        <v>43909</v>
      </c>
      <c r="C4415" s="1" t="n">
        <v>45212</v>
      </c>
      <c r="D4415" t="inlineStr">
        <is>
          <t>VÄSTRA GÖTALANDS LÄN</t>
        </is>
      </c>
      <c r="E4415" t="inlineStr">
        <is>
          <t>DALS-ED</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14703-2020</t>
        </is>
      </c>
      <c r="B4416" s="1" t="n">
        <v>43909</v>
      </c>
      <c r="C4416" s="1" t="n">
        <v>45212</v>
      </c>
      <c r="D4416" t="inlineStr">
        <is>
          <t>VÄSTRA GÖTALANDS LÄN</t>
        </is>
      </c>
      <c r="E4416" t="inlineStr">
        <is>
          <t>TANUM</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14808-2020</t>
        </is>
      </c>
      <c r="B4417" s="1" t="n">
        <v>43909</v>
      </c>
      <c r="C4417" s="1" t="n">
        <v>45212</v>
      </c>
      <c r="D4417" t="inlineStr">
        <is>
          <t>VÄSTRA GÖTALANDS LÄN</t>
        </is>
      </c>
      <c r="E4417" t="inlineStr">
        <is>
          <t>KARLSBORG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16460-2020</t>
        </is>
      </c>
      <c r="B4418" s="1" t="n">
        <v>43909</v>
      </c>
      <c r="C4418" s="1" t="n">
        <v>45212</v>
      </c>
      <c r="D4418" t="inlineStr">
        <is>
          <t>VÄSTRA GÖTALANDS LÄN</t>
        </is>
      </c>
      <c r="E4418" t="inlineStr">
        <is>
          <t>ÅMÅL</t>
        </is>
      </c>
      <c r="G4418" t="n">
        <v>2.1</v>
      </c>
      <c r="H4418" t="n">
        <v>0</v>
      </c>
      <c r="I4418" t="n">
        <v>0</v>
      </c>
      <c r="J4418" t="n">
        <v>0</v>
      </c>
      <c r="K4418" t="n">
        <v>0</v>
      </c>
      <c r="L4418" t="n">
        <v>0</v>
      </c>
      <c r="M4418" t="n">
        <v>0</v>
      </c>
      <c r="N4418" t="n">
        <v>0</v>
      </c>
      <c r="O4418" t="n">
        <v>0</v>
      </c>
      <c r="P4418" t="n">
        <v>0</v>
      </c>
      <c r="Q4418" t="n">
        <v>0</v>
      </c>
      <c r="R4418" s="2" t="inlineStr"/>
    </row>
    <row r="4419" ht="15" customHeight="1">
      <c r="A4419" t="inlineStr">
        <is>
          <t>A 14648-2020</t>
        </is>
      </c>
      <c r="B4419" s="1" t="n">
        <v>43909</v>
      </c>
      <c r="C4419" s="1" t="n">
        <v>45212</v>
      </c>
      <c r="D4419" t="inlineStr">
        <is>
          <t>VÄSTRA GÖTALANDS LÄN</t>
        </is>
      </c>
      <c r="E4419" t="inlineStr">
        <is>
          <t>TROLLHÄTTAN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14670-2020</t>
        </is>
      </c>
      <c r="B4420" s="1" t="n">
        <v>43909</v>
      </c>
      <c r="C4420" s="1" t="n">
        <v>45212</v>
      </c>
      <c r="D4420" t="inlineStr">
        <is>
          <t>VÄSTRA GÖTALANDS LÄN</t>
        </is>
      </c>
      <c r="E4420" t="inlineStr">
        <is>
          <t>ESSUNGA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14734-2020</t>
        </is>
      </c>
      <c r="B4421" s="1" t="n">
        <v>43909</v>
      </c>
      <c r="C4421" s="1" t="n">
        <v>45212</v>
      </c>
      <c r="D4421" t="inlineStr">
        <is>
          <t>VÄSTRA GÖTALANDS LÄN</t>
        </is>
      </c>
      <c r="E4421" t="inlineStr">
        <is>
          <t>SKÖVDE</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14625-2020</t>
        </is>
      </c>
      <c r="B4422" s="1" t="n">
        <v>43909</v>
      </c>
      <c r="C4422" s="1" t="n">
        <v>45212</v>
      </c>
      <c r="D4422" t="inlineStr">
        <is>
          <t>VÄSTRA GÖTALANDS LÄN</t>
        </is>
      </c>
      <c r="E4422" t="inlineStr">
        <is>
          <t>VÅRGÅRDA</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14779-2020</t>
        </is>
      </c>
      <c r="B4423" s="1" t="n">
        <v>43909</v>
      </c>
      <c r="C4423" s="1" t="n">
        <v>45212</v>
      </c>
      <c r="D4423" t="inlineStr">
        <is>
          <t>VÄSTRA GÖTALANDS LÄN</t>
        </is>
      </c>
      <c r="E4423" t="inlineStr">
        <is>
          <t>HÄRRYDA</t>
        </is>
      </c>
      <c r="F4423" t="inlineStr">
        <is>
          <t>Kommuner</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16551-2020</t>
        </is>
      </c>
      <c r="B4424" s="1" t="n">
        <v>43909</v>
      </c>
      <c r="C4424" s="1" t="n">
        <v>45212</v>
      </c>
      <c r="D4424" t="inlineStr">
        <is>
          <t>VÄSTRA GÖTALANDS LÄN</t>
        </is>
      </c>
      <c r="E4424" t="inlineStr">
        <is>
          <t>MARIESTAD</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15102-2020</t>
        </is>
      </c>
      <c r="B4425" s="1" t="n">
        <v>43910</v>
      </c>
      <c r="C4425" s="1" t="n">
        <v>45212</v>
      </c>
      <c r="D4425" t="inlineStr">
        <is>
          <t>VÄSTRA GÖTALANDS LÄN</t>
        </is>
      </c>
      <c r="E4425" t="inlineStr">
        <is>
          <t>FÄRGELANDA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15083-2020</t>
        </is>
      </c>
      <c r="B4426" s="1" t="n">
        <v>43910</v>
      </c>
      <c r="C4426" s="1" t="n">
        <v>45212</v>
      </c>
      <c r="D4426" t="inlineStr">
        <is>
          <t>VÄSTRA GÖTALANDS LÄN</t>
        </is>
      </c>
      <c r="E4426" t="inlineStr">
        <is>
          <t>BENGTSFORS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15164-2020</t>
        </is>
      </c>
      <c r="B4427" s="1" t="n">
        <v>43912</v>
      </c>
      <c r="C4427" s="1" t="n">
        <v>45212</v>
      </c>
      <c r="D4427" t="inlineStr">
        <is>
          <t>VÄSTRA GÖTALANDS LÄN</t>
        </is>
      </c>
      <c r="E4427" t="inlineStr">
        <is>
          <t>SVENLJUNGA</t>
        </is>
      </c>
      <c r="G4427" t="n">
        <v>16.4</v>
      </c>
      <c r="H4427" t="n">
        <v>0</v>
      </c>
      <c r="I4427" t="n">
        <v>0</v>
      </c>
      <c r="J4427" t="n">
        <v>0</v>
      </c>
      <c r="K4427" t="n">
        <v>0</v>
      </c>
      <c r="L4427" t="n">
        <v>0</v>
      </c>
      <c r="M4427" t="n">
        <v>0</v>
      </c>
      <c r="N4427" t="n">
        <v>0</v>
      </c>
      <c r="O4427" t="n">
        <v>0</v>
      </c>
      <c r="P4427" t="n">
        <v>0</v>
      </c>
      <c r="Q4427" t="n">
        <v>0</v>
      </c>
      <c r="R4427" s="2" t="inlineStr"/>
    </row>
    <row r="4428" ht="15" customHeight="1">
      <c r="A4428" t="inlineStr">
        <is>
          <t>A 15387-2020</t>
        </is>
      </c>
      <c r="B4428" s="1" t="n">
        <v>43913</v>
      </c>
      <c r="C4428" s="1" t="n">
        <v>45212</v>
      </c>
      <c r="D4428" t="inlineStr">
        <is>
          <t>VÄSTRA GÖTALANDS LÄN</t>
        </is>
      </c>
      <c r="E4428" t="inlineStr">
        <is>
          <t>BENGTSFORS</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16794-2020</t>
        </is>
      </c>
      <c r="B4429" s="1" t="n">
        <v>43913</v>
      </c>
      <c r="C4429" s="1" t="n">
        <v>45212</v>
      </c>
      <c r="D4429" t="inlineStr">
        <is>
          <t>VÄSTRA GÖTALANDS LÄN</t>
        </is>
      </c>
      <c r="E4429" t="inlineStr">
        <is>
          <t>TANUM</t>
        </is>
      </c>
      <c r="G4429" t="n">
        <v>7.3</v>
      </c>
      <c r="H4429" t="n">
        <v>0</v>
      </c>
      <c r="I4429" t="n">
        <v>0</v>
      </c>
      <c r="J4429" t="n">
        <v>0</v>
      </c>
      <c r="K4429" t="n">
        <v>0</v>
      </c>
      <c r="L4429" t="n">
        <v>0</v>
      </c>
      <c r="M4429" t="n">
        <v>0</v>
      </c>
      <c r="N4429" t="n">
        <v>0</v>
      </c>
      <c r="O4429" t="n">
        <v>0</v>
      </c>
      <c r="P4429" t="n">
        <v>0</v>
      </c>
      <c r="Q4429" t="n">
        <v>0</v>
      </c>
      <c r="R4429" s="2" t="inlineStr"/>
    </row>
    <row r="4430" ht="15" customHeight="1">
      <c r="A4430" t="inlineStr">
        <is>
          <t>A 15219-2020</t>
        </is>
      </c>
      <c r="B4430" s="1" t="n">
        <v>43913</v>
      </c>
      <c r="C4430" s="1" t="n">
        <v>45212</v>
      </c>
      <c r="D4430" t="inlineStr">
        <is>
          <t>VÄSTRA GÖTALANDS LÄN</t>
        </is>
      </c>
      <c r="E4430" t="inlineStr">
        <is>
          <t>TÖREBODA</t>
        </is>
      </c>
      <c r="G4430" t="n">
        <v>6.7</v>
      </c>
      <c r="H4430" t="n">
        <v>0</v>
      </c>
      <c r="I4430" t="n">
        <v>0</v>
      </c>
      <c r="J4430" t="n">
        <v>0</v>
      </c>
      <c r="K4430" t="n">
        <v>0</v>
      </c>
      <c r="L4430" t="n">
        <v>0</v>
      </c>
      <c r="M4430" t="n">
        <v>0</v>
      </c>
      <c r="N4430" t="n">
        <v>0</v>
      </c>
      <c r="O4430" t="n">
        <v>0</v>
      </c>
      <c r="P4430" t="n">
        <v>0</v>
      </c>
      <c r="Q4430" t="n">
        <v>0</v>
      </c>
      <c r="R4430" s="2" t="inlineStr"/>
    </row>
    <row r="4431" ht="15" customHeight="1">
      <c r="A4431" t="inlineStr">
        <is>
          <t>A 15261-2020</t>
        </is>
      </c>
      <c r="B4431" s="1" t="n">
        <v>43913</v>
      </c>
      <c r="C4431" s="1" t="n">
        <v>45212</v>
      </c>
      <c r="D4431" t="inlineStr">
        <is>
          <t>VÄSTRA GÖTALANDS LÄN</t>
        </is>
      </c>
      <c r="E4431" t="inlineStr">
        <is>
          <t>MARK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15242-2020</t>
        </is>
      </c>
      <c r="B4432" s="1" t="n">
        <v>43913</v>
      </c>
      <c r="C4432" s="1" t="n">
        <v>45212</v>
      </c>
      <c r="D4432" t="inlineStr">
        <is>
          <t>VÄSTRA GÖTALANDS LÄN</t>
        </is>
      </c>
      <c r="E4432" t="inlineStr">
        <is>
          <t>HERRLJUNGA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15270-2020</t>
        </is>
      </c>
      <c r="B4433" s="1" t="n">
        <v>43913</v>
      </c>
      <c r="C4433" s="1" t="n">
        <v>45212</v>
      </c>
      <c r="D4433" t="inlineStr">
        <is>
          <t>VÄSTRA GÖTALANDS LÄN</t>
        </is>
      </c>
      <c r="E4433" t="inlineStr">
        <is>
          <t>TRANEMO</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16914-2020</t>
        </is>
      </c>
      <c r="B4434" s="1" t="n">
        <v>43913</v>
      </c>
      <c r="C4434" s="1" t="n">
        <v>45212</v>
      </c>
      <c r="D4434" t="inlineStr">
        <is>
          <t>VÄSTRA GÖTALANDS LÄN</t>
        </is>
      </c>
      <c r="E4434" t="inlineStr">
        <is>
          <t>LILLA EDET</t>
        </is>
      </c>
      <c r="G4434" t="n">
        <v>9.1</v>
      </c>
      <c r="H4434" t="n">
        <v>0</v>
      </c>
      <c r="I4434" t="n">
        <v>0</v>
      </c>
      <c r="J4434" t="n">
        <v>0</v>
      </c>
      <c r="K4434" t="n">
        <v>0</v>
      </c>
      <c r="L4434" t="n">
        <v>0</v>
      </c>
      <c r="M4434" t="n">
        <v>0</v>
      </c>
      <c r="N4434" t="n">
        <v>0</v>
      </c>
      <c r="O4434" t="n">
        <v>0</v>
      </c>
      <c r="P4434" t="n">
        <v>0</v>
      </c>
      <c r="Q4434" t="n">
        <v>0</v>
      </c>
      <c r="R4434" s="2" t="inlineStr"/>
    </row>
    <row r="4435" ht="15" customHeight="1">
      <c r="A4435" t="inlineStr">
        <is>
          <t>A 17209-2020</t>
        </is>
      </c>
      <c r="B4435" s="1" t="n">
        <v>43913</v>
      </c>
      <c r="C4435" s="1" t="n">
        <v>45212</v>
      </c>
      <c r="D4435" t="inlineStr">
        <is>
          <t>VÄSTRA GÖTALANDS LÄN</t>
        </is>
      </c>
      <c r="E4435" t="inlineStr">
        <is>
          <t>BENGTSFORS</t>
        </is>
      </c>
      <c r="G4435" t="n">
        <v>3.8</v>
      </c>
      <c r="H4435" t="n">
        <v>0</v>
      </c>
      <c r="I4435" t="n">
        <v>0</v>
      </c>
      <c r="J4435" t="n">
        <v>0</v>
      </c>
      <c r="K4435" t="n">
        <v>0</v>
      </c>
      <c r="L4435" t="n">
        <v>0</v>
      </c>
      <c r="M4435" t="n">
        <v>0</v>
      </c>
      <c r="N4435" t="n">
        <v>0</v>
      </c>
      <c r="O4435" t="n">
        <v>0</v>
      </c>
      <c r="P4435" t="n">
        <v>0</v>
      </c>
      <c r="Q4435" t="n">
        <v>0</v>
      </c>
      <c r="R4435" s="2" t="inlineStr"/>
    </row>
    <row r="4436" ht="15" customHeight="1">
      <c r="A4436" t="inlineStr">
        <is>
          <t>A 15214-2020</t>
        </is>
      </c>
      <c r="B4436" s="1" t="n">
        <v>43913</v>
      </c>
      <c r="C4436" s="1" t="n">
        <v>45212</v>
      </c>
      <c r="D4436" t="inlineStr">
        <is>
          <t>VÄSTRA GÖTALANDS LÄN</t>
        </is>
      </c>
      <c r="E4436" t="inlineStr">
        <is>
          <t>SKARA</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15226-2020</t>
        </is>
      </c>
      <c r="B4437" s="1" t="n">
        <v>43913</v>
      </c>
      <c r="C4437" s="1" t="n">
        <v>45212</v>
      </c>
      <c r="D4437" t="inlineStr">
        <is>
          <t>VÄSTRA GÖTALANDS LÄN</t>
        </is>
      </c>
      <c r="E4437" t="inlineStr">
        <is>
          <t>TÖREBODA</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15234-2020</t>
        </is>
      </c>
      <c r="B4438" s="1" t="n">
        <v>43913</v>
      </c>
      <c r="C4438" s="1" t="n">
        <v>45212</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15265-2020</t>
        </is>
      </c>
      <c r="B4439" s="1" t="n">
        <v>43913</v>
      </c>
      <c r="C4439" s="1" t="n">
        <v>45212</v>
      </c>
      <c r="D4439" t="inlineStr">
        <is>
          <t>VÄSTRA GÖTALANDS LÄN</t>
        </is>
      </c>
      <c r="E4439" t="inlineStr">
        <is>
          <t>HÄRRYDA</t>
        </is>
      </c>
      <c r="F4439" t="inlineStr">
        <is>
          <t>Kommuner</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15386-2020</t>
        </is>
      </c>
      <c r="B4440" s="1" t="n">
        <v>43913</v>
      </c>
      <c r="C4440" s="1" t="n">
        <v>45212</v>
      </c>
      <c r="D4440" t="inlineStr">
        <is>
          <t>VÄSTRA GÖTALANDS LÄN</t>
        </is>
      </c>
      <c r="E4440" t="inlineStr">
        <is>
          <t>BENGTSFORS</t>
        </is>
      </c>
      <c r="G4440" t="n">
        <v>2</v>
      </c>
      <c r="H4440" t="n">
        <v>0</v>
      </c>
      <c r="I4440" t="n">
        <v>0</v>
      </c>
      <c r="J4440" t="n">
        <v>0</v>
      </c>
      <c r="K4440" t="n">
        <v>0</v>
      </c>
      <c r="L4440" t="n">
        <v>0</v>
      </c>
      <c r="M4440" t="n">
        <v>0</v>
      </c>
      <c r="N4440" t="n">
        <v>0</v>
      </c>
      <c r="O4440" t="n">
        <v>0</v>
      </c>
      <c r="P4440" t="n">
        <v>0</v>
      </c>
      <c r="Q4440" t="n">
        <v>0</v>
      </c>
      <c r="R4440" s="2" t="inlineStr"/>
    </row>
    <row r="4441" ht="15" customHeight="1">
      <c r="A4441" t="inlineStr">
        <is>
          <t>A 15425-2020</t>
        </is>
      </c>
      <c r="B4441" s="1" t="n">
        <v>43914</v>
      </c>
      <c r="C4441" s="1" t="n">
        <v>45212</v>
      </c>
      <c r="D4441" t="inlineStr">
        <is>
          <t>VÄSTRA GÖTALANDS LÄN</t>
        </is>
      </c>
      <c r="E4441" t="inlineStr">
        <is>
          <t>SVENLJUNGA</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15522-2020</t>
        </is>
      </c>
      <c r="B4442" s="1" t="n">
        <v>43914</v>
      </c>
      <c r="C4442" s="1" t="n">
        <v>45212</v>
      </c>
      <c r="D4442" t="inlineStr">
        <is>
          <t>VÄSTRA GÖTALANDS LÄN</t>
        </is>
      </c>
      <c r="E4442" t="inlineStr">
        <is>
          <t>BENGTSFORS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15601-2020</t>
        </is>
      </c>
      <c r="B4443" s="1" t="n">
        <v>43914</v>
      </c>
      <c r="C4443" s="1" t="n">
        <v>45212</v>
      </c>
      <c r="D4443" t="inlineStr">
        <is>
          <t>VÄSTRA GÖTALANDS LÄN</t>
        </is>
      </c>
      <c r="E4443" t="inlineStr">
        <is>
          <t>FÄRGELANDA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16442-2020</t>
        </is>
      </c>
      <c r="B4444" s="1" t="n">
        <v>43914</v>
      </c>
      <c r="C4444" s="1" t="n">
        <v>45212</v>
      </c>
      <c r="D4444" t="inlineStr">
        <is>
          <t>VÄSTRA GÖTALANDS LÄN</t>
        </is>
      </c>
      <c r="E4444" t="inlineStr">
        <is>
          <t>TANUM</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15558-2020</t>
        </is>
      </c>
      <c r="B4445" s="1" t="n">
        <v>43914</v>
      </c>
      <c r="C4445" s="1" t="n">
        <v>45212</v>
      </c>
      <c r="D4445" t="inlineStr">
        <is>
          <t>VÄSTRA GÖTALANDS LÄN</t>
        </is>
      </c>
      <c r="E4445" t="inlineStr">
        <is>
          <t>SKARA</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15597-2020</t>
        </is>
      </c>
      <c r="B4446" s="1" t="n">
        <v>43914</v>
      </c>
      <c r="C4446" s="1" t="n">
        <v>45212</v>
      </c>
      <c r="D4446" t="inlineStr">
        <is>
          <t>VÄSTRA GÖTALANDS LÄN</t>
        </is>
      </c>
      <c r="E4446" t="inlineStr">
        <is>
          <t>HÄRRYDA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15603-2020</t>
        </is>
      </c>
      <c r="B4447" s="1" t="n">
        <v>43914</v>
      </c>
      <c r="C4447" s="1" t="n">
        <v>45212</v>
      </c>
      <c r="D4447" t="inlineStr">
        <is>
          <t>VÄSTRA GÖTALANDS LÄN</t>
        </is>
      </c>
      <c r="E4447" t="inlineStr">
        <is>
          <t>MELLERUD</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15621-2020</t>
        </is>
      </c>
      <c r="B4448" s="1" t="n">
        <v>43914</v>
      </c>
      <c r="C4448" s="1" t="n">
        <v>45212</v>
      </c>
      <c r="D4448" t="inlineStr">
        <is>
          <t>VÄSTRA GÖTALANDS LÄN</t>
        </is>
      </c>
      <c r="E4448" t="inlineStr">
        <is>
          <t>MARIESTAD</t>
        </is>
      </c>
      <c r="G4448" t="n">
        <v>2</v>
      </c>
      <c r="H4448" t="n">
        <v>0</v>
      </c>
      <c r="I4448" t="n">
        <v>0</v>
      </c>
      <c r="J4448" t="n">
        <v>0</v>
      </c>
      <c r="K4448" t="n">
        <v>0</v>
      </c>
      <c r="L4448" t="n">
        <v>0</v>
      </c>
      <c r="M4448" t="n">
        <v>0</v>
      </c>
      <c r="N4448" t="n">
        <v>0</v>
      </c>
      <c r="O4448" t="n">
        <v>0</v>
      </c>
      <c r="P4448" t="n">
        <v>0</v>
      </c>
      <c r="Q4448" t="n">
        <v>0</v>
      </c>
      <c r="R4448" s="2" t="inlineStr"/>
    </row>
    <row r="4449" ht="15" customHeight="1">
      <c r="A4449" t="inlineStr">
        <is>
          <t>A 15623-2020</t>
        </is>
      </c>
      <c r="B4449" s="1" t="n">
        <v>43914</v>
      </c>
      <c r="C4449" s="1" t="n">
        <v>45212</v>
      </c>
      <c r="D4449" t="inlineStr">
        <is>
          <t>VÄSTRA GÖTALANDS LÄN</t>
        </is>
      </c>
      <c r="E4449" t="inlineStr">
        <is>
          <t>MARIESTAD</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15530-2020</t>
        </is>
      </c>
      <c r="B4450" s="1" t="n">
        <v>43914</v>
      </c>
      <c r="C4450" s="1" t="n">
        <v>45212</v>
      </c>
      <c r="D4450" t="inlineStr">
        <is>
          <t>VÄSTRA GÖTALANDS LÄN</t>
        </is>
      </c>
      <c r="E4450" t="inlineStr">
        <is>
          <t>HJO</t>
        </is>
      </c>
      <c r="F4450" t="inlineStr">
        <is>
          <t>Kyrkan</t>
        </is>
      </c>
      <c r="G4450" t="n">
        <v>3.8</v>
      </c>
      <c r="H4450" t="n">
        <v>0</v>
      </c>
      <c r="I4450" t="n">
        <v>0</v>
      </c>
      <c r="J4450" t="n">
        <v>0</v>
      </c>
      <c r="K4450" t="n">
        <v>0</v>
      </c>
      <c r="L4450" t="n">
        <v>0</v>
      </c>
      <c r="M4450" t="n">
        <v>0</v>
      </c>
      <c r="N4450" t="n">
        <v>0</v>
      </c>
      <c r="O4450" t="n">
        <v>0</v>
      </c>
      <c r="P4450" t="n">
        <v>0</v>
      </c>
      <c r="Q4450" t="n">
        <v>0</v>
      </c>
      <c r="R4450" s="2" t="inlineStr"/>
    </row>
    <row r="4451" ht="15" customHeight="1">
      <c r="A4451" t="inlineStr">
        <is>
          <t>A 15614-2020</t>
        </is>
      </c>
      <c r="B4451" s="1" t="n">
        <v>43914</v>
      </c>
      <c r="C4451" s="1" t="n">
        <v>45212</v>
      </c>
      <c r="D4451" t="inlineStr">
        <is>
          <t>VÄSTRA GÖTALANDS LÄN</t>
        </is>
      </c>
      <c r="E4451" t="inlineStr">
        <is>
          <t>MARIESTAD</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15619-2020</t>
        </is>
      </c>
      <c r="B4452" s="1" t="n">
        <v>43914</v>
      </c>
      <c r="C4452" s="1" t="n">
        <v>45212</v>
      </c>
      <c r="D4452" t="inlineStr">
        <is>
          <t>VÄSTRA GÖTALANDS LÄN</t>
        </is>
      </c>
      <c r="E4452" t="inlineStr">
        <is>
          <t>MARIESTAD</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15758-2020</t>
        </is>
      </c>
      <c r="B4453" s="1" t="n">
        <v>43915</v>
      </c>
      <c r="C4453" s="1" t="n">
        <v>45212</v>
      </c>
      <c r="D4453" t="inlineStr">
        <is>
          <t>VÄSTRA GÖTALANDS LÄN</t>
        </is>
      </c>
      <c r="E4453" t="inlineStr">
        <is>
          <t>BENGTSFORS</t>
        </is>
      </c>
      <c r="G4453" t="n">
        <v>9.199999999999999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15798-2020</t>
        </is>
      </c>
      <c r="B4454" s="1" t="n">
        <v>43915</v>
      </c>
      <c r="C4454" s="1" t="n">
        <v>45212</v>
      </c>
      <c r="D4454" t="inlineStr">
        <is>
          <t>VÄSTRA GÖTALANDS LÄN</t>
        </is>
      </c>
      <c r="E4454" t="inlineStr">
        <is>
          <t>BORÅS</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15847-2020</t>
        </is>
      </c>
      <c r="B4455" s="1" t="n">
        <v>43915</v>
      </c>
      <c r="C4455" s="1" t="n">
        <v>45212</v>
      </c>
      <c r="D4455" t="inlineStr">
        <is>
          <t>VÄSTRA GÖTALANDS LÄN</t>
        </is>
      </c>
      <c r="E4455" t="inlineStr">
        <is>
          <t>GÖTEBORG</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17160-2020</t>
        </is>
      </c>
      <c r="B4456" s="1" t="n">
        <v>43915</v>
      </c>
      <c r="C4456" s="1" t="n">
        <v>45212</v>
      </c>
      <c r="D4456" t="inlineStr">
        <is>
          <t>VÄSTRA GÖTALANDS LÄN</t>
        </is>
      </c>
      <c r="E4456" t="inlineStr">
        <is>
          <t>LIDKÖPING</t>
        </is>
      </c>
      <c r="F4456" t="inlineStr">
        <is>
          <t>Kommuner</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15655-2020</t>
        </is>
      </c>
      <c r="B4457" s="1" t="n">
        <v>43915</v>
      </c>
      <c r="C4457" s="1" t="n">
        <v>45212</v>
      </c>
      <c r="D4457" t="inlineStr">
        <is>
          <t>VÄSTRA GÖTALANDS LÄN</t>
        </is>
      </c>
      <c r="E4457" t="inlineStr">
        <is>
          <t>SVENLJUNGA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15686-2020</t>
        </is>
      </c>
      <c r="B4458" s="1" t="n">
        <v>43915</v>
      </c>
      <c r="C4458" s="1" t="n">
        <v>45212</v>
      </c>
      <c r="D4458" t="inlineStr">
        <is>
          <t>VÄSTRA GÖTALANDS LÄN</t>
        </is>
      </c>
      <c r="E4458" t="inlineStr">
        <is>
          <t>SVENLJUNGA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15807-2020</t>
        </is>
      </c>
      <c r="B4459" s="1" t="n">
        <v>43915</v>
      </c>
      <c r="C4459" s="1" t="n">
        <v>45212</v>
      </c>
      <c r="D4459" t="inlineStr">
        <is>
          <t>VÄSTRA GÖTALANDS LÄN</t>
        </is>
      </c>
      <c r="E4459" t="inlineStr">
        <is>
          <t>LYSEKIL</t>
        </is>
      </c>
      <c r="G4459" t="n">
        <v>4.1</v>
      </c>
      <c r="H4459" t="n">
        <v>0</v>
      </c>
      <c r="I4459" t="n">
        <v>0</v>
      </c>
      <c r="J4459" t="n">
        <v>0</v>
      </c>
      <c r="K4459" t="n">
        <v>0</v>
      </c>
      <c r="L4459" t="n">
        <v>0</v>
      </c>
      <c r="M4459" t="n">
        <v>0</v>
      </c>
      <c r="N4459" t="n">
        <v>0</v>
      </c>
      <c r="O4459" t="n">
        <v>0</v>
      </c>
      <c r="P4459" t="n">
        <v>0</v>
      </c>
      <c r="Q4459" t="n">
        <v>0</v>
      </c>
      <c r="R4459" s="2" t="inlineStr"/>
    </row>
    <row r="4460" ht="15" customHeight="1">
      <c r="A4460" t="inlineStr">
        <is>
          <t>A 15841-2020</t>
        </is>
      </c>
      <c r="B4460" s="1" t="n">
        <v>43915</v>
      </c>
      <c r="C4460" s="1" t="n">
        <v>45212</v>
      </c>
      <c r="D4460" t="inlineStr">
        <is>
          <t>VÄSTRA GÖTALANDS LÄN</t>
        </is>
      </c>
      <c r="E4460" t="inlineStr">
        <is>
          <t>DALS-ED</t>
        </is>
      </c>
      <c r="G4460" t="n">
        <v>2.4</v>
      </c>
      <c r="H4460" t="n">
        <v>0</v>
      </c>
      <c r="I4460" t="n">
        <v>0</v>
      </c>
      <c r="J4460" t="n">
        <v>0</v>
      </c>
      <c r="K4460" t="n">
        <v>0</v>
      </c>
      <c r="L4460" t="n">
        <v>0</v>
      </c>
      <c r="M4460" t="n">
        <v>0</v>
      </c>
      <c r="N4460" t="n">
        <v>0</v>
      </c>
      <c r="O4460" t="n">
        <v>0</v>
      </c>
      <c r="P4460" t="n">
        <v>0</v>
      </c>
      <c r="Q4460" t="n">
        <v>0</v>
      </c>
      <c r="R4460" s="2" t="inlineStr"/>
    </row>
    <row r="4461" ht="15" customHeight="1">
      <c r="A4461" t="inlineStr">
        <is>
          <t>A 15852-2020</t>
        </is>
      </c>
      <c r="B4461" s="1" t="n">
        <v>43915</v>
      </c>
      <c r="C4461" s="1" t="n">
        <v>45212</v>
      </c>
      <c r="D4461" t="inlineStr">
        <is>
          <t>VÄSTRA GÖTALANDS LÄN</t>
        </is>
      </c>
      <c r="E4461" t="inlineStr">
        <is>
          <t>FÄRGELANDA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15662-2020</t>
        </is>
      </c>
      <c r="B4462" s="1" t="n">
        <v>43915</v>
      </c>
      <c r="C4462" s="1" t="n">
        <v>45212</v>
      </c>
      <c r="D4462" t="inlineStr">
        <is>
          <t>VÄSTRA GÖTALANDS LÄN</t>
        </is>
      </c>
      <c r="E4462" t="inlineStr">
        <is>
          <t>SVENLJUNGA</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15819-2020</t>
        </is>
      </c>
      <c r="B4463" s="1" t="n">
        <v>43915</v>
      </c>
      <c r="C4463" s="1" t="n">
        <v>45212</v>
      </c>
      <c r="D4463" t="inlineStr">
        <is>
          <t>VÄSTRA GÖTALANDS LÄN</t>
        </is>
      </c>
      <c r="E4463" t="inlineStr">
        <is>
          <t>DALS-ED</t>
        </is>
      </c>
      <c r="G4463" t="n">
        <v>10.1</v>
      </c>
      <c r="H4463" t="n">
        <v>0</v>
      </c>
      <c r="I4463" t="n">
        <v>0</v>
      </c>
      <c r="J4463" t="n">
        <v>0</v>
      </c>
      <c r="K4463" t="n">
        <v>0</v>
      </c>
      <c r="L4463" t="n">
        <v>0</v>
      </c>
      <c r="M4463" t="n">
        <v>0</v>
      </c>
      <c r="N4463" t="n">
        <v>0</v>
      </c>
      <c r="O4463" t="n">
        <v>0</v>
      </c>
      <c r="P4463" t="n">
        <v>0</v>
      </c>
      <c r="Q4463" t="n">
        <v>0</v>
      </c>
      <c r="R4463" s="2" t="inlineStr"/>
    </row>
    <row r="4464" ht="15" customHeight="1">
      <c r="A4464" t="inlineStr">
        <is>
          <t>A 15834-2020</t>
        </is>
      </c>
      <c r="B4464" s="1" t="n">
        <v>43915</v>
      </c>
      <c r="C4464" s="1" t="n">
        <v>45212</v>
      </c>
      <c r="D4464" t="inlineStr">
        <is>
          <t>VÄSTRA GÖTALANDS LÄN</t>
        </is>
      </c>
      <c r="E4464" t="inlineStr">
        <is>
          <t>TANUM</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17145-2020</t>
        </is>
      </c>
      <c r="B4465" s="1" t="n">
        <v>43915</v>
      </c>
      <c r="C4465" s="1" t="n">
        <v>45212</v>
      </c>
      <c r="D4465" t="inlineStr">
        <is>
          <t>VÄSTRA GÖTALANDS LÄN</t>
        </is>
      </c>
      <c r="E4465" t="inlineStr">
        <is>
          <t>BORÅS</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15711-2020</t>
        </is>
      </c>
      <c r="B4466" s="1" t="n">
        <v>43915</v>
      </c>
      <c r="C4466" s="1" t="n">
        <v>45212</v>
      </c>
      <c r="D4466" t="inlineStr">
        <is>
          <t>VÄSTRA GÖTALANDS LÄN</t>
        </is>
      </c>
      <c r="E4466" t="inlineStr">
        <is>
          <t>BOLLEBYGD</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15789-2020</t>
        </is>
      </c>
      <c r="B4467" s="1" t="n">
        <v>43915</v>
      </c>
      <c r="C4467" s="1" t="n">
        <v>45212</v>
      </c>
      <c r="D4467" t="inlineStr">
        <is>
          <t>VÄSTRA GÖTALANDS LÄN</t>
        </is>
      </c>
      <c r="E4467" t="inlineStr">
        <is>
          <t>BORÅS</t>
        </is>
      </c>
      <c r="G4467" t="n">
        <v>0.7</v>
      </c>
      <c r="H4467" t="n">
        <v>0</v>
      </c>
      <c r="I4467" t="n">
        <v>0</v>
      </c>
      <c r="J4467" t="n">
        <v>0</v>
      </c>
      <c r="K4467" t="n">
        <v>0</v>
      </c>
      <c r="L4467" t="n">
        <v>0</v>
      </c>
      <c r="M4467" t="n">
        <v>0</v>
      </c>
      <c r="N4467" t="n">
        <v>0</v>
      </c>
      <c r="O4467" t="n">
        <v>0</v>
      </c>
      <c r="P4467" t="n">
        <v>0</v>
      </c>
      <c r="Q4467" t="n">
        <v>0</v>
      </c>
      <c r="R4467" s="2" t="inlineStr"/>
    </row>
    <row r="4468" ht="15" customHeight="1">
      <c r="A4468" t="inlineStr">
        <is>
          <t>A 15827-2020</t>
        </is>
      </c>
      <c r="B4468" s="1" t="n">
        <v>43915</v>
      </c>
      <c r="C4468" s="1" t="n">
        <v>45212</v>
      </c>
      <c r="D4468" t="inlineStr">
        <is>
          <t>VÄSTRA GÖTALANDS LÄN</t>
        </is>
      </c>
      <c r="E4468" t="inlineStr">
        <is>
          <t>DALS-ED</t>
        </is>
      </c>
      <c r="F4468" t="inlineStr">
        <is>
          <t>Kommuner</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15842-2020</t>
        </is>
      </c>
      <c r="B4469" s="1" t="n">
        <v>43915</v>
      </c>
      <c r="C4469" s="1" t="n">
        <v>45212</v>
      </c>
      <c r="D4469" t="inlineStr">
        <is>
          <t>VÄSTRA GÖTALANDS LÄN</t>
        </is>
      </c>
      <c r="E4469" t="inlineStr">
        <is>
          <t>HERRLJUNGA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16046-2020</t>
        </is>
      </c>
      <c r="B4470" s="1" t="n">
        <v>43916</v>
      </c>
      <c r="C4470" s="1" t="n">
        <v>45212</v>
      </c>
      <c r="D4470" t="inlineStr">
        <is>
          <t>VÄSTRA GÖTALANDS LÄN</t>
        </is>
      </c>
      <c r="E4470" t="inlineStr">
        <is>
          <t>KUNGÄLV</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16065-2020</t>
        </is>
      </c>
      <c r="B4471" s="1" t="n">
        <v>43916</v>
      </c>
      <c r="C4471" s="1" t="n">
        <v>45212</v>
      </c>
      <c r="D4471" t="inlineStr">
        <is>
          <t>VÄSTRA GÖTALANDS LÄN</t>
        </is>
      </c>
      <c r="E4471" t="inlineStr">
        <is>
          <t>MÖLNDAL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16076-2020</t>
        </is>
      </c>
      <c r="B4472" s="1" t="n">
        <v>43916</v>
      </c>
      <c r="C4472" s="1" t="n">
        <v>45212</v>
      </c>
      <c r="D4472" t="inlineStr">
        <is>
          <t>VÄSTRA GÖTALANDS LÄN</t>
        </is>
      </c>
      <c r="E4472" t="inlineStr">
        <is>
          <t>MARK</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15900-2020</t>
        </is>
      </c>
      <c r="B4473" s="1" t="n">
        <v>43916</v>
      </c>
      <c r="C4473" s="1" t="n">
        <v>45212</v>
      </c>
      <c r="D4473" t="inlineStr">
        <is>
          <t>VÄSTRA GÖTALANDS LÄN</t>
        </is>
      </c>
      <c r="E4473" t="inlineStr">
        <is>
          <t>HERRLJUNGA</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15933-2020</t>
        </is>
      </c>
      <c r="B4474" s="1" t="n">
        <v>43916</v>
      </c>
      <c r="C4474" s="1" t="n">
        <v>45212</v>
      </c>
      <c r="D4474" t="inlineStr">
        <is>
          <t>VÄSTRA GÖTALANDS LÄN</t>
        </is>
      </c>
      <c r="E4474" t="inlineStr">
        <is>
          <t>ULRICEHAMN</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16085-2020</t>
        </is>
      </c>
      <c r="B4475" s="1" t="n">
        <v>43916</v>
      </c>
      <c r="C4475" s="1" t="n">
        <v>45212</v>
      </c>
      <c r="D4475" t="inlineStr">
        <is>
          <t>VÄSTRA GÖTALANDS LÄN</t>
        </is>
      </c>
      <c r="E4475" t="inlineStr">
        <is>
          <t>SKARA</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16123-2020</t>
        </is>
      </c>
      <c r="B4476" s="1" t="n">
        <v>43916</v>
      </c>
      <c r="C4476" s="1" t="n">
        <v>45212</v>
      </c>
      <c r="D4476" t="inlineStr">
        <is>
          <t>VÄSTRA GÖTALANDS LÄN</t>
        </is>
      </c>
      <c r="E4476" t="inlineStr">
        <is>
          <t>TRANEMO</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16150-2020</t>
        </is>
      </c>
      <c r="B4477" s="1" t="n">
        <v>43916</v>
      </c>
      <c r="C4477" s="1" t="n">
        <v>45212</v>
      </c>
      <c r="D4477" t="inlineStr">
        <is>
          <t>VÄSTRA GÖTALANDS LÄN</t>
        </is>
      </c>
      <c r="E4477" t="inlineStr">
        <is>
          <t>ALINGSÅS</t>
        </is>
      </c>
      <c r="G4477" t="n">
        <v>4</v>
      </c>
      <c r="H4477" t="n">
        <v>0</v>
      </c>
      <c r="I4477" t="n">
        <v>0</v>
      </c>
      <c r="J4477" t="n">
        <v>0</v>
      </c>
      <c r="K4477" t="n">
        <v>0</v>
      </c>
      <c r="L4477" t="n">
        <v>0</v>
      </c>
      <c r="M4477" t="n">
        <v>0</v>
      </c>
      <c r="N4477" t="n">
        <v>0</v>
      </c>
      <c r="O4477" t="n">
        <v>0</v>
      </c>
      <c r="P4477" t="n">
        <v>0</v>
      </c>
      <c r="Q4477" t="n">
        <v>0</v>
      </c>
      <c r="R4477" s="2" t="inlineStr"/>
    </row>
    <row r="4478" ht="15" customHeight="1">
      <c r="A4478" t="inlineStr">
        <is>
          <t>A 17266-2020</t>
        </is>
      </c>
      <c r="B4478" s="1" t="n">
        <v>43916</v>
      </c>
      <c r="C4478" s="1" t="n">
        <v>45212</v>
      </c>
      <c r="D4478" t="inlineStr">
        <is>
          <t>VÄSTRA GÖTALANDS LÄN</t>
        </is>
      </c>
      <c r="E4478" t="inlineStr">
        <is>
          <t>HERRLJUNGA</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15954-2020</t>
        </is>
      </c>
      <c r="B4479" s="1" t="n">
        <v>43916</v>
      </c>
      <c r="C4479" s="1" t="n">
        <v>45212</v>
      </c>
      <c r="D4479" t="inlineStr">
        <is>
          <t>VÄSTRA GÖTALANDS LÄN</t>
        </is>
      </c>
      <c r="E4479" t="inlineStr">
        <is>
          <t>FÄRGELANDA</t>
        </is>
      </c>
      <c r="G4479" t="n">
        <v>2.7</v>
      </c>
      <c r="H4479" t="n">
        <v>0</v>
      </c>
      <c r="I4479" t="n">
        <v>0</v>
      </c>
      <c r="J4479" t="n">
        <v>0</v>
      </c>
      <c r="K4479" t="n">
        <v>0</v>
      </c>
      <c r="L4479" t="n">
        <v>0</v>
      </c>
      <c r="M4479" t="n">
        <v>0</v>
      </c>
      <c r="N4479" t="n">
        <v>0</v>
      </c>
      <c r="O4479" t="n">
        <v>0</v>
      </c>
      <c r="P4479" t="n">
        <v>0</v>
      </c>
      <c r="Q4479" t="n">
        <v>0</v>
      </c>
      <c r="R4479" s="2" t="inlineStr"/>
    </row>
    <row r="4480" ht="15" customHeight="1">
      <c r="A4480" t="inlineStr">
        <is>
          <t>A 15999-2020</t>
        </is>
      </c>
      <c r="B4480" s="1" t="n">
        <v>43916</v>
      </c>
      <c r="C4480" s="1" t="n">
        <v>45212</v>
      </c>
      <c r="D4480" t="inlineStr">
        <is>
          <t>VÄSTRA GÖTALANDS LÄN</t>
        </is>
      </c>
      <c r="E4480" t="inlineStr">
        <is>
          <t>HERRLJUNGA</t>
        </is>
      </c>
      <c r="G4480" t="n">
        <v>2.3</v>
      </c>
      <c r="H4480" t="n">
        <v>0</v>
      </c>
      <c r="I4480" t="n">
        <v>0</v>
      </c>
      <c r="J4480" t="n">
        <v>0</v>
      </c>
      <c r="K4480" t="n">
        <v>0</v>
      </c>
      <c r="L4480" t="n">
        <v>0</v>
      </c>
      <c r="M4480" t="n">
        <v>0</v>
      </c>
      <c r="N4480" t="n">
        <v>0</v>
      </c>
      <c r="O4480" t="n">
        <v>0</v>
      </c>
      <c r="P4480" t="n">
        <v>0</v>
      </c>
      <c r="Q4480" t="n">
        <v>0</v>
      </c>
      <c r="R4480" s="2" t="inlineStr"/>
    </row>
    <row r="4481" ht="15" customHeight="1">
      <c r="A4481" t="inlineStr">
        <is>
          <t>A 16110-2020</t>
        </is>
      </c>
      <c r="B4481" s="1" t="n">
        <v>43916</v>
      </c>
      <c r="C4481" s="1" t="n">
        <v>45212</v>
      </c>
      <c r="D4481" t="inlineStr">
        <is>
          <t>VÄSTRA GÖTALANDS LÄN</t>
        </is>
      </c>
      <c r="E4481" t="inlineStr">
        <is>
          <t>BOLLEBYGD</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17356-2020</t>
        </is>
      </c>
      <c r="B4482" s="1" t="n">
        <v>43916</v>
      </c>
      <c r="C4482" s="1" t="n">
        <v>45212</v>
      </c>
      <c r="D4482" t="inlineStr">
        <is>
          <t>VÄSTRA GÖTALANDS LÄN</t>
        </is>
      </c>
      <c r="E4482" t="inlineStr">
        <is>
          <t>HERRLJUNGA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17447-2020</t>
        </is>
      </c>
      <c r="B4483" s="1" t="n">
        <v>43917</v>
      </c>
      <c r="C4483" s="1" t="n">
        <v>45212</v>
      </c>
      <c r="D4483" t="inlineStr">
        <is>
          <t>VÄSTRA GÖTALANDS LÄN</t>
        </is>
      </c>
      <c r="E4483" t="inlineStr">
        <is>
          <t>STRÖMSTAD</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16384-2020</t>
        </is>
      </c>
      <c r="B4484" s="1" t="n">
        <v>43917</v>
      </c>
      <c r="C4484" s="1" t="n">
        <v>45212</v>
      </c>
      <c r="D4484" t="inlineStr">
        <is>
          <t>VÄSTRA GÖTALANDS LÄN</t>
        </is>
      </c>
      <c r="E4484" t="inlineStr">
        <is>
          <t>VARA</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17411-2020</t>
        </is>
      </c>
      <c r="B4485" s="1" t="n">
        <v>43917</v>
      </c>
      <c r="C4485" s="1" t="n">
        <v>45212</v>
      </c>
      <c r="D4485" t="inlineStr">
        <is>
          <t>VÄSTRA GÖTALANDS LÄN</t>
        </is>
      </c>
      <c r="E4485" t="inlineStr">
        <is>
          <t>LILLA EDET</t>
        </is>
      </c>
      <c r="F4485" t="inlineStr">
        <is>
          <t>Kyrkan</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17435-2020</t>
        </is>
      </c>
      <c r="B4486" s="1" t="n">
        <v>43917</v>
      </c>
      <c r="C4486" s="1" t="n">
        <v>45212</v>
      </c>
      <c r="D4486" t="inlineStr">
        <is>
          <t>VÄSTRA GÖTALANDS LÄN</t>
        </is>
      </c>
      <c r="E4486" t="inlineStr">
        <is>
          <t>STRÖMSTAD</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17523-2020</t>
        </is>
      </c>
      <c r="B4487" s="1" t="n">
        <v>43917</v>
      </c>
      <c r="C4487" s="1" t="n">
        <v>45212</v>
      </c>
      <c r="D4487" t="inlineStr">
        <is>
          <t>VÄSTRA GÖTALANDS LÄN</t>
        </is>
      </c>
      <c r="E4487" t="inlineStr">
        <is>
          <t>STRÖMSTAD</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16256-2020</t>
        </is>
      </c>
      <c r="B4488" s="1" t="n">
        <v>43917</v>
      </c>
      <c r="C4488" s="1" t="n">
        <v>45212</v>
      </c>
      <c r="D4488" t="inlineStr">
        <is>
          <t>VÄSTRA GÖTALANDS LÄN</t>
        </is>
      </c>
      <c r="E4488" t="inlineStr">
        <is>
          <t>DALS-ED</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16281-2020</t>
        </is>
      </c>
      <c r="B4489" s="1" t="n">
        <v>43917</v>
      </c>
      <c r="C4489" s="1" t="n">
        <v>45212</v>
      </c>
      <c r="D4489" t="inlineStr">
        <is>
          <t>VÄSTRA GÖTALANDS LÄN</t>
        </is>
      </c>
      <c r="E4489" t="inlineStr">
        <is>
          <t>ÅMÅL</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16413-2020</t>
        </is>
      </c>
      <c r="B4490" s="1" t="n">
        <v>43918</v>
      </c>
      <c r="C4490" s="1" t="n">
        <v>45212</v>
      </c>
      <c r="D4490" t="inlineStr">
        <is>
          <t>VÄSTRA GÖTALANDS LÄN</t>
        </is>
      </c>
      <c r="E4490" t="inlineStr">
        <is>
          <t>BORÅS</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16409-2020</t>
        </is>
      </c>
      <c r="B4491" s="1" t="n">
        <v>43918</v>
      </c>
      <c r="C4491" s="1" t="n">
        <v>45212</v>
      </c>
      <c r="D4491" t="inlineStr">
        <is>
          <t>VÄSTRA GÖTALANDS LÄN</t>
        </is>
      </c>
      <c r="E4491" t="inlineStr">
        <is>
          <t>HERRLJUNGA</t>
        </is>
      </c>
      <c r="G4491" t="n">
        <v>4.3</v>
      </c>
      <c r="H4491" t="n">
        <v>0</v>
      </c>
      <c r="I4491" t="n">
        <v>0</v>
      </c>
      <c r="J4491" t="n">
        <v>0</v>
      </c>
      <c r="K4491" t="n">
        <v>0</v>
      </c>
      <c r="L4491" t="n">
        <v>0</v>
      </c>
      <c r="M4491" t="n">
        <v>0</v>
      </c>
      <c r="N4491" t="n">
        <v>0</v>
      </c>
      <c r="O4491" t="n">
        <v>0</v>
      </c>
      <c r="P4491" t="n">
        <v>0</v>
      </c>
      <c r="Q4491" t="n">
        <v>0</v>
      </c>
      <c r="R4491" s="2" t="inlineStr"/>
    </row>
    <row r="4492" ht="15" customHeight="1">
      <c r="A4492" t="inlineStr">
        <is>
          <t>A 16411-2020</t>
        </is>
      </c>
      <c r="B4492" s="1" t="n">
        <v>43918</v>
      </c>
      <c r="C4492" s="1" t="n">
        <v>45212</v>
      </c>
      <c r="D4492" t="inlineStr">
        <is>
          <t>VÄSTRA GÖTALANDS LÄN</t>
        </is>
      </c>
      <c r="E4492" t="inlineStr">
        <is>
          <t>DALS-ED</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16418-2020</t>
        </is>
      </c>
      <c r="B4493" s="1" t="n">
        <v>43919</v>
      </c>
      <c r="C4493" s="1" t="n">
        <v>45212</v>
      </c>
      <c r="D4493" t="inlineStr">
        <is>
          <t>VÄSTRA GÖTALANDS LÄN</t>
        </is>
      </c>
      <c r="E4493" t="inlineStr">
        <is>
          <t>FALKÖPING</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16426-2020</t>
        </is>
      </c>
      <c r="B4494" s="1" t="n">
        <v>43919</v>
      </c>
      <c r="C4494" s="1" t="n">
        <v>45212</v>
      </c>
      <c r="D4494" t="inlineStr">
        <is>
          <t>VÄSTRA GÖTALANDS LÄN</t>
        </is>
      </c>
      <c r="E4494" t="inlineStr">
        <is>
          <t>LILLA EDET</t>
        </is>
      </c>
      <c r="G4494" t="n">
        <v>2.3</v>
      </c>
      <c r="H4494" t="n">
        <v>0</v>
      </c>
      <c r="I4494" t="n">
        <v>0</v>
      </c>
      <c r="J4494" t="n">
        <v>0</v>
      </c>
      <c r="K4494" t="n">
        <v>0</v>
      </c>
      <c r="L4494" t="n">
        <v>0</v>
      </c>
      <c r="M4494" t="n">
        <v>0</v>
      </c>
      <c r="N4494" t="n">
        <v>0</v>
      </c>
      <c r="O4494" t="n">
        <v>0</v>
      </c>
      <c r="P4494" t="n">
        <v>0</v>
      </c>
      <c r="Q4494" t="n">
        <v>0</v>
      </c>
      <c r="R4494" s="2" t="inlineStr"/>
    </row>
    <row r="4495" ht="15" customHeight="1">
      <c r="A4495" t="inlineStr">
        <is>
          <t>A 16533-2020</t>
        </is>
      </c>
      <c r="B4495" s="1" t="n">
        <v>43920</v>
      </c>
      <c r="C4495" s="1" t="n">
        <v>45212</v>
      </c>
      <c r="D4495" t="inlineStr">
        <is>
          <t>VÄSTRA GÖTALANDS LÄN</t>
        </is>
      </c>
      <c r="E4495" t="inlineStr">
        <is>
          <t>MARK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16630-2020</t>
        </is>
      </c>
      <c r="B4496" s="1" t="n">
        <v>43920</v>
      </c>
      <c r="C4496" s="1" t="n">
        <v>45212</v>
      </c>
      <c r="D4496" t="inlineStr">
        <is>
          <t>VÄSTRA GÖTALANDS LÄN</t>
        </is>
      </c>
      <c r="E4496" t="inlineStr">
        <is>
          <t>TRANEMO</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16744-2020</t>
        </is>
      </c>
      <c r="B4497" s="1" t="n">
        <v>43920</v>
      </c>
      <c r="C4497" s="1" t="n">
        <v>45212</v>
      </c>
      <c r="D4497" t="inlineStr">
        <is>
          <t>VÄSTRA GÖTALANDS LÄN</t>
        </is>
      </c>
      <c r="E4497" t="inlineStr">
        <is>
          <t>MUNKEDAL</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17497-2020</t>
        </is>
      </c>
      <c r="B4498" s="1" t="n">
        <v>43920</v>
      </c>
      <c r="C4498" s="1" t="n">
        <v>45212</v>
      </c>
      <c r="D4498" t="inlineStr">
        <is>
          <t>VÄSTRA GÖTALANDS LÄN</t>
        </is>
      </c>
      <c r="E4498" t="inlineStr">
        <is>
          <t>ALINGSÅS</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17577-2020</t>
        </is>
      </c>
      <c r="B4499" s="1" t="n">
        <v>43920</v>
      </c>
      <c r="C4499" s="1" t="n">
        <v>45212</v>
      </c>
      <c r="D4499" t="inlineStr">
        <is>
          <t>VÄSTRA GÖTALANDS LÄN</t>
        </is>
      </c>
      <c r="E4499" t="inlineStr">
        <is>
          <t>STRÖMSTAD</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16626-2020</t>
        </is>
      </c>
      <c r="B4500" s="1" t="n">
        <v>43920</v>
      </c>
      <c r="C4500" s="1" t="n">
        <v>45212</v>
      </c>
      <c r="D4500" t="inlineStr">
        <is>
          <t>VÄSTRA GÖTALANDS LÄN</t>
        </is>
      </c>
      <c r="E4500" t="inlineStr">
        <is>
          <t>MARIESTAD</t>
        </is>
      </c>
      <c r="F4500" t="inlineStr">
        <is>
          <t>Sveaskog</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16467-2020</t>
        </is>
      </c>
      <c r="B4501" s="1" t="n">
        <v>43920</v>
      </c>
      <c r="C4501" s="1" t="n">
        <v>45212</v>
      </c>
      <c r="D4501" t="inlineStr">
        <is>
          <t>VÄSTRA GÖTALANDS LÄN</t>
        </is>
      </c>
      <c r="E4501" t="inlineStr">
        <is>
          <t>ULRICEHAMN</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16504-2020</t>
        </is>
      </c>
      <c r="B4502" s="1" t="n">
        <v>43920</v>
      </c>
      <c r="C4502" s="1" t="n">
        <v>45212</v>
      </c>
      <c r="D4502" t="inlineStr">
        <is>
          <t>VÄSTRA GÖTALANDS LÄN</t>
        </is>
      </c>
      <c r="E4502" t="inlineStr">
        <is>
          <t>SVENLJUNGA</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16534-2020</t>
        </is>
      </c>
      <c r="B4503" s="1" t="n">
        <v>43920</v>
      </c>
      <c r="C4503" s="1" t="n">
        <v>45212</v>
      </c>
      <c r="D4503" t="inlineStr">
        <is>
          <t>VÄSTRA GÖTALANDS LÄN</t>
        </is>
      </c>
      <c r="E4503" t="inlineStr">
        <is>
          <t>LIDKÖPING</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17502-2020</t>
        </is>
      </c>
      <c r="B4504" s="1" t="n">
        <v>43920</v>
      </c>
      <c r="C4504" s="1" t="n">
        <v>45212</v>
      </c>
      <c r="D4504" t="inlineStr">
        <is>
          <t>VÄSTRA GÖTALANDS LÄN</t>
        </is>
      </c>
      <c r="E4504" t="inlineStr">
        <is>
          <t>MARK</t>
        </is>
      </c>
      <c r="G4504" t="n">
        <v>0.5</v>
      </c>
      <c r="H4504" t="n">
        <v>0</v>
      </c>
      <c r="I4504" t="n">
        <v>0</v>
      </c>
      <c r="J4504" t="n">
        <v>0</v>
      </c>
      <c r="K4504" t="n">
        <v>0</v>
      </c>
      <c r="L4504" t="n">
        <v>0</v>
      </c>
      <c r="M4504" t="n">
        <v>0</v>
      </c>
      <c r="N4504" t="n">
        <v>0</v>
      </c>
      <c r="O4504" t="n">
        <v>0</v>
      </c>
      <c r="P4504" t="n">
        <v>0</v>
      </c>
      <c r="Q4504" t="n">
        <v>0</v>
      </c>
      <c r="R4504" s="2" t="inlineStr"/>
    </row>
    <row r="4505" ht="15" customHeight="1">
      <c r="A4505" t="inlineStr">
        <is>
          <t>A 17540-2020</t>
        </is>
      </c>
      <c r="B4505" s="1" t="n">
        <v>43920</v>
      </c>
      <c r="C4505" s="1" t="n">
        <v>45212</v>
      </c>
      <c r="D4505" t="inlineStr">
        <is>
          <t>VÄSTRA GÖTALANDS LÄN</t>
        </is>
      </c>
      <c r="E4505" t="inlineStr">
        <is>
          <t>LIDKÖPING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17568-2020</t>
        </is>
      </c>
      <c r="B4506" s="1" t="n">
        <v>43920</v>
      </c>
      <c r="C4506" s="1" t="n">
        <v>45212</v>
      </c>
      <c r="D4506" t="inlineStr">
        <is>
          <t>VÄSTRA GÖTALANDS LÄN</t>
        </is>
      </c>
      <c r="E4506" t="inlineStr">
        <is>
          <t>STRÖMSTAD</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16566-2020</t>
        </is>
      </c>
      <c r="B4507" s="1" t="n">
        <v>43920</v>
      </c>
      <c r="C4507" s="1" t="n">
        <v>45212</v>
      </c>
      <c r="D4507" t="inlineStr">
        <is>
          <t>VÄSTRA GÖTALANDS LÄN</t>
        </is>
      </c>
      <c r="E4507" t="inlineStr">
        <is>
          <t>BORÅS</t>
        </is>
      </c>
      <c r="G4507" t="n">
        <v>1.6</v>
      </c>
      <c r="H4507" t="n">
        <v>0</v>
      </c>
      <c r="I4507" t="n">
        <v>0</v>
      </c>
      <c r="J4507" t="n">
        <v>0</v>
      </c>
      <c r="K4507" t="n">
        <v>0</v>
      </c>
      <c r="L4507" t="n">
        <v>0</v>
      </c>
      <c r="M4507" t="n">
        <v>0</v>
      </c>
      <c r="N4507" t="n">
        <v>0</v>
      </c>
      <c r="O4507" t="n">
        <v>0</v>
      </c>
      <c r="P4507" t="n">
        <v>0</v>
      </c>
      <c r="Q4507" t="n">
        <v>0</v>
      </c>
      <c r="R4507" s="2" t="inlineStr"/>
    </row>
    <row r="4508" ht="15" customHeight="1">
      <c r="A4508" t="inlineStr">
        <is>
          <t>A 16726-2020</t>
        </is>
      </c>
      <c r="B4508" s="1" t="n">
        <v>43920</v>
      </c>
      <c r="C4508" s="1" t="n">
        <v>45212</v>
      </c>
      <c r="D4508" t="inlineStr">
        <is>
          <t>VÄSTRA GÖTALANDS LÄN</t>
        </is>
      </c>
      <c r="E4508" t="inlineStr">
        <is>
          <t>MUNKEDAL</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17570-2020</t>
        </is>
      </c>
      <c r="B4509" s="1" t="n">
        <v>43920</v>
      </c>
      <c r="C4509" s="1" t="n">
        <v>45212</v>
      </c>
      <c r="D4509" t="inlineStr">
        <is>
          <t>VÄSTRA GÖTALANDS LÄN</t>
        </is>
      </c>
      <c r="E4509" t="inlineStr">
        <is>
          <t>STRÖMSTAD</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17054-2020</t>
        </is>
      </c>
      <c r="B4510" s="1" t="n">
        <v>43921</v>
      </c>
      <c r="C4510" s="1" t="n">
        <v>45212</v>
      </c>
      <c r="D4510" t="inlineStr">
        <is>
          <t>VÄSTRA GÖTALANDS LÄN</t>
        </is>
      </c>
      <c r="E4510" t="inlineStr">
        <is>
          <t>BENGTSFORS</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17059-2020</t>
        </is>
      </c>
      <c r="B4511" s="1" t="n">
        <v>43921</v>
      </c>
      <c r="C4511" s="1" t="n">
        <v>45212</v>
      </c>
      <c r="D4511" t="inlineStr">
        <is>
          <t>VÄSTRA GÖTALANDS LÄN</t>
        </is>
      </c>
      <c r="E4511" t="inlineStr">
        <is>
          <t>BENGTSFORS</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17066-2020</t>
        </is>
      </c>
      <c r="B4512" s="1" t="n">
        <v>43921</v>
      </c>
      <c r="C4512" s="1" t="n">
        <v>45212</v>
      </c>
      <c r="D4512" t="inlineStr">
        <is>
          <t>VÄSTRA GÖTALANDS LÄN</t>
        </is>
      </c>
      <c r="E4512" t="inlineStr">
        <is>
          <t>BORÅS</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16785-2020</t>
        </is>
      </c>
      <c r="B4513" s="1" t="n">
        <v>43921</v>
      </c>
      <c r="C4513" s="1" t="n">
        <v>45212</v>
      </c>
      <c r="D4513" t="inlineStr">
        <is>
          <t>VÄSTRA GÖTALANDS LÄN</t>
        </is>
      </c>
      <c r="E4513" t="inlineStr">
        <is>
          <t>TIDAHOLM</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16909-2020</t>
        </is>
      </c>
      <c r="B4514" s="1" t="n">
        <v>43921</v>
      </c>
      <c r="C4514" s="1" t="n">
        <v>45212</v>
      </c>
      <c r="D4514" t="inlineStr">
        <is>
          <t>VÄSTRA GÖTALANDS LÄN</t>
        </is>
      </c>
      <c r="E4514" t="inlineStr">
        <is>
          <t>FALKÖPING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16918-2020</t>
        </is>
      </c>
      <c r="B4515" s="1" t="n">
        <v>43921</v>
      </c>
      <c r="C4515" s="1" t="n">
        <v>45212</v>
      </c>
      <c r="D4515" t="inlineStr">
        <is>
          <t>VÄSTRA GÖTALANDS LÄN</t>
        </is>
      </c>
      <c r="E4515" t="inlineStr">
        <is>
          <t>SKÖVDE</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16837-2020</t>
        </is>
      </c>
      <c r="B4516" s="1" t="n">
        <v>43921</v>
      </c>
      <c r="C4516" s="1" t="n">
        <v>45212</v>
      </c>
      <c r="D4516" t="inlineStr">
        <is>
          <t>VÄSTRA GÖTALANDS LÄN</t>
        </is>
      </c>
      <c r="E4516" t="inlineStr">
        <is>
          <t>MARIESTAD</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16920-2020</t>
        </is>
      </c>
      <c r="B4517" s="1" t="n">
        <v>43921</v>
      </c>
      <c r="C4517" s="1" t="n">
        <v>45212</v>
      </c>
      <c r="D4517" t="inlineStr">
        <is>
          <t>VÄSTRA GÖTALANDS LÄN</t>
        </is>
      </c>
      <c r="E4517" t="inlineStr">
        <is>
          <t>FALKÖPING</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17108-2020</t>
        </is>
      </c>
      <c r="B4518" s="1" t="n">
        <v>43922</v>
      </c>
      <c r="C4518" s="1" t="n">
        <v>45212</v>
      </c>
      <c r="D4518" t="inlineStr">
        <is>
          <t>VÄSTRA GÖTALANDS LÄN</t>
        </is>
      </c>
      <c r="E4518" t="inlineStr">
        <is>
          <t>HJO</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17247-2020</t>
        </is>
      </c>
      <c r="B4519" s="1" t="n">
        <v>43922</v>
      </c>
      <c r="C4519" s="1" t="n">
        <v>45212</v>
      </c>
      <c r="D4519" t="inlineStr">
        <is>
          <t>VÄSTRA GÖTALANDS LÄN</t>
        </is>
      </c>
      <c r="E4519" t="inlineStr">
        <is>
          <t>SVENLJUNGA</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17159-2020</t>
        </is>
      </c>
      <c r="B4520" s="1" t="n">
        <v>43922</v>
      </c>
      <c r="C4520" s="1" t="n">
        <v>45212</v>
      </c>
      <c r="D4520" t="inlineStr">
        <is>
          <t>VÄSTRA GÖTALANDS LÄN</t>
        </is>
      </c>
      <c r="E4520" t="inlineStr">
        <is>
          <t>BOLLEBYGD</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17257-2020</t>
        </is>
      </c>
      <c r="B4521" s="1" t="n">
        <v>43922</v>
      </c>
      <c r="C4521" s="1" t="n">
        <v>45212</v>
      </c>
      <c r="D4521" t="inlineStr">
        <is>
          <t>VÄSTRA GÖTALANDS LÄN</t>
        </is>
      </c>
      <c r="E4521" t="inlineStr">
        <is>
          <t>BORÅS</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17321-2020</t>
        </is>
      </c>
      <c r="B4522" s="1" t="n">
        <v>43922</v>
      </c>
      <c r="C4522" s="1" t="n">
        <v>45212</v>
      </c>
      <c r="D4522" t="inlineStr">
        <is>
          <t>VÄSTRA GÖTALANDS LÄN</t>
        </is>
      </c>
      <c r="E4522" t="inlineStr">
        <is>
          <t>ALINGSÅS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17385-2020</t>
        </is>
      </c>
      <c r="B4523" s="1" t="n">
        <v>43923</v>
      </c>
      <c r="C4523" s="1" t="n">
        <v>45212</v>
      </c>
      <c r="D4523" t="inlineStr">
        <is>
          <t>VÄSTRA GÖTALANDS LÄN</t>
        </is>
      </c>
      <c r="E4523" t="inlineStr">
        <is>
          <t>MARK</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17853-2020</t>
        </is>
      </c>
      <c r="B4524" s="1" t="n">
        <v>43923</v>
      </c>
      <c r="C4524" s="1" t="n">
        <v>45212</v>
      </c>
      <c r="D4524" t="inlineStr">
        <is>
          <t>VÄSTRA GÖTALANDS LÄN</t>
        </is>
      </c>
      <c r="E4524" t="inlineStr">
        <is>
          <t>ÅMÅL</t>
        </is>
      </c>
      <c r="F4524" t="inlineStr">
        <is>
          <t>Bergvik skog väst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17610-2020</t>
        </is>
      </c>
      <c r="B4525" s="1" t="n">
        <v>43923</v>
      </c>
      <c r="C4525" s="1" t="n">
        <v>45212</v>
      </c>
      <c r="D4525" t="inlineStr">
        <is>
          <t>VÄSTRA GÖTALANDS LÄN</t>
        </is>
      </c>
      <c r="E4525" t="inlineStr">
        <is>
          <t>ULRICEHAMN</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17858-2020</t>
        </is>
      </c>
      <c r="B4526" s="1" t="n">
        <v>43923</v>
      </c>
      <c r="C4526" s="1" t="n">
        <v>45212</v>
      </c>
      <c r="D4526" t="inlineStr">
        <is>
          <t>VÄSTRA GÖTALANDS LÄN</t>
        </is>
      </c>
      <c r="E4526" t="inlineStr">
        <is>
          <t>ÅMÅL</t>
        </is>
      </c>
      <c r="F4526" t="inlineStr">
        <is>
          <t>Bergvik skog väst AB</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17537-2020</t>
        </is>
      </c>
      <c r="B4527" s="1" t="n">
        <v>43923</v>
      </c>
      <c r="C4527" s="1" t="n">
        <v>45212</v>
      </c>
      <c r="D4527" t="inlineStr">
        <is>
          <t>VÄSTRA GÖTALANDS LÄN</t>
        </is>
      </c>
      <c r="E4527" t="inlineStr">
        <is>
          <t>DALS-ED</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17657-2020</t>
        </is>
      </c>
      <c r="B4528" s="1" t="n">
        <v>43923</v>
      </c>
      <c r="C4528" s="1" t="n">
        <v>45212</v>
      </c>
      <c r="D4528" t="inlineStr">
        <is>
          <t>VÄSTRA GÖTALANDS LÄN</t>
        </is>
      </c>
      <c r="E4528" t="inlineStr">
        <is>
          <t>LILLA EDET</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17675-2020</t>
        </is>
      </c>
      <c r="B4529" s="1" t="n">
        <v>43923</v>
      </c>
      <c r="C4529" s="1" t="n">
        <v>45212</v>
      </c>
      <c r="D4529" t="inlineStr">
        <is>
          <t>VÄSTRA GÖTALANDS LÄN</t>
        </is>
      </c>
      <c r="E4529" t="inlineStr">
        <is>
          <t>SVENLJUNGA</t>
        </is>
      </c>
      <c r="G4529" t="n">
        <v>10.1</v>
      </c>
      <c r="H4529" t="n">
        <v>0</v>
      </c>
      <c r="I4529" t="n">
        <v>0</v>
      </c>
      <c r="J4529" t="n">
        <v>0</v>
      </c>
      <c r="K4529" t="n">
        <v>0</v>
      </c>
      <c r="L4529" t="n">
        <v>0</v>
      </c>
      <c r="M4529" t="n">
        <v>0</v>
      </c>
      <c r="N4529" t="n">
        <v>0</v>
      </c>
      <c r="O4529" t="n">
        <v>0</v>
      </c>
      <c r="P4529" t="n">
        <v>0</v>
      </c>
      <c r="Q4529" t="n">
        <v>0</v>
      </c>
      <c r="R4529" s="2" t="inlineStr"/>
    </row>
    <row r="4530" ht="15" customHeight="1">
      <c r="A4530" t="inlineStr">
        <is>
          <t>A 17471-2020</t>
        </is>
      </c>
      <c r="B4530" s="1" t="n">
        <v>43923</v>
      </c>
      <c r="C4530" s="1" t="n">
        <v>45212</v>
      </c>
      <c r="D4530" t="inlineStr">
        <is>
          <t>VÄSTRA GÖTALANDS LÄN</t>
        </is>
      </c>
      <c r="E4530" t="inlineStr">
        <is>
          <t>SVENLJUNGA</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17507-2020</t>
        </is>
      </c>
      <c r="B4531" s="1" t="n">
        <v>43923</v>
      </c>
      <c r="C4531" s="1" t="n">
        <v>45212</v>
      </c>
      <c r="D4531" t="inlineStr">
        <is>
          <t>VÄSTRA GÖTALANDS LÄN</t>
        </is>
      </c>
      <c r="E4531" t="inlineStr">
        <is>
          <t>GULLSPÅNG</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17659-2020</t>
        </is>
      </c>
      <c r="B4532" s="1" t="n">
        <v>43923</v>
      </c>
      <c r="C4532" s="1" t="n">
        <v>45212</v>
      </c>
      <c r="D4532" t="inlineStr">
        <is>
          <t>VÄSTRA GÖTALANDS LÄN</t>
        </is>
      </c>
      <c r="E4532" t="inlineStr">
        <is>
          <t>LILLA EDET</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17874-2020</t>
        </is>
      </c>
      <c r="B4533" s="1" t="n">
        <v>43923</v>
      </c>
      <c r="C4533" s="1" t="n">
        <v>45212</v>
      </c>
      <c r="D4533" t="inlineStr">
        <is>
          <t>VÄSTRA GÖTALANDS LÄN</t>
        </is>
      </c>
      <c r="E4533" t="inlineStr">
        <is>
          <t>TANUM</t>
        </is>
      </c>
      <c r="F4533" t="inlineStr">
        <is>
          <t>Kyrkan</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17748-2020</t>
        </is>
      </c>
      <c r="B4534" s="1" t="n">
        <v>43924</v>
      </c>
      <c r="C4534" s="1" t="n">
        <v>45212</v>
      </c>
      <c r="D4534" t="inlineStr">
        <is>
          <t>VÄSTRA GÖTALANDS LÄN</t>
        </is>
      </c>
      <c r="E4534" t="inlineStr">
        <is>
          <t>BENGTSFORS</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17843-2020</t>
        </is>
      </c>
      <c r="B4535" s="1" t="n">
        <v>43924</v>
      </c>
      <c r="C4535" s="1" t="n">
        <v>45212</v>
      </c>
      <c r="D4535" t="inlineStr">
        <is>
          <t>VÄSTRA GÖTALANDS LÄN</t>
        </is>
      </c>
      <c r="E4535" t="inlineStr">
        <is>
          <t>TANUM</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18116-2020</t>
        </is>
      </c>
      <c r="B4536" s="1" t="n">
        <v>43924</v>
      </c>
      <c r="C4536" s="1" t="n">
        <v>45212</v>
      </c>
      <c r="D4536" t="inlineStr">
        <is>
          <t>VÄSTRA GÖTALANDS LÄN</t>
        </is>
      </c>
      <c r="E4536" t="inlineStr">
        <is>
          <t>TÖREBODA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18161-2020</t>
        </is>
      </c>
      <c r="B4537" s="1" t="n">
        <v>43924</v>
      </c>
      <c r="C4537" s="1" t="n">
        <v>45212</v>
      </c>
      <c r="D4537" t="inlineStr">
        <is>
          <t>VÄSTRA GÖTALANDS LÄN</t>
        </is>
      </c>
      <c r="E4537" t="inlineStr">
        <is>
          <t>MUNKEDAL</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17770-2020</t>
        </is>
      </c>
      <c r="B4538" s="1" t="n">
        <v>43924</v>
      </c>
      <c r="C4538" s="1" t="n">
        <v>45212</v>
      </c>
      <c r="D4538" t="inlineStr">
        <is>
          <t>VÄSTRA GÖTALANDS LÄN</t>
        </is>
      </c>
      <c r="E4538" t="inlineStr">
        <is>
          <t>UDDEVALLA</t>
        </is>
      </c>
      <c r="G4538" t="n">
        <v>10</v>
      </c>
      <c r="H4538" t="n">
        <v>0</v>
      </c>
      <c r="I4538" t="n">
        <v>0</v>
      </c>
      <c r="J4538" t="n">
        <v>0</v>
      </c>
      <c r="K4538" t="n">
        <v>0</v>
      </c>
      <c r="L4538" t="n">
        <v>0</v>
      </c>
      <c r="M4538" t="n">
        <v>0</v>
      </c>
      <c r="N4538" t="n">
        <v>0</v>
      </c>
      <c r="O4538" t="n">
        <v>0</v>
      </c>
      <c r="P4538" t="n">
        <v>0</v>
      </c>
      <c r="Q4538" t="n">
        <v>0</v>
      </c>
      <c r="R4538" s="2" t="inlineStr"/>
    </row>
    <row r="4539" ht="15" customHeight="1">
      <c r="A4539" t="inlineStr">
        <is>
          <t>A 18078-2020</t>
        </is>
      </c>
      <c r="B4539" s="1" t="n">
        <v>43924</v>
      </c>
      <c r="C4539" s="1" t="n">
        <v>45212</v>
      </c>
      <c r="D4539" t="inlineStr">
        <is>
          <t>VÄSTRA GÖTALANDS LÄN</t>
        </is>
      </c>
      <c r="E4539" t="inlineStr">
        <is>
          <t>TÖREBODA</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17781-2020</t>
        </is>
      </c>
      <c r="B4540" s="1" t="n">
        <v>43924</v>
      </c>
      <c r="C4540" s="1" t="n">
        <v>45212</v>
      </c>
      <c r="D4540" t="inlineStr">
        <is>
          <t>VÄSTRA GÖTALANDS LÄN</t>
        </is>
      </c>
      <c r="E4540" t="inlineStr">
        <is>
          <t>ÅMÅL</t>
        </is>
      </c>
      <c r="G4540" t="n">
        <v>8.199999999999999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17839-2020</t>
        </is>
      </c>
      <c r="B4541" s="1" t="n">
        <v>43924</v>
      </c>
      <c r="C4541" s="1" t="n">
        <v>45212</v>
      </c>
      <c r="D4541" t="inlineStr">
        <is>
          <t>VÄSTRA GÖTALANDS LÄN</t>
        </is>
      </c>
      <c r="E4541" t="inlineStr">
        <is>
          <t>DALS-ED</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17889-2020</t>
        </is>
      </c>
      <c r="B4542" s="1" t="n">
        <v>43924</v>
      </c>
      <c r="C4542" s="1" t="n">
        <v>45212</v>
      </c>
      <c r="D4542" t="inlineStr">
        <is>
          <t>VÄSTRA GÖTALANDS LÄN</t>
        </is>
      </c>
      <c r="E4542" t="inlineStr">
        <is>
          <t>FÄRGELANDA</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18110-2020</t>
        </is>
      </c>
      <c r="B4543" s="1" t="n">
        <v>43924</v>
      </c>
      <c r="C4543" s="1" t="n">
        <v>45212</v>
      </c>
      <c r="D4543" t="inlineStr">
        <is>
          <t>VÄSTRA GÖTALANDS LÄN</t>
        </is>
      </c>
      <c r="E4543" t="inlineStr">
        <is>
          <t>TÖREBODA</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17962-2020</t>
        </is>
      </c>
      <c r="B4544" s="1" t="n">
        <v>43925</v>
      </c>
      <c r="C4544" s="1" t="n">
        <v>45212</v>
      </c>
      <c r="D4544" t="inlineStr">
        <is>
          <t>VÄSTRA GÖTALANDS LÄN</t>
        </is>
      </c>
      <c r="E4544" t="inlineStr">
        <is>
          <t>FÄRGELANDA</t>
        </is>
      </c>
      <c r="G4544" t="n">
        <v>1.7</v>
      </c>
      <c r="H4544" t="n">
        <v>0</v>
      </c>
      <c r="I4544" t="n">
        <v>0</v>
      </c>
      <c r="J4544" t="n">
        <v>0</v>
      </c>
      <c r="K4544" t="n">
        <v>0</v>
      </c>
      <c r="L4544" t="n">
        <v>0</v>
      </c>
      <c r="M4544" t="n">
        <v>0</v>
      </c>
      <c r="N4544" t="n">
        <v>0</v>
      </c>
      <c r="O4544" t="n">
        <v>0</v>
      </c>
      <c r="P4544" t="n">
        <v>0</v>
      </c>
      <c r="Q4544" t="n">
        <v>0</v>
      </c>
      <c r="R4544" s="2" t="inlineStr"/>
    </row>
    <row r="4545" ht="15" customHeight="1">
      <c r="A4545" t="inlineStr">
        <is>
          <t>A 17961-2020</t>
        </is>
      </c>
      <c r="B4545" s="1" t="n">
        <v>43925</v>
      </c>
      <c r="C4545" s="1" t="n">
        <v>45212</v>
      </c>
      <c r="D4545" t="inlineStr">
        <is>
          <t>VÄSTRA GÖTALANDS LÄN</t>
        </is>
      </c>
      <c r="E4545" t="inlineStr">
        <is>
          <t>FÄRGELANDA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17979-2020</t>
        </is>
      </c>
      <c r="B4546" s="1" t="n">
        <v>43926</v>
      </c>
      <c r="C4546" s="1" t="n">
        <v>45212</v>
      </c>
      <c r="D4546" t="inlineStr">
        <is>
          <t>VÄSTRA GÖTALANDS LÄN</t>
        </is>
      </c>
      <c r="E4546" t="inlineStr">
        <is>
          <t>ÅMÅL</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18042-2020</t>
        </is>
      </c>
      <c r="B4547" s="1" t="n">
        <v>43927</v>
      </c>
      <c r="C4547" s="1" t="n">
        <v>45212</v>
      </c>
      <c r="D4547" t="inlineStr">
        <is>
          <t>VÄSTRA GÖTALANDS LÄN</t>
        </is>
      </c>
      <c r="E4547" t="inlineStr">
        <is>
          <t>ALINGSÅS</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18199-2020</t>
        </is>
      </c>
      <c r="B4548" s="1" t="n">
        <v>43927</v>
      </c>
      <c r="C4548" s="1" t="n">
        <v>45212</v>
      </c>
      <c r="D4548" t="inlineStr">
        <is>
          <t>VÄSTRA GÖTALANDS LÄN</t>
        </is>
      </c>
      <c r="E4548" t="inlineStr">
        <is>
          <t>MARK</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18218-2020</t>
        </is>
      </c>
      <c r="B4549" s="1" t="n">
        <v>43927</v>
      </c>
      <c r="C4549" s="1" t="n">
        <v>45212</v>
      </c>
      <c r="D4549" t="inlineStr">
        <is>
          <t>VÄSTRA GÖTALANDS LÄN</t>
        </is>
      </c>
      <c r="E4549" t="inlineStr">
        <is>
          <t>BOLLEBYGD</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18195-2020</t>
        </is>
      </c>
      <c r="B4550" s="1" t="n">
        <v>43927</v>
      </c>
      <c r="C4550" s="1" t="n">
        <v>45212</v>
      </c>
      <c r="D4550" t="inlineStr">
        <is>
          <t>VÄSTRA GÖTALANDS LÄN</t>
        </is>
      </c>
      <c r="E4550" t="inlineStr">
        <is>
          <t>BORÅS</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18521-2020</t>
        </is>
      </c>
      <c r="B4551" s="1" t="n">
        <v>43927</v>
      </c>
      <c r="C4551" s="1" t="n">
        <v>45212</v>
      </c>
      <c r="D4551" t="inlineStr">
        <is>
          <t>VÄSTRA GÖTALANDS LÄN</t>
        </is>
      </c>
      <c r="E4551" t="inlineStr">
        <is>
          <t>BENGTSFORS</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18001-2020</t>
        </is>
      </c>
      <c r="B4552" s="1" t="n">
        <v>43927</v>
      </c>
      <c r="C4552" s="1" t="n">
        <v>45212</v>
      </c>
      <c r="D4552" t="inlineStr">
        <is>
          <t>VÄSTRA GÖTALANDS LÄN</t>
        </is>
      </c>
      <c r="E4552" t="inlineStr">
        <is>
          <t>ULRICEHAMN</t>
        </is>
      </c>
      <c r="G4552" t="n">
        <v>5.4</v>
      </c>
      <c r="H4552" t="n">
        <v>0</v>
      </c>
      <c r="I4552" t="n">
        <v>0</v>
      </c>
      <c r="J4552" t="n">
        <v>0</v>
      </c>
      <c r="K4552" t="n">
        <v>0</v>
      </c>
      <c r="L4552" t="n">
        <v>0</v>
      </c>
      <c r="M4552" t="n">
        <v>0</v>
      </c>
      <c r="N4552" t="n">
        <v>0</v>
      </c>
      <c r="O4552" t="n">
        <v>0</v>
      </c>
      <c r="P4552" t="n">
        <v>0</v>
      </c>
      <c r="Q4552" t="n">
        <v>0</v>
      </c>
      <c r="R4552" s="2" t="inlineStr"/>
    </row>
    <row r="4553" ht="15" customHeight="1">
      <c r="A4553" t="inlineStr">
        <is>
          <t>A 18152-2020</t>
        </is>
      </c>
      <c r="B4553" s="1" t="n">
        <v>43927</v>
      </c>
      <c r="C4553" s="1" t="n">
        <v>45212</v>
      </c>
      <c r="D4553" t="inlineStr">
        <is>
          <t>VÄSTRA GÖTALANDS LÄN</t>
        </is>
      </c>
      <c r="E4553" t="inlineStr">
        <is>
          <t>DALS-ED</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18280-2020</t>
        </is>
      </c>
      <c r="B4554" s="1" t="n">
        <v>43928</v>
      </c>
      <c r="C4554" s="1" t="n">
        <v>45212</v>
      </c>
      <c r="D4554" t="inlineStr">
        <is>
          <t>VÄSTRA GÖTALANDS LÄN</t>
        </is>
      </c>
      <c r="E4554" t="inlineStr">
        <is>
          <t>LIDKÖPING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18410-2020</t>
        </is>
      </c>
      <c r="B4555" s="1" t="n">
        <v>43928</v>
      </c>
      <c r="C4555" s="1" t="n">
        <v>45212</v>
      </c>
      <c r="D4555" t="inlineStr">
        <is>
          <t>VÄSTRA GÖTALANDS LÄN</t>
        </is>
      </c>
      <c r="E4555" t="inlineStr">
        <is>
          <t>UDDEVALLA</t>
        </is>
      </c>
      <c r="G4555" t="n">
        <v>8.699999999999999</v>
      </c>
      <c r="H4555" t="n">
        <v>0</v>
      </c>
      <c r="I4555" t="n">
        <v>0</v>
      </c>
      <c r="J4555" t="n">
        <v>0</v>
      </c>
      <c r="K4555" t="n">
        <v>0</v>
      </c>
      <c r="L4555" t="n">
        <v>0</v>
      </c>
      <c r="M4555" t="n">
        <v>0</v>
      </c>
      <c r="N4555" t="n">
        <v>0</v>
      </c>
      <c r="O4555" t="n">
        <v>0</v>
      </c>
      <c r="P4555" t="n">
        <v>0</v>
      </c>
      <c r="Q4555" t="n">
        <v>0</v>
      </c>
      <c r="R4555" s="2" t="inlineStr"/>
    </row>
    <row r="4556" ht="15" customHeight="1">
      <c r="A4556" t="inlineStr">
        <is>
          <t>A 18317-2020</t>
        </is>
      </c>
      <c r="B4556" s="1" t="n">
        <v>43928</v>
      </c>
      <c r="C4556" s="1" t="n">
        <v>45212</v>
      </c>
      <c r="D4556" t="inlineStr">
        <is>
          <t>VÄSTRA GÖTALANDS LÄN</t>
        </is>
      </c>
      <c r="E4556" t="inlineStr">
        <is>
          <t>ALINGSÅS</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18353-2020</t>
        </is>
      </c>
      <c r="B4557" s="1" t="n">
        <v>43928</v>
      </c>
      <c r="C4557" s="1" t="n">
        <v>45212</v>
      </c>
      <c r="D4557" t="inlineStr">
        <is>
          <t>VÄSTRA GÖTALANDS LÄN</t>
        </is>
      </c>
      <c r="E4557" t="inlineStr">
        <is>
          <t>MUNKEDAL</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18399-2020</t>
        </is>
      </c>
      <c r="B4558" s="1" t="n">
        <v>43928</v>
      </c>
      <c r="C4558" s="1" t="n">
        <v>45212</v>
      </c>
      <c r="D4558" t="inlineStr">
        <is>
          <t>VÄSTRA GÖTALANDS LÄN</t>
        </is>
      </c>
      <c r="E4558" t="inlineStr">
        <is>
          <t>SKÖVDE</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18485-2020</t>
        </is>
      </c>
      <c r="B4559" s="1" t="n">
        <v>43929</v>
      </c>
      <c r="C4559" s="1" t="n">
        <v>45212</v>
      </c>
      <c r="D4559" t="inlineStr">
        <is>
          <t>VÄSTRA GÖTALANDS LÄN</t>
        </is>
      </c>
      <c r="E4559" t="inlineStr">
        <is>
          <t>LIDKÖPING</t>
        </is>
      </c>
      <c r="G4559" t="n">
        <v>0.4</v>
      </c>
      <c r="H4559" t="n">
        <v>0</v>
      </c>
      <c r="I4559" t="n">
        <v>0</v>
      </c>
      <c r="J4559" t="n">
        <v>0</v>
      </c>
      <c r="K4559" t="n">
        <v>0</v>
      </c>
      <c r="L4559" t="n">
        <v>0</v>
      </c>
      <c r="M4559" t="n">
        <v>0</v>
      </c>
      <c r="N4559" t="n">
        <v>0</v>
      </c>
      <c r="O4559" t="n">
        <v>0</v>
      </c>
      <c r="P4559" t="n">
        <v>0</v>
      </c>
      <c r="Q4559" t="n">
        <v>0</v>
      </c>
      <c r="R4559" s="2" t="inlineStr"/>
    </row>
    <row r="4560" ht="15" customHeight="1">
      <c r="A4560" t="inlineStr">
        <is>
          <t>A 18479-2020</t>
        </is>
      </c>
      <c r="B4560" s="1" t="n">
        <v>43929</v>
      </c>
      <c r="C4560" s="1" t="n">
        <v>45212</v>
      </c>
      <c r="D4560" t="inlineStr">
        <is>
          <t>VÄSTRA GÖTALANDS LÄN</t>
        </is>
      </c>
      <c r="E4560" t="inlineStr">
        <is>
          <t>ULRICEHAMN</t>
        </is>
      </c>
      <c r="G4560" t="n">
        <v>6.7</v>
      </c>
      <c r="H4560" t="n">
        <v>0</v>
      </c>
      <c r="I4560" t="n">
        <v>0</v>
      </c>
      <c r="J4560" t="n">
        <v>0</v>
      </c>
      <c r="K4560" t="n">
        <v>0</v>
      </c>
      <c r="L4560" t="n">
        <v>0</v>
      </c>
      <c r="M4560" t="n">
        <v>0</v>
      </c>
      <c r="N4560" t="n">
        <v>0</v>
      </c>
      <c r="O4560" t="n">
        <v>0</v>
      </c>
      <c r="P4560" t="n">
        <v>0</v>
      </c>
      <c r="Q4560" t="n">
        <v>0</v>
      </c>
      <c r="R4560" s="2" t="inlineStr"/>
    </row>
    <row r="4561" ht="15" customHeight="1">
      <c r="A4561" t="inlineStr">
        <is>
          <t>A 18849-2020</t>
        </is>
      </c>
      <c r="B4561" s="1" t="n">
        <v>43929</v>
      </c>
      <c r="C4561" s="1" t="n">
        <v>45212</v>
      </c>
      <c r="D4561" t="inlineStr">
        <is>
          <t>VÄSTRA GÖTALANDS LÄN</t>
        </is>
      </c>
      <c r="E4561" t="inlineStr">
        <is>
          <t>HÄRRYDA</t>
        </is>
      </c>
      <c r="G4561" t="n">
        <v>2.4</v>
      </c>
      <c r="H4561" t="n">
        <v>0</v>
      </c>
      <c r="I4561" t="n">
        <v>0</v>
      </c>
      <c r="J4561" t="n">
        <v>0</v>
      </c>
      <c r="K4561" t="n">
        <v>0</v>
      </c>
      <c r="L4561" t="n">
        <v>0</v>
      </c>
      <c r="M4561" t="n">
        <v>0</v>
      </c>
      <c r="N4561" t="n">
        <v>0</v>
      </c>
      <c r="O4561" t="n">
        <v>0</v>
      </c>
      <c r="P4561" t="n">
        <v>0</v>
      </c>
      <c r="Q4561" t="n">
        <v>0</v>
      </c>
      <c r="R4561" s="2" t="inlineStr"/>
    </row>
    <row r="4562" ht="15" customHeight="1">
      <c r="A4562" t="inlineStr">
        <is>
          <t>A 18564-2020</t>
        </is>
      </c>
      <c r="B4562" s="1" t="n">
        <v>43929</v>
      </c>
      <c r="C4562" s="1" t="n">
        <v>45212</v>
      </c>
      <c r="D4562" t="inlineStr">
        <is>
          <t>VÄSTRA GÖTALANDS LÄN</t>
        </is>
      </c>
      <c r="E4562" t="inlineStr">
        <is>
          <t>GÖTENE</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18847-2020</t>
        </is>
      </c>
      <c r="B4563" s="1" t="n">
        <v>43929</v>
      </c>
      <c r="C4563" s="1" t="n">
        <v>45212</v>
      </c>
      <c r="D4563" t="inlineStr">
        <is>
          <t>VÄSTRA GÖTALANDS LÄN</t>
        </is>
      </c>
      <c r="E4563" t="inlineStr">
        <is>
          <t>HÄRRYDA</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18694-2020</t>
        </is>
      </c>
      <c r="B4564" s="1" t="n">
        <v>43930</v>
      </c>
      <c r="C4564" s="1" t="n">
        <v>45212</v>
      </c>
      <c r="D4564" t="inlineStr">
        <is>
          <t>VÄSTRA GÖTALANDS LÄN</t>
        </is>
      </c>
      <c r="E4564" t="inlineStr">
        <is>
          <t>BORÅS</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18623-2020</t>
        </is>
      </c>
      <c r="B4565" s="1" t="n">
        <v>43930</v>
      </c>
      <c r="C4565" s="1" t="n">
        <v>45212</v>
      </c>
      <c r="D4565" t="inlineStr">
        <is>
          <t>VÄSTRA GÖTALANDS LÄN</t>
        </is>
      </c>
      <c r="E4565" t="inlineStr">
        <is>
          <t>MARK</t>
        </is>
      </c>
      <c r="G4565" t="n">
        <v>2.6</v>
      </c>
      <c r="H4565" t="n">
        <v>0</v>
      </c>
      <c r="I4565" t="n">
        <v>0</v>
      </c>
      <c r="J4565" t="n">
        <v>0</v>
      </c>
      <c r="K4565" t="n">
        <v>0</v>
      </c>
      <c r="L4565" t="n">
        <v>0</v>
      </c>
      <c r="M4565" t="n">
        <v>0</v>
      </c>
      <c r="N4565" t="n">
        <v>0</v>
      </c>
      <c r="O4565" t="n">
        <v>0</v>
      </c>
      <c r="P4565" t="n">
        <v>0</v>
      </c>
      <c r="Q4565" t="n">
        <v>0</v>
      </c>
      <c r="R4565" s="2" t="inlineStr"/>
    </row>
    <row r="4566" ht="15" customHeight="1">
      <c r="A4566" t="inlineStr">
        <is>
          <t>A 18745-2020</t>
        </is>
      </c>
      <c r="B4566" s="1" t="n">
        <v>43930</v>
      </c>
      <c r="C4566" s="1" t="n">
        <v>45212</v>
      </c>
      <c r="D4566" t="inlineStr">
        <is>
          <t>VÄSTRA GÖTALANDS LÄN</t>
        </is>
      </c>
      <c r="E4566" t="inlineStr">
        <is>
          <t>TIDAHOLM</t>
        </is>
      </c>
      <c r="G4566" t="n">
        <v>2.7</v>
      </c>
      <c r="H4566" t="n">
        <v>0</v>
      </c>
      <c r="I4566" t="n">
        <v>0</v>
      </c>
      <c r="J4566" t="n">
        <v>0</v>
      </c>
      <c r="K4566" t="n">
        <v>0</v>
      </c>
      <c r="L4566" t="n">
        <v>0</v>
      </c>
      <c r="M4566" t="n">
        <v>0</v>
      </c>
      <c r="N4566" t="n">
        <v>0</v>
      </c>
      <c r="O4566" t="n">
        <v>0</v>
      </c>
      <c r="P4566" t="n">
        <v>0</v>
      </c>
      <c r="Q4566" t="n">
        <v>0</v>
      </c>
      <c r="R4566" s="2" t="inlineStr"/>
    </row>
    <row r="4567" ht="15" customHeight="1">
      <c r="A4567" t="inlineStr">
        <is>
          <t>A 18700-2020</t>
        </is>
      </c>
      <c r="B4567" s="1" t="n">
        <v>43930</v>
      </c>
      <c r="C4567" s="1" t="n">
        <v>45212</v>
      </c>
      <c r="D4567" t="inlineStr">
        <is>
          <t>VÄSTRA GÖTALANDS LÄN</t>
        </is>
      </c>
      <c r="E4567" t="inlineStr">
        <is>
          <t>VARA</t>
        </is>
      </c>
      <c r="F4567" t="inlineStr">
        <is>
          <t>Sveaskog</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18727-2020</t>
        </is>
      </c>
      <c r="B4568" s="1" t="n">
        <v>43930</v>
      </c>
      <c r="C4568" s="1" t="n">
        <v>45212</v>
      </c>
      <c r="D4568" t="inlineStr">
        <is>
          <t>VÄSTRA GÖTALANDS LÄN</t>
        </is>
      </c>
      <c r="E4568" t="inlineStr">
        <is>
          <t>VARA</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18750-2020</t>
        </is>
      </c>
      <c r="B4569" s="1" t="n">
        <v>43930</v>
      </c>
      <c r="C4569" s="1" t="n">
        <v>45212</v>
      </c>
      <c r="D4569" t="inlineStr">
        <is>
          <t>VÄSTRA GÖTALANDS LÄN</t>
        </is>
      </c>
      <c r="E4569" t="inlineStr">
        <is>
          <t>LIDKÖPING</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18756-2020</t>
        </is>
      </c>
      <c r="B4570" s="1" t="n">
        <v>43930</v>
      </c>
      <c r="C4570" s="1" t="n">
        <v>45212</v>
      </c>
      <c r="D4570" t="inlineStr">
        <is>
          <t>VÄSTRA GÖTALANDS LÄN</t>
        </is>
      </c>
      <c r="E4570" t="inlineStr">
        <is>
          <t>LIDKÖPING</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18685-2020</t>
        </is>
      </c>
      <c r="B4571" s="1" t="n">
        <v>43930</v>
      </c>
      <c r="C4571" s="1" t="n">
        <v>45212</v>
      </c>
      <c r="D4571" t="inlineStr">
        <is>
          <t>VÄSTRA GÖTALANDS LÄN</t>
        </is>
      </c>
      <c r="E4571" t="inlineStr">
        <is>
          <t>GRÄSTORP</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18697-2020</t>
        </is>
      </c>
      <c r="B4572" s="1" t="n">
        <v>43930</v>
      </c>
      <c r="C4572" s="1" t="n">
        <v>45212</v>
      </c>
      <c r="D4572" t="inlineStr">
        <is>
          <t>VÄSTRA GÖTALANDS LÄN</t>
        </is>
      </c>
      <c r="E4572" t="inlineStr">
        <is>
          <t>GRÄSTORP</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18738-2020</t>
        </is>
      </c>
      <c r="B4573" s="1" t="n">
        <v>43930</v>
      </c>
      <c r="C4573" s="1" t="n">
        <v>45212</v>
      </c>
      <c r="D4573" t="inlineStr">
        <is>
          <t>VÄSTRA GÖTALANDS LÄN</t>
        </is>
      </c>
      <c r="E4573" t="inlineStr">
        <is>
          <t>BENGTSFORS</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18752-2020</t>
        </is>
      </c>
      <c r="B4574" s="1" t="n">
        <v>43930</v>
      </c>
      <c r="C4574" s="1" t="n">
        <v>45212</v>
      </c>
      <c r="D4574" t="inlineStr">
        <is>
          <t>VÄSTRA GÖTALANDS LÄN</t>
        </is>
      </c>
      <c r="E4574" t="inlineStr">
        <is>
          <t>LIDKÖPING</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18794-2020</t>
        </is>
      </c>
      <c r="B4575" s="1" t="n">
        <v>43932</v>
      </c>
      <c r="C4575" s="1" t="n">
        <v>45212</v>
      </c>
      <c r="D4575" t="inlineStr">
        <is>
          <t>VÄSTRA GÖTALANDS LÄN</t>
        </is>
      </c>
      <c r="E4575" t="inlineStr">
        <is>
          <t>MUNKEDAL</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18801-2020</t>
        </is>
      </c>
      <c r="B4576" s="1" t="n">
        <v>43933</v>
      </c>
      <c r="C4576" s="1" t="n">
        <v>45212</v>
      </c>
      <c r="D4576" t="inlineStr">
        <is>
          <t>VÄSTRA GÖTALANDS LÄN</t>
        </is>
      </c>
      <c r="E4576" t="inlineStr">
        <is>
          <t>SVENLJUNGA</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18880-2020</t>
        </is>
      </c>
      <c r="B4577" s="1" t="n">
        <v>43935</v>
      </c>
      <c r="C4577" s="1" t="n">
        <v>45212</v>
      </c>
      <c r="D4577" t="inlineStr">
        <is>
          <t>VÄSTRA GÖTALANDS LÄN</t>
        </is>
      </c>
      <c r="E4577" t="inlineStr">
        <is>
          <t>BORÅS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18940-2020</t>
        </is>
      </c>
      <c r="B4578" s="1" t="n">
        <v>43935</v>
      </c>
      <c r="C4578" s="1" t="n">
        <v>45212</v>
      </c>
      <c r="D4578" t="inlineStr">
        <is>
          <t>VÄSTRA GÖTALANDS LÄN</t>
        </is>
      </c>
      <c r="E4578" t="inlineStr">
        <is>
          <t>GRÄSTORP</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18948-2020</t>
        </is>
      </c>
      <c r="B4579" s="1" t="n">
        <v>43935</v>
      </c>
      <c r="C4579" s="1" t="n">
        <v>45212</v>
      </c>
      <c r="D4579" t="inlineStr">
        <is>
          <t>VÄSTRA GÖTALANDS LÄN</t>
        </is>
      </c>
      <c r="E4579" t="inlineStr">
        <is>
          <t>LIDKÖPING</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18964-2020</t>
        </is>
      </c>
      <c r="B4580" s="1" t="n">
        <v>43935</v>
      </c>
      <c r="C4580" s="1" t="n">
        <v>45212</v>
      </c>
      <c r="D4580" t="inlineStr">
        <is>
          <t>VÄSTRA GÖTALANDS LÄN</t>
        </is>
      </c>
      <c r="E4580" t="inlineStr">
        <is>
          <t>SOTENÄS</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19092-2020</t>
        </is>
      </c>
      <c r="B4581" s="1" t="n">
        <v>43935</v>
      </c>
      <c r="C4581" s="1" t="n">
        <v>45212</v>
      </c>
      <c r="D4581" t="inlineStr">
        <is>
          <t>VÄSTRA GÖTALANDS LÄN</t>
        </is>
      </c>
      <c r="E4581" t="inlineStr">
        <is>
          <t>VÅRGÅRDA</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18932-2020</t>
        </is>
      </c>
      <c r="B4582" s="1" t="n">
        <v>43935</v>
      </c>
      <c r="C4582" s="1" t="n">
        <v>45212</v>
      </c>
      <c r="D4582" t="inlineStr">
        <is>
          <t>VÄSTRA GÖTALANDS LÄN</t>
        </is>
      </c>
      <c r="E4582" t="inlineStr">
        <is>
          <t>LIDKÖPING</t>
        </is>
      </c>
      <c r="G4582" t="n">
        <v>5.5</v>
      </c>
      <c r="H4582" t="n">
        <v>0</v>
      </c>
      <c r="I4582" t="n">
        <v>0</v>
      </c>
      <c r="J4582" t="n">
        <v>0</v>
      </c>
      <c r="K4582" t="n">
        <v>0</v>
      </c>
      <c r="L4582" t="n">
        <v>0</v>
      </c>
      <c r="M4582" t="n">
        <v>0</v>
      </c>
      <c r="N4582" t="n">
        <v>0</v>
      </c>
      <c r="O4582" t="n">
        <v>0</v>
      </c>
      <c r="P4582" t="n">
        <v>0</v>
      </c>
      <c r="Q4582" t="n">
        <v>0</v>
      </c>
      <c r="R4582" s="2" t="inlineStr"/>
    </row>
    <row r="4583" ht="15" customHeight="1">
      <c r="A4583" t="inlineStr">
        <is>
          <t>A 18962-2020</t>
        </is>
      </c>
      <c r="B4583" s="1" t="n">
        <v>43935</v>
      </c>
      <c r="C4583" s="1" t="n">
        <v>45212</v>
      </c>
      <c r="D4583" t="inlineStr">
        <is>
          <t>VÄSTRA GÖTALANDS LÄN</t>
        </is>
      </c>
      <c r="E4583" t="inlineStr">
        <is>
          <t>LIDKÖPING</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18951-2020</t>
        </is>
      </c>
      <c r="B4584" s="1" t="n">
        <v>43935</v>
      </c>
      <c r="C4584" s="1" t="n">
        <v>45212</v>
      </c>
      <c r="D4584" t="inlineStr">
        <is>
          <t>VÄSTRA GÖTALANDS LÄN</t>
        </is>
      </c>
      <c r="E4584" t="inlineStr">
        <is>
          <t>MARIESTAD</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19106-2020</t>
        </is>
      </c>
      <c r="B4585" s="1" t="n">
        <v>43935</v>
      </c>
      <c r="C4585" s="1" t="n">
        <v>45212</v>
      </c>
      <c r="D4585" t="inlineStr">
        <is>
          <t>VÄSTRA GÖTALANDS LÄN</t>
        </is>
      </c>
      <c r="E4585" t="inlineStr">
        <is>
          <t>VARA</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19008-2020</t>
        </is>
      </c>
      <c r="B4586" s="1" t="n">
        <v>43936</v>
      </c>
      <c r="C4586" s="1" t="n">
        <v>45212</v>
      </c>
      <c r="D4586" t="inlineStr">
        <is>
          <t>VÄSTRA GÖTALANDS LÄN</t>
        </is>
      </c>
      <c r="E4586" t="inlineStr">
        <is>
          <t>ALINGSÅS</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19012-2020</t>
        </is>
      </c>
      <c r="B4587" s="1" t="n">
        <v>43936</v>
      </c>
      <c r="C4587" s="1" t="n">
        <v>45212</v>
      </c>
      <c r="D4587" t="inlineStr">
        <is>
          <t>VÄSTRA GÖTALANDS LÄN</t>
        </is>
      </c>
      <c r="E4587" t="inlineStr">
        <is>
          <t>KARLSBORG</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19033-2020</t>
        </is>
      </c>
      <c r="B4588" s="1" t="n">
        <v>43936</v>
      </c>
      <c r="C4588" s="1" t="n">
        <v>45212</v>
      </c>
      <c r="D4588" t="inlineStr">
        <is>
          <t>VÄSTRA GÖTALANDS LÄN</t>
        </is>
      </c>
      <c r="E4588" t="inlineStr">
        <is>
          <t>MÖLNDAL</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19143-2020</t>
        </is>
      </c>
      <c r="B4589" s="1" t="n">
        <v>43936</v>
      </c>
      <c r="C4589" s="1" t="n">
        <v>45212</v>
      </c>
      <c r="D4589" t="inlineStr">
        <is>
          <t>VÄSTRA GÖTALANDS LÄN</t>
        </is>
      </c>
      <c r="E4589" t="inlineStr">
        <is>
          <t>TRANEMO</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19018-2020</t>
        </is>
      </c>
      <c r="B4590" s="1" t="n">
        <v>43936</v>
      </c>
      <c r="C4590" s="1" t="n">
        <v>45212</v>
      </c>
      <c r="D4590" t="inlineStr">
        <is>
          <t>VÄSTRA GÖTALANDS LÄN</t>
        </is>
      </c>
      <c r="E4590" t="inlineStr">
        <is>
          <t>LYSEKIL</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19066-2020</t>
        </is>
      </c>
      <c r="B4591" s="1" t="n">
        <v>43936</v>
      </c>
      <c r="C4591" s="1" t="n">
        <v>45212</v>
      </c>
      <c r="D4591" t="inlineStr">
        <is>
          <t>VÄSTRA GÖTALANDS LÄN</t>
        </is>
      </c>
      <c r="E4591" t="inlineStr">
        <is>
          <t>GÖTEBORG</t>
        </is>
      </c>
      <c r="G4591" t="n">
        <v>1.2</v>
      </c>
      <c r="H4591" t="n">
        <v>0</v>
      </c>
      <c r="I4591" t="n">
        <v>0</v>
      </c>
      <c r="J4591" t="n">
        <v>0</v>
      </c>
      <c r="K4591" t="n">
        <v>0</v>
      </c>
      <c r="L4591" t="n">
        <v>0</v>
      </c>
      <c r="M4591" t="n">
        <v>0</v>
      </c>
      <c r="N4591" t="n">
        <v>0</v>
      </c>
      <c r="O4591" t="n">
        <v>0</v>
      </c>
      <c r="P4591" t="n">
        <v>0</v>
      </c>
      <c r="Q4591" t="n">
        <v>0</v>
      </c>
      <c r="R4591" s="2" t="inlineStr"/>
    </row>
    <row r="4592" ht="15" customHeight="1">
      <c r="A4592" t="inlineStr">
        <is>
          <t>A 19017-2020</t>
        </is>
      </c>
      <c r="B4592" s="1" t="n">
        <v>43936</v>
      </c>
      <c r="C4592" s="1" t="n">
        <v>45212</v>
      </c>
      <c r="D4592" t="inlineStr">
        <is>
          <t>VÄSTRA GÖTALANDS LÄN</t>
        </is>
      </c>
      <c r="E4592" t="inlineStr">
        <is>
          <t>TROLLHÄTTAN</t>
        </is>
      </c>
      <c r="G4592" t="n">
        <v>3.7</v>
      </c>
      <c r="H4592" t="n">
        <v>0</v>
      </c>
      <c r="I4592" t="n">
        <v>0</v>
      </c>
      <c r="J4592" t="n">
        <v>0</v>
      </c>
      <c r="K4592" t="n">
        <v>0</v>
      </c>
      <c r="L4592" t="n">
        <v>0</v>
      </c>
      <c r="M4592" t="n">
        <v>0</v>
      </c>
      <c r="N4592" t="n">
        <v>0</v>
      </c>
      <c r="O4592" t="n">
        <v>0</v>
      </c>
      <c r="P4592" t="n">
        <v>0</v>
      </c>
      <c r="Q4592" t="n">
        <v>0</v>
      </c>
      <c r="R4592" s="2" t="inlineStr"/>
    </row>
    <row r="4593" ht="15" customHeight="1">
      <c r="A4593" t="inlineStr">
        <is>
          <t>A 19030-2020</t>
        </is>
      </c>
      <c r="B4593" s="1" t="n">
        <v>43936</v>
      </c>
      <c r="C4593" s="1" t="n">
        <v>45212</v>
      </c>
      <c r="D4593" t="inlineStr">
        <is>
          <t>VÄSTRA GÖTALANDS LÄN</t>
        </is>
      </c>
      <c r="E4593" t="inlineStr">
        <is>
          <t>BENGTSFORS</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19132-2020</t>
        </is>
      </c>
      <c r="B4594" s="1" t="n">
        <v>43936</v>
      </c>
      <c r="C4594" s="1" t="n">
        <v>45212</v>
      </c>
      <c r="D4594" t="inlineStr">
        <is>
          <t>VÄSTRA GÖTALANDS LÄN</t>
        </is>
      </c>
      <c r="E4594" t="inlineStr">
        <is>
          <t>DALS-ED</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19248-2020</t>
        </is>
      </c>
      <c r="B4595" s="1" t="n">
        <v>43937</v>
      </c>
      <c r="C4595" s="1" t="n">
        <v>45212</v>
      </c>
      <c r="D4595" t="inlineStr">
        <is>
          <t>VÄSTRA GÖTALANDS LÄN</t>
        </is>
      </c>
      <c r="E4595" t="inlineStr">
        <is>
          <t>HERRLJUNGA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19259-2020</t>
        </is>
      </c>
      <c r="B4596" s="1" t="n">
        <v>43937</v>
      </c>
      <c r="C4596" s="1" t="n">
        <v>45212</v>
      </c>
      <c r="D4596" t="inlineStr">
        <is>
          <t>VÄSTRA GÖTALANDS LÄN</t>
        </is>
      </c>
      <c r="E4596" t="inlineStr">
        <is>
          <t>HERRLJUNGA</t>
        </is>
      </c>
      <c r="G4596" t="n">
        <v>2.6</v>
      </c>
      <c r="H4596" t="n">
        <v>0</v>
      </c>
      <c r="I4596" t="n">
        <v>0</v>
      </c>
      <c r="J4596" t="n">
        <v>0</v>
      </c>
      <c r="K4596" t="n">
        <v>0</v>
      </c>
      <c r="L4596" t="n">
        <v>0</v>
      </c>
      <c r="M4596" t="n">
        <v>0</v>
      </c>
      <c r="N4596" t="n">
        <v>0</v>
      </c>
      <c r="O4596" t="n">
        <v>0</v>
      </c>
      <c r="P4596" t="n">
        <v>0</v>
      </c>
      <c r="Q4596" t="n">
        <v>0</v>
      </c>
      <c r="R4596" s="2" t="inlineStr"/>
    </row>
    <row r="4597" ht="15" customHeight="1">
      <c r="A4597" t="inlineStr">
        <is>
          <t>A 19273-2020</t>
        </is>
      </c>
      <c r="B4597" s="1" t="n">
        <v>43937</v>
      </c>
      <c r="C4597" s="1" t="n">
        <v>45212</v>
      </c>
      <c r="D4597" t="inlineStr">
        <is>
          <t>VÄSTRA GÖTALANDS LÄN</t>
        </is>
      </c>
      <c r="E4597" t="inlineStr">
        <is>
          <t>ÅMÅL</t>
        </is>
      </c>
      <c r="G4597" t="n">
        <v>13.9</v>
      </c>
      <c r="H4597" t="n">
        <v>0</v>
      </c>
      <c r="I4597" t="n">
        <v>0</v>
      </c>
      <c r="J4597" t="n">
        <v>0</v>
      </c>
      <c r="K4597" t="n">
        <v>0</v>
      </c>
      <c r="L4597" t="n">
        <v>0</v>
      </c>
      <c r="M4597" t="n">
        <v>0</v>
      </c>
      <c r="N4597" t="n">
        <v>0</v>
      </c>
      <c r="O4597" t="n">
        <v>0</v>
      </c>
      <c r="P4597" t="n">
        <v>0</v>
      </c>
      <c r="Q4597" t="n">
        <v>0</v>
      </c>
      <c r="R4597" s="2" t="inlineStr"/>
    </row>
    <row r="4598" ht="15" customHeight="1">
      <c r="A4598" t="inlineStr">
        <is>
          <t>A 19283-2020</t>
        </is>
      </c>
      <c r="B4598" s="1" t="n">
        <v>43937</v>
      </c>
      <c r="C4598" s="1" t="n">
        <v>45212</v>
      </c>
      <c r="D4598" t="inlineStr">
        <is>
          <t>VÄSTRA GÖTALANDS LÄN</t>
        </is>
      </c>
      <c r="E4598" t="inlineStr">
        <is>
          <t>SVENLJUNGA</t>
        </is>
      </c>
      <c r="F4598" t="inlineStr">
        <is>
          <t>Sveaskog</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19424-2020</t>
        </is>
      </c>
      <c r="B4599" s="1" t="n">
        <v>43938</v>
      </c>
      <c r="C4599" s="1" t="n">
        <v>45212</v>
      </c>
      <c r="D4599" t="inlineStr">
        <is>
          <t>VÄSTRA GÖTALANDS LÄN</t>
        </is>
      </c>
      <c r="E4599" t="inlineStr">
        <is>
          <t>BENGTSFORS</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19448-2020</t>
        </is>
      </c>
      <c r="B4600" s="1" t="n">
        <v>43938</v>
      </c>
      <c r="C4600" s="1" t="n">
        <v>45212</v>
      </c>
      <c r="D4600" t="inlineStr">
        <is>
          <t>VÄSTRA GÖTALANDS LÄN</t>
        </is>
      </c>
      <c r="E4600" t="inlineStr">
        <is>
          <t>SKÖVDE</t>
        </is>
      </c>
      <c r="F4600" t="inlineStr">
        <is>
          <t>Kyrkan</t>
        </is>
      </c>
      <c r="G4600" t="n">
        <v>0.6</v>
      </c>
      <c r="H4600" t="n">
        <v>0</v>
      </c>
      <c r="I4600" t="n">
        <v>0</v>
      </c>
      <c r="J4600" t="n">
        <v>0</v>
      </c>
      <c r="K4600" t="n">
        <v>0</v>
      </c>
      <c r="L4600" t="n">
        <v>0</v>
      </c>
      <c r="M4600" t="n">
        <v>0</v>
      </c>
      <c r="N4600" t="n">
        <v>0</v>
      </c>
      <c r="O4600" t="n">
        <v>0</v>
      </c>
      <c r="P4600" t="n">
        <v>0</v>
      </c>
      <c r="Q4600" t="n">
        <v>0</v>
      </c>
      <c r="R4600" s="2" t="inlineStr"/>
    </row>
    <row r="4601" ht="15" customHeight="1">
      <c r="A4601" t="inlineStr">
        <is>
          <t>A 19833-2020</t>
        </is>
      </c>
      <c r="B4601" s="1" t="n">
        <v>43938</v>
      </c>
      <c r="C4601" s="1" t="n">
        <v>45212</v>
      </c>
      <c r="D4601" t="inlineStr">
        <is>
          <t>VÄSTRA GÖTALANDS LÄN</t>
        </is>
      </c>
      <c r="E4601" t="inlineStr">
        <is>
          <t>FÄRGELANDA</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19429-2020</t>
        </is>
      </c>
      <c r="B4602" s="1" t="n">
        <v>43938</v>
      </c>
      <c r="C4602" s="1" t="n">
        <v>45212</v>
      </c>
      <c r="D4602" t="inlineStr">
        <is>
          <t>VÄSTRA GÖTALANDS LÄN</t>
        </is>
      </c>
      <c r="E4602" t="inlineStr">
        <is>
          <t>BENGTSFORS</t>
        </is>
      </c>
      <c r="G4602" t="n">
        <v>10.1</v>
      </c>
      <c r="H4602" t="n">
        <v>0</v>
      </c>
      <c r="I4602" t="n">
        <v>0</v>
      </c>
      <c r="J4602" t="n">
        <v>0</v>
      </c>
      <c r="K4602" t="n">
        <v>0</v>
      </c>
      <c r="L4602" t="n">
        <v>0</v>
      </c>
      <c r="M4602" t="n">
        <v>0</v>
      </c>
      <c r="N4602" t="n">
        <v>0</v>
      </c>
      <c r="O4602" t="n">
        <v>0</v>
      </c>
      <c r="P4602" t="n">
        <v>0</v>
      </c>
      <c r="Q4602" t="n">
        <v>0</v>
      </c>
      <c r="R4602" s="2" t="inlineStr"/>
    </row>
    <row r="4603" ht="15" customHeight="1">
      <c r="A4603" t="inlineStr">
        <is>
          <t>A 19441-2020</t>
        </is>
      </c>
      <c r="B4603" s="1" t="n">
        <v>43938</v>
      </c>
      <c r="C4603" s="1" t="n">
        <v>45212</v>
      </c>
      <c r="D4603" t="inlineStr">
        <is>
          <t>VÄSTRA GÖTALANDS LÄN</t>
        </is>
      </c>
      <c r="E4603" t="inlineStr">
        <is>
          <t>ALINGSÅS</t>
        </is>
      </c>
      <c r="G4603" t="n">
        <v>2.5</v>
      </c>
      <c r="H4603" t="n">
        <v>0</v>
      </c>
      <c r="I4603" t="n">
        <v>0</v>
      </c>
      <c r="J4603" t="n">
        <v>0</v>
      </c>
      <c r="K4603" t="n">
        <v>0</v>
      </c>
      <c r="L4603" t="n">
        <v>0</v>
      </c>
      <c r="M4603" t="n">
        <v>0</v>
      </c>
      <c r="N4603" t="n">
        <v>0</v>
      </c>
      <c r="O4603" t="n">
        <v>0</v>
      </c>
      <c r="P4603" t="n">
        <v>0</v>
      </c>
      <c r="Q4603" t="n">
        <v>0</v>
      </c>
      <c r="R4603" s="2" t="inlineStr"/>
    </row>
    <row r="4604" ht="15" customHeight="1">
      <c r="A4604" t="inlineStr">
        <is>
          <t>A 19436-2020</t>
        </is>
      </c>
      <c r="B4604" s="1" t="n">
        <v>43938</v>
      </c>
      <c r="C4604" s="1" t="n">
        <v>45212</v>
      </c>
      <c r="D4604" t="inlineStr">
        <is>
          <t>VÄSTRA GÖTALANDS LÄN</t>
        </is>
      </c>
      <c r="E4604" t="inlineStr">
        <is>
          <t>GÖTEBORG</t>
        </is>
      </c>
      <c r="G4604" t="n">
        <v>2.2</v>
      </c>
      <c r="H4604" t="n">
        <v>0</v>
      </c>
      <c r="I4604" t="n">
        <v>0</v>
      </c>
      <c r="J4604" t="n">
        <v>0</v>
      </c>
      <c r="K4604" t="n">
        <v>0</v>
      </c>
      <c r="L4604" t="n">
        <v>0</v>
      </c>
      <c r="M4604" t="n">
        <v>0</v>
      </c>
      <c r="N4604" t="n">
        <v>0</v>
      </c>
      <c r="O4604" t="n">
        <v>0</v>
      </c>
      <c r="P4604" t="n">
        <v>0</v>
      </c>
      <c r="Q4604" t="n">
        <v>0</v>
      </c>
      <c r="R4604" s="2" t="inlineStr"/>
    </row>
    <row r="4605" ht="15" customHeight="1">
      <c r="A4605" t="inlineStr">
        <is>
          <t>A 19718-2020</t>
        </is>
      </c>
      <c r="B4605" s="1" t="n">
        <v>43941</v>
      </c>
      <c r="C4605" s="1" t="n">
        <v>45212</v>
      </c>
      <c r="D4605" t="inlineStr">
        <is>
          <t>VÄSTRA GÖTALANDS LÄN</t>
        </is>
      </c>
      <c r="E4605" t="inlineStr">
        <is>
          <t>LILLA EDET</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19883-2020</t>
        </is>
      </c>
      <c r="B4606" s="1" t="n">
        <v>43941</v>
      </c>
      <c r="C4606" s="1" t="n">
        <v>45212</v>
      </c>
      <c r="D4606" t="inlineStr">
        <is>
          <t>VÄSTRA GÖTALANDS LÄN</t>
        </is>
      </c>
      <c r="E4606" t="inlineStr">
        <is>
          <t>TJÖRN</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19722-2020</t>
        </is>
      </c>
      <c r="B4607" s="1" t="n">
        <v>43941</v>
      </c>
      <c r="C4607" s="1" t="n">
        <v>45212</v>
      </c>
      <c r="D4607" t="inlineStr">
        <is>
          <t>VÄSTRA GÖTALANDS LÄN</t>
        </is>
      </c>
      <c r="E4607" t="inlineStr">
        <is>
          <t>BENGTSFORS</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19800-2020</t>
        </is>
      </c>
      <c r="B4608" s="1" t="n">
        <v>43942</v>
      </c>
      <c r="C4608" s="1" t="n">
        <v>45212</v>
      </c>
      <c r="D4608" t="inlineStr">
        <is>
          <t>VÄSTRA GÖTALANDS LÄN</t>
        </is>
      </c>
      <c r="E4608" t="inlineStr">
        <is>
          <t>MARIESTAD</t>
        </is>
      </c>
      <c r="F4608" t="inlineStr">
        <is>
          <t>Sveaskog</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19884-2020</t>
        </is>
      </c>
      <c r="B4609" s="1" t="n">
        <v>43942</v>
      </c>
      <c r="C4609" s="1" t="n">
        <v>45212</v>
      </c>
      <c r="D4609" t="inlineStr">
        <is>
          <t>VÄSTRA GÖTALANDS LÄN</t>
        </is>
      </c>
      <c r="E4609" t="inlineStr">
        <is>
          <t>TROLLHÄTTAN</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19975-2020</t>
        </is>
      </c>
      <c r="B4610" s="1" t="n">
        <v>43942</v>
      </c>
      <c r="C4610" s="1" t="n">
        <v>45212</v>
      </c>
      <c r="D4610" t="inlineStr">
        <is>
          <t>VÄSTRA GÖTALANDS LÄN</t>
        </is>
      </c>
      <c r="E4610" t="inlineStr">
        <is>
          <t>BORÅS</t>
        </is>
      </c>
      <c r="G4610" t="n">
        <v>0.9</v>
      </c>
      <c r="H4610" t="n">
        <v>0</v>
      </c>
      <c r="I4610" t="n">
        <v>0</v>
      </c>
      <c r="J4610" t="n">
        <v>0</v>
      </c>
      <c r="K4610" t="n">
        <v>0</v>
      </c>
      <c r="L4610" t="n">
        <v>0</v>
      </c>
      <c r="M4610" t="n">
        <v>0</v>
      </c>
      <c r="N4610" t="n">
        <v>0</v>
      </c>
      <c r="O4610" t="n">
        <v>0</v>
      </c>
      <c r="P4610" t="n">
        <v>0</v>
      </c>
      <c r="Q4610" t="n">
        <v>0</v>
      </c>
      <c r="R4610" s="2" t="inlineStr"/>
    </row>
    <row r="4611" ht="15" customHeight="1">
      <c r="A4611" t="inlineStr">
        <is>
          <t>A 19811-2020</t>
        </is>
      </c>
      <c r="B4611" s="1" t="n">
        <v>43942</v>
      </c>
      <c r="C4611" s="1" t="n">
        <v>45212</v>
      </c>
      <c r="D4611" t="inlineStr">
        <is>
          <t>VÄSTRA GÖTALANDS LÄN</t>
        </is>
      </c>
      <c r="E4611" t="inlineStr">
        <is>
          <t>FÄRGELANDA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19806-2020</t>
        </is>
      </c>
      <c r="B4612" s="1" t="n">
        <v>43942</v>
      </c>
      <c r="C4612" s="1" t="n">
        <v>45212</v>
      </c>
      <c r="D4612" t="inlineStr">
        <is>
          <t>VÄSTRA GÖTALANDS LÄN</t>
        </is>
      </c>
      <c r="E4612" t="inlineStr">
        <is>
          <t>BOLLEBYGD</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20176-2020</t>
        </is>
      </c>
      <c r="B4613" s="1" t="n">
        <v>43944</v>
      </c>
      <c r="C4613" s="1" t="n">
        <v>45212</v>
      </c>
      <c r="D4613" t="inlineStr">
        <is>
          <t>VÄSTRA GÖTALANDS LÄN</t>
        </is>
      </c>
      <c r="E4613" t="inlineStr">
        <is>
          <t>BORÅS</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20209-2020</t>
        </is>
      </c>
      <c r="B4614" s="1" t="n">
        <v>43944</v>
      </c>
      <c r="C4614" s="1" t="n">
        <v>45212</v>
      </c>
      <c r="D4614" t="inlineStr">
        <is>
          <t>VÄSTRA GÖTALANDS LÄN</t>
        </is>
      </c>
      <c r="E4614" t="inlineStr">
        <is>
          <t>GULLSPÅNG</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20214-2020</t>
        </is>
      </c>
      <c r="B4615" s="1" t="n">
        <v>43944</v>
      </c>
      <c r="C4615" s="1" t="n">
        <v>45212</v>
      </c>
      <c r="D4615" t="inlineStr">
        <is>
          <t>VÄSTRA GÖTALANDS LÄN</t>
        </is>
      </c>
      <c r="E4615" t="inlineStr">
        <is>
          <t>HJO</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20101-2020</t>
        </is>
      </c>
      <c r="B4616" s="1" t="n">
        <v>43944</v>
      </c>
      <c r="C4616" s="1" t="n">
        <v>45212</v>
      </c>
      <c r="D4616" t="inlineStr">
        <is>
          <t>VÄSTRA GÖTALANDS LÄN</t>
        </is>
      </c>
      <c r="E4616" t="inlineStr">
        <is>
          <t>ALINGSÅS</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20149-2020</t>
        </is>
      </c>
      <c r="B4617" s="1" t="n">
        <v>43944</v>
      </c>
      <c r="C4617" s="1" t="n">
        <v>45212</v>
      </c>
      <c r="D4617" t="inlineStr">
        <is>
          <t>VÄSTRA GÖTALANDS LÄN</t>
        </is>
      </c>
      <c r="E4617" t="inlineStr">
        <is>
          <t>VÅRGÅRDA</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20178-2020</t>
        </is>
      </c>
      <c r="B4618" s="1" t="n">
        <v>43944</v>
      </c>
      <c r="C4618" s="1" t="n">
        <v>45212</v>
      </c>
      <c r="D4618" t="inlineStr">
        <is>
          <t>VÄSTRA GÖTALANDS LÄN</t>
        </is>
      </c>
      <c r="E4618" t="inlineStr">
        <is>
          <t>BENGTSFORS</t>
        </is>
      </c>
      <c r="G4618" t="n">
        <v>17.8</v>
      </c>
      <c r="H4618" t="n">
        <v>0</v>
      </c>
      <c r="I4618" t="n">
        <v>0</v>
      </c>
      <c r="J4618" t="n">
        <v>0</v>
      </c>
      <c r="K4618" t="n">
        <v>0</v>
      </c>
      <c r="L4618" t="n">
        <v>0</v>
      </c>
      <c r="M4618" t="n">
        <v>0</v>
      </c>
      <c r="N4618" t="n">
        <v>0</v>
      </c>
      <c r="O4618" t="n">
        <v>0</v>
      </c>
      <c r="P4618" t="n">
        <v>0</v>
      </c>
      <c r="Q4618" t="n">
        <v>0</v>
      </c>
      <c r="R4618" s="2" t="inlineStr"/>
    </row>
    <row r="4619" ht="15" customHeight="1">
      <c r="A4619" t="inlineStr">
        <is>
          <t>A 20212-2020</t>
        </is>
      </c>
      <c r="B4619" s="1" t="n">
        <v>43944</v>
      </c>
      <c r="C4619" s="1" t="n">
        <v>45212</v>
      </c>
      <c r="D4619" t="inlineStr">
        <is>
          <t>VÄSTRA GÖTALANDS LÄN</t>
        </is>
      </c>
      <c r="E4619" t="inlineStr">
        <is>
          <t>HJO</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20857-2020</t>
        </is>
      </c>
      <c r="B4620" s="1" t="n">
        <v>43944</v>
      </c>
      <c r="C4620" s="1" t="n">
        <v>45212</v>
      </c>
      <c r="D4620" t="inlineStr">
        <is>
          <t>VÄSTRA GÖTALANDS LÄN</t>
        </is>
      </c>
      <c r="E4620" t="inlineStr">
        <is>
          <t>BENGTSFORS</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20210-2020</t>
        </is>
      </c>
      <c r="B4621" s="1" t="n">
        <v>43944</v>
      </c>
      <c r="C4621" s="1" t="n">
        <v>45212</v>
      </c>
      <c r="D4621" t="inlineStr">
        <is>
          <t>VÄSTRA GÖTALANDS LÄN</t>
        </is>
      </c>
      <c r="E4621" t="inlineStr">
        <is>
          <t>GULLSPÅNG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20306-2020</t>
        </is>
      </c>
      <c r="B4622" s="1" t="n">
        <v>43945</v>
      </c>
      <c r="C4622" s="1" t="n">
        <v>45212</v>
      </c>
      <c r="D4622" t="inlineStr">
        <is>
          <t>VÄSTRA GÖTALANDS LÄN</t>
        </is>
      </c>
      <c r="E4622" t="inlineStr">
        <is>
          <t>BOLLEBYGD</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20470-2020</t>
        </is>
      </c>
      <c r="B4623" s="1" t="n">
        <v>43945</v>
      </c>
      <c r="C4623" s="1" t="n">
        <v>45212</v>
      </c>
      <c r="D4623" t="inlineStr">
        <is>
          <t>VÄSTRA GÖTALANDS LÄN</t>
        </is>
      </c>
      <c r="E4623" t="inlineStr">
        <is>
          <t>DALS-ED</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20471-2020</t>
        </is>
      </c>
      <c r="B4624" s="1" t="n">
        <v>43945</v>
      </c>
      <c r="C4624" s="1" t="n">
        <v>45212</v>
      </c>
      <c r="D4624" t="inlineStr">
        <is>
          <t>VÄSTRA GÖTALANDS LÄN</t>
        </is>
      </c>
      <c r="E4624" t="inlineStr">
        <is>
          <t>MUNKEDAL</t>
        </is>
      </c>
      <c r="G4624" t="n">
        <v>2.8</v>
      </c>
      <c r="H4624" t="n">
        <v>0</v>
      </c>
      <c r="I4624" t="n">
        <v>0</v>
      </c>
      <c r="J4624" t="n">
        <v>0</v>
      </c>
      <c r="K4624" t="n">
        <v>0</v>
      </c>
      <c r="L4624" t="n">
        <v>0</v>
      </c>
      <c r="M4624" t="n">
        <v>0</v>
      </c>
      <c r="N4624" t="n">
        <v>0</v>
      </c>
      <c r="O4624" t="n">
        <v>0</v>
      </c>
      <c r="P4624" t="n">
        <v>0</v>
      </c>
      <c r="Q4624" t="n">
        <v>0</v>
      </c>
      <c r="R4624" s="2" t="inlineStr"/>
    </row>
    <row r="4625" ht="15" customHeight="1">
      <c r="A4625" t="inlineStr">
        <is>
          <t>A 20265-2020</t>
        </is>
      </c>
      <c r="B4625" s="1" t="n">
        <v>43945</v>
      </c>
      <c r="C4625" s="1" t="n">
        <v>45212</v>
      </c>
      <c r="D4625" t="inlineStr">
        <is>
          <t>VÄSTRA GÖTALANDS LÄN</t>
        </is>
      </c>
      <c r="E4625" t="inlineStr">
        <is>
          <t>DALS-ED</t>
        </is>
      </c>
      <c r="G4625" t="n">
        <v>3.9</v>
      </c>
      <c r="H4625" t="n">
        <v>0</v>
      </c>
      <c r="I4625" t="n">
        <v>0</v>
      </c>
      <c r="J4625" t="n">
        <v>0</v>
      </c>
      <c r="K4625" t="n">
        <v>0</v>
      </c>
      <c r="L4625" t="n">
        <v>0</v>
      </c>
      <c r="M4625" t="n">
        <v>0</v>
      </c>
      <c r="N4625" t="n">
        <v>0</v>
      </c>
      <c r="O4625" t="n">
        <v>0</v>
      </c>
      <c r="P4625" t="n">
        <v>0</v>
      </c>
      <c r="Q4625" t="n">
        <v>0</v>
      </c>
      <c r="R4625" s="2" t="inlineStr"/>
    </row>
    <row r="4626" ht="15" customHeight="1">
      <c r="A4626" t="inlineStr">
        <is>
          <t>A 20349-2020</t>
        </is>
      </c>
      <c r="B4626" s="1" t="n">
        <v>43945</v>
      </c>
      <c r="C4626" s="1" t="n">
        <v>45212</v>
      </c>
      <c r="D4626" t="inlineStr">
        <is>
          <t>VÄSTRA GÖTALANDS LÄN</t>
        </is>
      </c>
      <c r="E4626" t="inlineStr">
        <is>
          <t>VÄNERSBORG</t>
        </is>
      </c>
      <c r="F4626" t="inlineStr">
        <is>
          <t>Sveaskog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20448-2020</t>
        </is>
      </c>
      <c r="B4627" s="1" t="n">
        <v>43945</v>
      </c>
      <c r="C4627" s="1" t="n">
        <v>45212</v>
      </c>
      <c r="D4627" t="inlineStr">
        <is>
          <t>VÄSTRA GÖTALANDS LÄN</t>
        </is>
      </c>
      <c r="E4627" t="inlineStr">
        <is>
          <t>TANUM</t>
        </is>
      </c>
      <c r="G4627" t="n">
        <v>2.7</v>
      </c>
      <c r="H4627" t="n">
        <v>0</v>
      </c>
      <c r="I4627" t="n">
        <v>0</v>
      </c>
      <c r="J4627" t="n">
        <v>0</v>
      </c>
      <c r="K4627" t="n">
        <v>0</v>
      </c>
      <c r="L4627" t="n">
        <v>0</v>
      </c>
      <c r="M4627" t="n">
        <v>0</v>
      </c>
      <c r="N4627" t="n">
        <v>0</v>
      </c>
      <c r="O4627" t="n">
        <v>0</v>
      </c>
      <c r="P4627" t="n">
        <v>0</v>
      </c>
      <c r="Q4627" t="n">
        <v>0</v>
      </c>
      <c r="R4627" s="2" t="inlineStr"/>
    </row>
    <row r="4628" ht="15" customHeight="1">
      <c r="A4628" t="inlineStr">
        <is>
          <t>A 20446-2020</t>
        </is>
      </c>
      <c r="B4628" s="1" t="n">
        <v>43948</v>
      </c>
      <c r="C4628" s="1" t="n">
        <v>45212</v>
      </c>
      <c r="D4628" t="inlineStr">
        <is>
          <t>VÄSTRA GÖTALANDS LÄN</t>
        </is>
      </c>
      <c r="E4628" t="inlineStr">
        <is>
          <t>TÖREBODA</t>
        </is>
      </c>
      <c r="F4628" t="inlineStr">
        <is>
          <t>Sveaskog</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20488-2020</t>
        </is>
      </c>
      <c r="B4629" s="1" t="n">
        <v>43948</v>
      </c>
      <c r="C4629" s="1" t="n">
        <v>45212</v>
      </c>
      <c r="D4629" t="inlineStr">
        <is>
          <t>VÄSTRA GÖTALANDS LÄN</t>
        </is>
      </c>
      <c r="E4629" t="inlineStr">
        <is>
          <t>TRANEMO</t>
        </is>
      </c>
      <c r="F4629" t="inlineStr">
        <is>
          <t>Kyrkan</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20675-2020</t>
        </is>
      </c>
      <c r="B4630" s="1" t="n">
        <v>43949</v>
      </c>
      <c r="C4630" s="1" t="n">
        <v>45212</v>
      </c>
      <c r="D4630" t="inlineStr">
        <is>
          <t>VÄSTRA GÖTALANDS LÄN</t>
        </is>
      </c>
      <c r="E4630" t="inlineStr">
        <is>
          <t>SVENLJUNGA</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20743-2020</t>
        </is>
      </c>
      <c r="B4631" s="1" t="n">
        <v>43949</v>
      </c>
      <c r="C4631" s="1" t="n">
        <v>45212</v>
      </c>
      <c r="D4631" t="inlineStr">
        <is>
          <t>VÄSTRA GÖTALANDS LÄN</t>
        </is>
      </c>
      <c r="E4631" t="inlineStr">
        <is>
          <t>VÄNERSBORG</t>
        </is>
      </c>
      <c r="G4631" t="n">
        <v>3.4</v>
      </c>
      <c r="H4631" t="n">
        <v>0</v>
      </c>
      <c r="I4631" t="n">
        <v>0</v>
      </c>
      <c r="J4631" t="n">
        <v>0</v>
      </c>
      <c r="K4631" t="n">
        <v>0</v>
      </c>
      <c r="L4631" t="n">
        <v>0</v>
      </c>
      <c r="M4631" t="n">
        <v>0</v>
      </c>
      <c r="N4631" t="n">
        <v>0</v>
      </c>
      <c r="O4631" t="n">
        <v>0</v>
      </c>
      <c r="P4631" t="n">
        <v>0</v>
      </c>
      <c r="Q4631" t="n">
        <v>0</v>
      </c>
      <c r="R4631" s="2" t="inlineStr"/>
    </row>
    <row r="4632" ht="15" customHeight="1">
      <c r="A4632" t="inlineStr">
        <is>
          <t>A 20856-2020</t>
        </is>
      </c>
      <c r="B4632" s="1" t="n">
        <v>43949</v>
      </c>
      <c r="C4632" s="1" t="n">
        <v>45212</v>
      </c>
      <c r="D4632" t="inlineStr">
        <is>
          <t>VÄSTRA GÖTALANDS LÄN</t>
        </is>
      </c>
      <c r="E4632" t="inlineStr">
        <is>
          <t>BENGTSFORS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21118-2020</t>
        </is>
      </c>
      <c r="B4633" s="1" t="n">
        <v>43949</v>
      </c>
      <c r="C4633" s="1" t="n">
        <v>45212</v>
      </c>
      <c r="D4633" t="inlineStr">
        <is>
          <t>VÄSTRA GÖTALANDS LÄN</t>
        </is>
      </c>
      <c r="E4633" t="inlineStr">
        <is>
          <t>BENGTSFORS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20689-2020</t>
        </is>
      </c>
      <c r="B4634" s="1" t="n">
        <v>43949</v>
      </c>
      <c r="C4634" s="1" t="n">
        <v>45212</v>
      </c>
      <c r="D4634" t="inlineStr">
        <is>
          <t>VÄSTRA GÖTALANDS LÄN</t>
        </is>
      </c>
      <c r="E4634" t="inlineStr">
        <is>
          <t>TÖREBODA</t>
        </is>
      </c>
      <c r="G4634" t="n">
        <v>3</v>
      </c>
      <c r="H4634" t="n">
        <v>0</v>
      </c>
      <c r="I4634" t="n">
        <v>0</v>
      </c>
      <c r="J4634" t="n">
        <v>0</v>
      </c>
      <c r="K4634" t="n">
        <v>0</v>
      </c>
      <c r="L4634" t="n">
        <v>0</v>
      </c>
      <c r="M4634" t="n">
        <v>0</v>
      </c>
      <c r="N4634" t="n">
        <v>0</v>
      </c>
      <c r="O4634" t="n">
        <v>0</v>
      </c>
      <c r="P4634" t="n">
        <v>0</v>
      </c>
      <c r="Q4634" t="n">
        <v>0</v>
      </c>
      <c r="R4634" s="2" t="inlineStr"/>
    </row>
    <row r="4635" ht="15" customHeight="1">
      <c r="A4635" t="inlineStr">
        <is>
          <t>A 20698-2020</t>
        </is>
      </c>
      <c r="B4635" s="1" t="n">
        <v>43949</v>
      </c>
      <c r="C4635" s="1" t="n">
        <v>45212</v>
      </c>
      <c r="D4635" t="inlineStr">
        <is>
          <t>VÄSTRA GÖTALANDS LÄN</t>
        </is>
      </c>
      <c r="E4635" t="inlineStr">
        <is>
          <t>LERUM</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20803-2020</t>
        </is>
      </c>
      <c r="B4636" s="1" t="n">
        <v>43949</v>
      </c>
      <c r="C4636" s="1" t="n">
        <v>45212</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20634-2020</t>
        </is>
      </c>
      <c r="B4637" s="1" t="n">
        <v>43949</v>
      </c>
      <c r="C4637" s="1" t="n">
        <v>45212</v>
      </c>
      <c r="D4637" t="inlineStr">
        <is>
          <t>VÄSTRA GÖTALANDS LÄN</t>
        </is>
      </c>
      <c r="E4637" t="inlineStr">
        <is>
          <t>FÄRGELANDA</t>
        </is>
      </c>
      <c r="G4637" t="n">
        <v>2.6</v>
      </c>
      <c r="H4637" t="n">
        <v>0</v>
      </c>
      <c r="I4637" t="n">
        <v>0</v>
      </c>
      <c r="J4637" t="n">
        <v>0</v>
      </c>
      <c r="K4637" t="n">
        <v>0</v>
      </c>
      <c r="L4637" t="n">
        <v>0</v>
      </c>
      <c r="M4637" t="n">
        <v>0</v>
      </c>
      <c r="N4637" t="n">
        <v>0</v>
      </c>
      <c r="O4637" t="n">
        <v>0</v>
      </c>
      <c r="P4637" t="n">
        <v>0</v>
      </c>
      <c r="Q4637" t="n">
        <v>0</v>
      </c>
      <c r="R4637" s="2" t="inlineStr"/>
    </row>
    <row r="4638" ht="15" customHeight="1">
      <c r="A4638" t="inlineStr">
        <is>
          <t>A 20759-2020</t>
        </is>
      </c>
      <c r="B4638" s="1" t="n">
        <v>43949</v>
      </c>
      <c r="C4638" s="1" t="n">
        <v>45212</v>
      </c>
      <c r="D4638" t="inlineStr">
        <is>
          <t>VÄSTRA GÖTALANDS LÄN</t>
        </is>
      </c>
      <c r="E4638" t="inlineStr">
        <is>
          <t>GULLSPÅNG</t>
        </is>
      </c>
      <c r="G4638" t="n">
        <v>0.4</v>
      </c>
      <c r="H4638" t="n">
        <v>0</v>
      </c>
      <c r="I4638" t="n">
        <v>0</v>
      </c>
      <c r="J4638" t="n">
        <v>0</v>
      </c>
      <c r="K4638" t="n">
        <v>0</v>
      </c>
      <c r="L4638" t="n">
        <v>0</v>
      </c>
      <c r="M4638" t="n">
        <v>0</v>
      </c>
      <c r="N4638" t="n">
        <v>0</v>
      </c>
      <c r="O4638" t="n">
        <v>0</v>
      </c>
      <c r="P4638" t="n">
        <v>0</v>
      </c>
      <c r="Q4638" t="n">
        <v>0</v>
      </c>
      <c r="R4638" s="2" t="inlineStr"/>
    </row>
    <row r="4639" ht="15" customHeight="1">
      <c r="A4639" t="inlineStr">
        <is>
          <t>A 20980-2020</t>
        </is>
      </c>
      <c r="B4639" s="1" t="n">
        <v>43950</v>
      </c>
      <c r="C4639" s="1" t="n">
        <v>45212</v>
      </c>
      <c r="D4639" t="inlineStr">
        <is>
          <t>VÄSTRA GÖTALANDS LÄN</t>
        </is>
      </c>
      <c r="E4639" t="inlineStr">
        <is>
          <t>ALINGSÅS</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20994-2020</t>
        </is>
      </c>
      <c r="B4640" s="1" t="n">
        <v>43950</v>
      </c>
      <c r="C4640" s="1" t="n">
        <v>45212</v>
      </c>
      <c r="D4640" t="inlineStr">
        <is>
          <t>VÄSTRA GÖTALANDS LÄN</t>
        </is>
      </c>
      <c r="E4640" t="inlineStr">
        <is>
          <t>LILLA EDET</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20992-2020</t>
        </is>
      </c>
      <c r="B4641" s="1" t="n">
        <v>43950</v>
      </c>
      <c r="C4641" s="1" t="n">
        <v>45212</v>
      </c>
      <c r="D4641" t="inlineStr">
        <is>
          <t>VÄSTRA GÖTALANDS LÄN</t>
        </is>
      </c>
      <c r="E4641" t="inlineStr">
        <is>
          <t>LILLA EDET</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20882-2020</t>
        </is>
      </c>
      <c r="B4642" s="1" t="n">
        <v>43950</v>
      </c>
      <c r="C4642" s="1" t="n">
        <v>45212</v>
      </c>
      <c r="D4642" t="inlineStr">
        <is>
          <t>VÄSTRA GÖTALANDS LÄN</t>
        </is>
      </c>
      <c r="E4642" t="inlineStr">
        <is>
          <t>DALS-ED</t>
        </is>
      </c>
      <c r="G4642" t="n">
        <v>10.2</v>
      </c>
      <c r="H4642" t="n">
        <v>0</v>
      </c>
      <c r="I4642" t="n">
        <v>0</v>
      </c>
      <c r="J4642" t="n">
        <v>0</v>
      </c>
      <c r="K4642" t="n">
        <v>0</v>
      </c>
      <c r="L4642" t="n">
        <v>0</v>
      </c>
      <c r="M4642" t="n">
        <v>0</v>
      </c>
      <c r="N4642" t="n">
        <v>0</v>
      </c>
      <c r="O4642" t="n">
        <v>0</v>
      </c>
      <c r="P4642" t="n">
        <v>0</v>
      </c>
      <c r="Q4642" t="n">
        <v>0</v>
      </c>
      <c r="R4642" s="2" t="inlineStr"/>
    </row>
    <row r="4643" ht="15" customHeight="1">
      <c r="A4643" t="inlineStr">
        <is>
          <t>A 20902-2020</t>
        </is>
      </c>
      <c r="B4643" s="1" t="n">
        <v>43950</v>
      </c>
      <c r="C4643" s="1" t="n">
        <v>45212</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21073-2020</t>
        </is>
      </c>
      <c r="B4644" s="1" t="n">
        <v>43951</v>
      </c>
      <c r="C4644" s="1" t="n">
        <v>45212</v>
      </c>
      <c r="D4644" t="inlineStr">
        <is>
          <t>VÄSTRA GÖTALANDS LÄN</t>
        </is>
      </c>
      <c r="E4644" t="inlineStr">
        <is>
          <t>STRÖMSTAD</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21077-2020</t>
        </is>
      </c>
      <c r="B4645" s="1" t="n">
        <v>43951</v>
      </c>
      <c r="C4645" s="1" t="n">
        <v>45212</v>
      </c>
      <c r="D4645" t="inlineStr">
        <is>
          <t>VÄSTRA GÖTALANDS LÄN</t>
        </is>
      </c>
      <c r="E4645" t="inlineStr">
        <is>
          <t>ALE</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21147-2020</t>
        </is>
      </c>
      <c r="B4646" s="1" t="n">
        <v>43951</v>
      </c>
      <c r="C4646" s="1" t="n">
        <v>45212</v>
      </c>
      <c r="D4646" t="inlineStr">
        <is>
          <t>VÄSTRA GÖTALANDS LÄN</t>
        </is>
      </c>
      <c r="E4646" t="inlineStr">
        <is>
          <t>KARLSBORG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21069-2020</t>
        </is>
      </c>
      <c r="B4647" s="1" t="n">
        <v>43951</v>
      </c>
      <c r="C4647" s="1" t="n">
        <v>45212</v>
      </c>
      <c r="D4647" t="inlineStr">
        <is>
          <t>VÄSTRA GÖTALANDS LÄN</t>
        </is>
      </c>
      <c r="E4647" t="inlineStr">
        <is>
          <t>HERRLJUNGA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21232-2020</t>
        </is>
      </c>
      <c r="B4648" s="1" t="n">
        <v>43952</v>
      </c>
      <c r="C4648" s="1" t="n">
        <v>45212</v>
      </c>
      <c r="D4648" t="inlineStr">
        <is>
          <t>VÄSTRA GÖTALANDS LÄN</t>
        </is>
      </c>
      <c r="E4648" t="inlineStr">
        <is>
          <t>LIDKÖPING</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21330-2020</t>
        </is>
      </c>
      <c r="B4649" s="1" t="n">
        <v>43955</v>
      </c>
      <c r="C4649" s="1" t="n">
        <v>45212</v>
      </c>
      <c r="D4649" t="inlineStr">
        <is>
          <t>VÄSTRA GÖTALANDS LÄN</t>
        </is>
      </c>
      <c r="E4649" t="inlineStr">
        <is>
          <t>SVENLJUNGA</t>
        </is>
      </c>
      <c r="G4649" t="n">
        <v>5.3</v>
      </c>
      <c r="H4649" t="n">
        <v>0</v>
      </c>
      <c r="I4649" t="n">
        <v>0</v>
      </c>
      <c r="J4649" t="n">
        <v>0</v>
      </c>
      <c r="K4649" t="n">
        <v>0</v>
      </c>
      <c r="L4649" t="n">
        <v>0</v>
      </c>
      <c r="M4649" t="n">
        <v>0</v>
      </c>
      <c r="N4649" t="n">
        <v>0</v>
      </c>
      <c r="O4649" t="n">
        <v>0</v>
      </c>
      <c r="P4649" t="n">
        <v>0</v>
      </c>
      <c r="Q4649" t="n">
        <v>0</v>
      </c>
      <c r="R4649" s="2" t="inlineStr"/>
    </row>
    <row r="4650" ht="15" customHeight="1">
      <c r="A4650" t="inlineStr">
        <is>
          <t>A 21394-2020</t>
        </is>
      </c>
      <c r="B4650" s="1" t="n">
        <v>43955</v>
      </c>
      <c r="C4650" s="1" t="n">
        <v>45212</v>
      </c>
      <c r="D4650" t="inlineStr">
        <is>
          <t>VÄSTRA GÖTALANDS LÄN</t>
        </is>
      </c>
      <c r="E4650" t="inlineStr">
        <is>
          <t>HERRLJUNGA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21262-2020</t>
        </is>
      </c>
      <c r="B4651" s="1" t="n">
        <v>43955</v>
      </c>
      <c r="C4651" s="1" t="n">
        <v>45212</v>
      </c>
      <c r="D4651" t="inlineStr">
        <is>
          <t>VÄSTRA GÖTALANDS LÄN</t>
        </is>
      </c>
      <c r="E4651" t="inlineStr">
        <is>
          <t>BORÅS</t>
        </is>
      </c>
      <c r="G4651" t="n">
        <v>2.2</v>
      </c>
      <c r="H4651" t="n">
        <v>0</v>
      </c>
      <c r="I4651" t="n">
        <v>0</v>
      </c>
      <c r="J4651" t="n">
        <v>0</v>
      </c>
      <c r="K4651" t="n">
        <v>0</v>
      </c>
      <c r="L4651" t="n">
        <v>0</v>
      </c>
      <c r="M4651" t="n">
        <v>0</v>
      </c>
      <c r="N4651" t="n">
        <v>0</v>
      </c>
      <c r="O4651" t="n">
        <v>0</v>
      </c>
      <c r="P4651" t="n">
        <v>0</v>
      </c>
      <c r="Q4651" t="n">
        <v>0</v>
      </c>
      <c r="R4651" s="2" t="inlineStr"/>
    </row>
    <row r="4652" ht="15" customHeight="1">
      <c r="A4652" t="inlineStr">
        <is>
          <t>A 21322-2020</t>
        </is>
      </c>
      <c r="B4652" s="1" t="n">
        <v>43955</v>
      </c>
      <c r="C4652" s="1" t="n">
        <v>45212</v>
      </c>
      <c r="D4652" t="inlineStr">
        <is>
          <t>VÄSTRA GÖTALANDS LÄN</t>
        </is>
      </c>
      <c r="E4652" t="inlineStr">
        <is>
          <t>ÅMÅL</t>
        </is>
      </c>
      <c r="G4652" t="n">
        <v>0.3</v>
      </c>
      <c r="H4652" t="n">
        <v>0</v>
      </c>
      <c r="I4652" t="n">
        <v>0</v>
      </c>
      <c r="J4652" t="n">
        <v>0</v>
      </c>
      <c r="K4652" t="n">
        <v>0</v>
      </c>
      <c r="L4652" t="n">
        <v>0</v>
      </c>
      <c r="M4652" t="n">
        <v>0</v>
      </c>
      <c r="N4652" t="n">
        <v>0</v>
      </c>
      <c r="O4652" t="n">
        <v>0</v>
      </c>
      <c r="P4652" t="n">
        <v>0</v>
      </c>
      <c r="Q4652" t="n">
        <v>0</v>
      </c>
      <c r="R4652" s="2" t="inlineStr"/>
    </row>
    <row r="4653" ht="15" customHeight="1">
      <c r="A4653" t="inlineStr">
        <is>
          <t>A 21253-2020</t>
        </is>
      </c>
      <c r="B4653" s="1" t="n">
        <v>43955</v>
      </c>
      <c r="C4653" s="1" t="n">
        <v>45212</v>
      </c>
      <c r="D4653" t="inlineStr">
        <is>
          <t>VÄSTRA GÖTALANDS LÄN</t>
        </is>
      </c>
      <c r="E4653" t="inlineStr">
        <is>
          <t>DALS-ED</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21266-2020</t>
        </is>
      </c>
      <c r="B4654" s="1" t="n">
        <v>43955</v>
      </c>
      <c r="C4654" s="1" t="n">
        <v>45212</v>
      </c>
      <c r="D4654" t="inlineStr">
        <is>
          <t>VÄSTRA GÖTALANDS LÄN</t>
        </is>
      </c>
      <c r="E4654" t="inlineStr">
        <is>
          <t>LIDKÖPING</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21281-2020</t>
        </is>
      </c>
      <c r="B4655" s="1" t="n">
        <v>43955</v>
      </c>
      <c r="C4655" s="1" t="n">
        <v>45212</v>
      </c>
      <c r="D4655" t="inlineStr">
        <is>
          <t>VÄSTRA GÖTALANDS LÄN</t>
        </is>
      </c>
      <c r="E4655" t="inlineStr">
        <is>
          <t>UDDEVALLA</t>
        </is>
      </c>
      <c r="F4655" t="inlineStr">
        <is>
          <t>Kyrkan</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21260-2020</t>
        </is>
      </c>
      <c r="B4656" s="1" t="n">
        <v>43955</v>
      </c>
      <c r="C4656" s="1" t="n">
        <v>45212</v>
      </c>
      <c r="D4656" t="inlineStr">
        <is>
          <t>VÄSTRA GÖTALANDS LÄN</t>
        </is>
      </c>
      <c r="E4656" t="inlineStr">
        <is>
          <t>STRÖMSTAD</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21267-2020</t>
        </is>
      </c>
      <c r="B4657" s="1" t="n">
        <v>43955</v>
      </c>
      <c r="C4657" s="1" t="n">
        <v>45212</v>
      </c>
      <c r="D4657" t="inlineStr">
        <is>
          <t>VÄSTRA GÖTALANDS LÄN</t>
        </is>
      </c>
      <c r="E4657" t="inlineStr">
        <is>
          <t>LIDKÖPING</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21321-2020</t>
        </is>
      </c>
      <c r="B4658" s="1" t="n">
        <v>43955</v>
      </c>
      <c r="C4658" s="1" t="n">
        <v>45212</v>
      </c>
      <c r="D4658" t="inlineStr">
        <is>
          <t>VÄSTRA GÖTALANDS LÄN</t>
        </is>
      </c>
      <c r="E4658" t="inlineStr">
        <is>
          <t>ÅMÅL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21513-2020</t>
        </is>
      </c>
      <c r="B4659" s="1" t="n">
        <v>43956</v>
      </c>
      <c r="C4659" s="1" t="n">
        <v>45212</v>
      </c>
      <c r="D4659" t="inlineStr">
        <is>
          <t>VÄSTRA GÖTALANDS LÄN</t>
        </is>
      </c>
      <c r="E4659" t="inlineStr">
        <is>
          <t>SKARA</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21445-2020</t>
        </is>
      </c>
      <c r="B4660" s="1" t="n">
        <v>43956</v>
      </c>
      <c r="C4660" s="1" t="n">
        <v>45212</v>
      </c>
      <c r="D4660" t="inlineStr">
        <is>
          <t>VÄSTRA GÖTALANDS LÄN</t>
        </is>
      </c>
      <c r="E4660" t="inlineStr">
        <is>
          <t>MARIESTAD</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21563-2020</t>
        </is>
      </c>
      <c r="B4661" s="1" t="n">
        <v>43956</v>
      </c>
      <c r="C4661" s="1" t="n">
        <v>45212</v>
      </c>
      <c r="D4661" t="inlineStr">
        <is>
          <t>VÄSTRA GÖTALANDS LÄN</t>
        </is>
      </c>
      <c r="E4661" t="inlineStr">
        <is>
          <t>LILLA EDET</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21685-2020</t>
        </is>
      </c>
      <c r="B4662" s="1" t="n">
        <v>43957</v>
      </c>
      <c r="C4662" s="1" t="n">
        <v>45212</v>
      </c>
      <c r="D4662" t="inlineStr">
        <is>
          <t>VÄSTRA GÖTALANDS LÄN</t>
        </is>
      </c>
      <c r="E4662" t="inlineStr">
        <is>
          <t>HÄRRYDA</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22260-2020</t>
        </is>
      </c>
      <c r="B4663" s="1" t="n">
        <v>43957</v>
      </c>
      <c r="C4663" s="1" t="n">
        <v>45212</v>
      </c>
      <c r="D4663" t="inlineStr">
        <is>
          <t>VÄSTRA GÖTALANDS LÄN</t>
        </is>
      </c>
      <c r="E4663" t="inlineStr">
        <is>
          <t>ÅMÅL</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21719-2020</t>
        </is>
      </c>
      <c r="B4664" s="1" t="n">
        <v>43957</v>
      </c>
      <c r="C4664" s="1" t="n">
        <v>45212</v>
      </c>
      <c r="D4664" t="inlineStr">
        <is>
          <t>VÄSTRA GÖTALANDS LÄN</t>
        </is>
      </c>
      <c r="E4664" t="inlineStr">
        <is>
          <t>KARLSBORG</t>
        </is>
      </c>
      <c r="G4664" t="n">
        <v>9.9</v>
      </c>
      <c r="H4664" t="n">
        <v>0</v>
      </c>
      <c r="I4664" t="n">
        <v>0</v>
      </c>
      <c r="J4664" t="n">
        <v>0</v>
      </c>
      <c r="K4664" t="n">
        <v>0</v>
      </c>
      <c r="L4664" t="n">
        <v>0</v>
      </c>
      <c r="M4664" t="n">
        <v>0</v>
      </c>
      <c r="N4664" t="n">
        <v>0</v>
      </c>
      <c r="O4664" t="n">
        <v>0</v>
      </c>
      <c r="P4664" t="n">
        <v>0</v>
      </c>
      <c r="Q4664" t="n">
        <v>0</v>
      </c>
      <c r="R4664" s="2" t="inlineStr"/>
    </row>
    <row r="4665" ht="15" customHeight="1">
      <c r="A4665" t="inlineStr">
        <is>
          <t>A 22259-2020</t>
        </is>
      </c>
      <c r="B4665" s="1" t="n">
        <v>43957</v>
      </c>
      <c r="C4665" s="1" t="n">
        <v>45212</v>
      </c>
      <c r="D4665" t="inlineStr">
        <is>
          <t>VÄSTRA GÖTALANDS LÄN</t>
        </is>
      </c>
      <c r="E4665" t="inlineStr">
        <is>
          <t>ÅMÅL</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21606-2020</t>
        </is>
      </c>
      <c r="B4666" s="1" t="n">
        <v>43957</v>
      </c>
      <c r="C4666" s="1" t="n">
        <v>45212</v>
      </c>
      <c r="D4666" t="inlineStr">
        <is>
          <t>VÄSTRA GÖTALANDS LÄN</t>
        </is>
      </c>
      <c r="E4666" t="inlineStr">
        <is>
          <t>LILLA EDET</t>
        </is>
      </c>
      <c r="G4666" t="n">
        <v>3.8</v>
      </c>
      <c r="H4666" t="n">
        <v>0</v>
      </c>
      <c r="I4666" t="n">
        <v>0</v>
      </c>
      <c r="J4666" t="n">
        <v>0</v>
      </c>
      <c r="K4666" t="n">
        <v>0</v>
      </c>
      <c r="L4666" t="n">
        <v>0</v>
      </c>
      <c r="M4666" t="n">
        <v>0</v>
      </c>
      <c r="N4666" t="n">
        <v>0</v>
      </c>
      <c r="O4666" t="n">
        <v>0</v>
      </c>
      <c r="P4666" t="n">
        <v>0</v>
      </c>
      <c r="Q4666" t="n">
        <v>0</v>
      </c>
      <c r="R4666" s="2" t="inlineStr"/>
    </row>
    <row r="4667" ht="15" customHeight="1">
      <c r="A4667" t="inlineStr">
        <is>
          <t>A 21622-2020</t>
        </is>
      </c>
      <c r="B4667" s="1" t="n">
        <v>43957</v>
      </c>
      <c r="C4667" s="1" t="n">
        <v>45212</v>
      </c>
      <c r="D4667" t="inlineStr">
        <is>
          <t>VÄSTRA GÖTALANDS LÄN</t>
        </is>
      </c>
      <c r="E4667" t="inlineStr">
        <is>
          <t>UDDEVALLA</t>
        </is>
      </c>
      <c r="F4667" t="inlineStr">
        <is>
          <t>Kyrkan</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21640-2020</t>
        </is>
      </c>
      <c r="B4668" s="1" t="n">
        <v>43957</v>
      </c>
      <c r="C4668" s="1" t="n">
        <v>45212</v>
      </c>
      <c r="D4668" t="inlineStr">
        <is>
          <t>VÄSTRA GÖTALANDS LÄN</t>
        </is>
      </c>
      <c r="E4668" t="inlineStr">
        <is>
          <t>VARA</t>
        </is>
      </c>
      <c r="G4668" t="n">
        <v>1.2</v>
      </c>
      <c r="H4668" t="n">
        <v>0</v>
      </c>
      <c r="I4668" t="n">
        <v>0</v>
      </c>
      <c r="J4668" t="n">
        <v>0</v>
      </c>
      <c r="K4668" t="n">
        <v>0</v>
      </c>
      <c r="L4668" t="n">
        <v>0</v>
      </c>
      <c r="M4668" t="n">
        <v>0</v>
      </c>
      <c r="N4668" t="n">
        <v>0</v>
      </c>
      <c r="O4668" t="n">
        <v>0</v>
      </c>
      <c r="P4668" t="n">
        <v>0</v>
      </c>
      <c r="Q4668" t="n">
        <v>0</v>
      </c>
      <c r="R4668" s="2" t="inlineStr"/>
    </row>
    <row r="4669" ht="15" customHeight="1">
      <c r="A4669" t="inlineStr">
        <is>
          <t>A 21655-2020</t>
        </is>
      </c>
      <c r="B4669" s="1" t="n">
        <v>43957</v>
      </c>
      <c r="C4669" s="1" t="n">
        <v>45212</v>
      </c>
      <c r="D4669" t="inlineStr">
        <is>
          <t>VÄSTRA GÖTALANDS LÄN</t>
        </is>
      </c>
      <c r="E4669" t="inlineStr">
        <is>
          <t>TIBRO</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21682-2020</t>
        </is>
      </c>
      <c r="B4670" s="1" t="n">
        <v>43957</v>
      </c>
      <c r="C4670" s="1" t="n">
        <v>45212</v>
      </c>
      <c r="D4670" t="inlineStr">
        <is>
          <t>VÄSTRA GÖTALANDS LÄN</t>
        </is>
      </c>
      <c r="E4670" t="inlineStr">
        <is>
          <t>HÄRRYDA</t>
        </is>
      </c>
      <c r="G4670" t="n">
        <v>2.5</v>
      </c>
      <c r="H4670" t="n">
        <v>0</v>
      </c>
      <c r="I4670" t="n">
        <v>0</v>
      </c>
      <c r="J4670" t="n">
        <v>0</v>
      </c>
      <c r="K4670" t="n">
        <v>0</v>
      </c>
      <c r="L4670" t="n">
        <v>0</v>
      </c>
      <c r="M4670" t="n">
        <v>0</v>
      </c>
      <c r="N4670" t="n">
        <v>0</v>
      </c>
      <c r="O4670" t="n">
        <v>0</v>
      </c>
      <c r="P4670" t="n">
        <v>0</v>
      </c>
      <c r="Q4670" t="n">
        <v>0</v>
      </c>
      <c r="R4670" s="2" t="inlineStr"/>
    </row>
    <row r="4671" ht="15" customHeight="1">
      <c r="A4671" t="inlineStr">
        <is>
          <t>A 21627-2020</t>
        </is>
      </c>
      <c r="B4671" s="1" t="n">
        <v>43957</v>
      </c>
      <c r="C4671" s="1" t="n">
        <v>45212</v>
      </c>
      <c r="D4671" t="inlineStr">
        <is>
          <t>VÄSTRA GÖTALANDS LÄN</t>
        </is>
      </c>
      <c r="E4671" t="inlineStr">
        <is>
          <t>MUNKEDAL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21677-2020</t>
        </is>
      </c>
      <c r="B4672" s="1" t="n">
        <v>43957</v>
      </c>
      <c r="C4672" s="1" t="n">
        <v>45212</v>
      </c>
      <c r="D4672" t="inlineStr">
        <is>
          <t>VÄSTRA GÖTALANDS LÄN</t>
        </is>
      </c>
      <c r="E4672" t="inlineStr">
        <is>
          <t>MELLERUD</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21792-2020</t>
        </is>
      </c>
      <c r="B4673" s="1" t="n">
        <v>43958</v>
      </c>
      <c r="C4673" s="1" t="n">
        <v>45212</v>
      </c>
      <c r="D4673" t="inlineStr">
        <is>
          <t>VÄSTRA GÖTALANDS LÄN</t>
        </is>
      </c>
      <c r="E4673" t="inlineStr">
        <is>
          <t>TÖREBODA</t>
        </is>
      </c>
      <c r="F4673" t="inlineStr">
        <is>
          <t>Sveaskog</t>
        </is>
      </c>
      <c r="G4673" t="n">
        <v>4.7</v>
      </c>
      <c r="H4673" t="n">
        <v>0</v>
      </c>
      <c r="I4673" t="n">
        <v>0</v>
      </c>
      <c r="J4673" t="n">
        <v>0</v>
      </c>
      <c r="K4673" t="n">
        <v>0</v>
      </c>
      <c r="L4673" t="n">
        <v>0</v>
      </c>
      <c r="M4673" t="n">
        <v>0</v>
      </c>
      <c r="N4673" t="n">
        <v>0</v>
      </c>
      <c r="O4673" t="n">
        <v>0</v>
      </c>
      <c r="P4673" t="n">
        <v>0</v>
      </c>
      <c r="Q4673" t="n">
        <v>0</v>
      </c>
      <c r="R4673" s="2" t="inlineStr"/>
    </row>
    <row r="4674" ht="15" customHeight="1">
      <c r="A4674" t="inlineStr">
        <is>
          <t>A 21912-2020</t>
        </is>
      </c>
      <c r="B4674" s="1" t="n">
        <v>43958</v>
      </c>
      <c r="C4674" s="1" t="n">
        <v>45212</v>
      </c>
      <c r="D4674" t="inlineStr">
        <is>
          <t>VÄSTRA GÖTALANDS LÄN</t>
        </is>
      </c>
      <c r="E4674" t="inlineStr">
        <is>
          <t>ORUST</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21811-2020</t>
        </is>
      </c>
      <c r="B4675" s="1" t="n">
        <v>43958</v>
      </c>
      <c r="C4675" s="1" t="n">
        <v>45212</v>
      </c>
      <c r="D4675" t="inlineStr">
        <is>
          <t>VÄSTRA GÖTALANDS LÄN</t>
        </is>
      </c>
      <c r="E4675" t="inlineStr">
        <is>
          <t>TIDAHOLM</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21914-2020</t>
        </is>
      </c>
      <c r="B4676" s="1" t="n">
        <v>43958</v>
      </c>
      <c r="C4676" s="1" t="n">
        <v>45212</v>
      </c>
      <c r="D4676" t="inlineStr">
        <is>
          <t>VÄSTRA GÖTALANDS LÄN</t>
        </is>
      </c>
      <c r="E4676" t="inlineStr">
        <is>
          <t>ALINGSÅS</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21976-2020</t>
        </is>
      </c>
      <c r="B4677" s="1" t="n">
        <v>43959</v>
      </c>
      <c r="C4677" s="1" t="n">
        <v>45212</v>
      </c>
      <c r="D4677" t="inlineStr">
        <is>
          <t>VÄSTRA GÖTALANDS LÄN</t>
        </is>
      </c>
      <c r="E4677" t="inlineStr">
        <is>
          <t>MARK</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22010-2020</t>
        </is>
      </c>
      <c r="B4678" s="1" t="n">
        <v>43959</v>
      </c>
      <c r="C4678" s="1" t="n">
        <v>45212</v>
      </c>
      <c r="D4678" t="inlineStr">
        <is>
          <t>VÄSTRA GÖTALANDS LÄN</t>
        </is>
      </c>
      <c r="E4678" t="inlineStr">
        <is>
          <t>VARA</t>
        </is>
      </c>
      <c r="G4678" t="n">
        <v>3.3</v>
      </c>
      <c r="H4678" t="n">
        <v>0</v>
      </c>
      <c r="I4678" t="n">
        <v>0</v>
      </c>
      <c r="J4678" t="n">
        <v>0</v>
      </c>
      <c r="K4678" t="n">
        <v>0</v>
      </c>
      <c r="L4678" t="n">
        <v>0</v>
      </c>
      <c r="M4678" t="n">
        <v>0</v>
      </c>
      <c r="N4678" t="n">
        <v>0</v>
      </c>
      <c r="O4678" t="n">
        <v>0</v>
      </c>
      <c r="P4678" t="n">
        <v>0</v>
      </c>
      <c r="Q4678" t="n">
        <v>0</v>
      </c>
      <c r="R4678" s="2" t="inlineStr"/>
    </row>
    <row r="4679" ht="15" customHeight="1">
      <c r="A4679" t="inlineStr">
        <is>
          <t>A 22559-2020</t>
        </is>
      </c>
      <c r="B4679" s="1" t="n">
        <v>43959</v>
      </c>
      <c r="C4679" s="1" t="n">
        <v>45212</v>
      </c>
      <c r="D4679" t="inlineStr">
        <is>
          <t>VÄSTRA GÖTALANDS LÄN</t>
        </is>
      </c>
      <c r="E4679" t="inlineStr">
        <is>
          <t>DALS-ED</t>
        </is>
      </c>
      <c r="F4679" t="inlineStr">
        <is>
          <t>Kyrkan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22022-2020</t>
        </is>
      </c>
      <c r="B4680" s="1" t="n">
        <v>43959</v>
      </c>
      <c r="C4680" s="1" t="n">
        <v>45212</v>
      </c>
      <c r="D4680" t="inlineStr">
        <is>
          <t>VÄSTRA GÖTALANDS LÄN</t>
        </is>
      </c>
      <c r="E4680" t="inlineStr">
        <is>
          <t>VARA</t>
        </is>
      </c>
      <c r="G4680" t="n">
        <v>2.2</v>
      </c>
      <c r="H4680" t="n">
        <v>0</v>
      </c>
      <c r="I4680" t="n">
        <v>0</v>
      </c>
      <c r="J4680" t="n">
        <v>0</v>
      </c>
      <c r="K4680" t="n">
        <v>0</v>
      </c>
      <c r="L4680" t="n">
        <v>0</v>
      </c>
      <c r="M4680" t="n">
        <v>0</v>
      </c>
      <c r="N4680" t="n">
        <v>0</v>
      </c>
      <c r="O4680" t="n">
        <v>0</v>
      </c>
      <c r="P4680" t="n">
        <v>0</v>
      </c>
      <c r="Q4680" t="n">
        <v>0</v>
      </c>
      <c r="R4680" s="2" t="inlineStr"/>
    </row>
    <row r="4681" ht="15" customHeight="1">
      <c r="A4681" t="inlineStr">
        <is>
          <t>A 22026-2020</t>
        </is>
      </c>
      <c r="B4681" s="1" t="n">
        <v>43959</v>
      </c>
      <c r="C4681" s="1" t="n">
        <v>45212</v>
      </c>
      <c r="D4681" t="inlineStr">
        <is>
          <t>VÄSTRA GÖTALANDS LÄN</t>
        </is>
      </c>
      <c r="E4681" t="inlineStr">
        <is>
          <t>HERRLJUNGA</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22519-2020</t>
        </is>
      </c>
      <c r="B4682" s="1" t="n">
        <v>43959</v>
      </c>
      <c r="C4682" s="1" t="n">
        <v>45212</v>
      </c>
      <c r="D4682" t="inlineStr">
        <is>
          <t>VÄSTRA GÖTALANDS LÄN</t>
        </is>
      </c>
      <c r="E4682" t="inlineStr">
        <is>
          <t>LILLA EDET</t>
        </is>
      </c>
      <c r="G4682" t="n">
        <v>2.1</v>
      </c>
      <c r="H4682" t="n">
        <v>0</v>
      </c>
      <c r="I4682" t="n">
        <v>0</v>
      </c>
      <c r="J4682" t="n">
        <v>0</v>
      </c>
      <c r="K4682" t="n">
        <v>0</v>
      </c>
      <c r="L4682" t="n">
        <v>0</v>
      </c>
      <c r="M4682" t="n">
        <v>0</v>
      </c>
      <c r="N4682" t="n">
        <v>0</v>
      </c>
      <c r="O4682" t="n">
        <v>0</v>
      </c>
      <c r="P4682" t="n">
        <v>0</v>
      </c>
      <c r="Q4682" t="n">
        <v>0</v>
      </c>
      <c r="R4682" s="2" t="inlineStr"/>
    </row>
    <row r="4683" ht="15" customHeight="1">
      <c r="A4683" t="inlineStr">
        <is>
          <t>A 22614-2020</t>
        </is>
      </c>
      <c r="B4683" s="1" t="n">
        <v>43959</v>
      </c>
      <c r="C4683" s="1" t="n">
        <v>45212</v>
      </c>
      <c r="D4683" t="inlineStr">
        <is>
          <t>VÄSTRA GÖTALANDS LÄN</t>
        </is>
      </c>
      <c r="E4683" t="inlineStr">
        <is>
          <t>BENGTSFORS</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22028-2020</t>
        </is>
      </c>
      <c r="B4684" s="1" t="n">
        <v>43959</v>
      </c>
      <c r="C4684" s="1" t="n">
        <v>45212</v>
      </c>
      <c r="D4684" t="inlineStr">
        <is>
          <t>VÄSTRA GÖTALANDS LÄN</t>
        </is>
      </c>
      <c r="E4684" t="inlineStr">
        <is>
          <t>ESSUNGA</t>
        </is>
      </c>
      <c r="G4684" t="n">
        <v>1.7</v>
      </c>
      <c r="H4684" t="n">
        <v>0</v>
      </c>
      <c r="I4684" t="n">
        <v>0</v>
      </c>
      <c r="J4684" t="n">
        <v>0</v>
      </c>
      <c r="K4684" t="n">
        <v>0</v>
      </c>
      <c r="L4684" t="n">
        <v>0</v>
      </c>
      <c r="M4684" t="n">
        <v>0</v>
      </c>
      <c r="N4684" t="n">
        <v>0</v>
      </c>
      <c r="O4684" t="n">
        <v>0</v>
      </c>
      <c r="P4684" t="n">
        <v>0</v>
      </c>
      <c r="Q4684" t="n">
        <v>0</v>
      </c>
      <c r="R4684" s="2" t="inlineStr"/>
    </row>
    <row r="4685" ht="15" customHeight="1">
      <c r="A4685" t="inlineStr">
        <is>
          <t>A 22065-2020</t>
        </is>
      </c>
      <c r="B4685" s="1" t="n">
        <v>43959</v>
      </c>
      <c r="C4685" s="1" t="n">
        <v>45212</v>
      </c>
      <c r="D4685" t="inlineStr">
        <is>
          <t>VÄSTRA GÖTALANDS LÄN</t>
        </is>
      </c>
      <c r="E4685" t="inlineStr">
        <is>
          <t>ÅMÅL</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22123-2020</t>
        </is>
      </c>
      <c r="B4686" s="1" t="n">
        <v>43961</v>
      </c>
      <c r="C4686" s="1" t="n">
        <v>45212</v>
      </c>
      <c r="D4686" t="inlineStr">
        <is>
          <t>VÄSTRA GÖTALANDS LÄN</t>
        </is>
      </c>
      <c r="E4686" t="inlineStr">
        <is>
          <t>KUNGÄLV</t>
        </is>
      </c>
      <c r="G4686" t="n">
        <v>8.6</v>
      </c>
      <c r="H4686" t="n">
        <v>0</v>
      </c>
      <c r="I4686" t="n">
        <v>0</v>
      </c>
      <c r="J4686" t="n">
        <v>0</v>
      </c>
      <c r="K4686" t="n">
        <v>0</v>
      </c>
      <c r="L4686" t="n">
        <v>0</v>
      </c>
      <c r="M4686" t="n">
        <v>0</v>
      </c>
      <c r="N4686" t="n">
        <v>0</v>
      </c>
      <c r="O4686" t="n">
        <v>0</v>
      </c>
      <c r="P4686" t="n">
        <v>0</v>
      </c>
      <c r="Q4686" t="n">
        <v>0</v>
      </c>
      <c r="R4686" s="2" t="inlineStr"/>
    </row>
    <row r="4687" ht="15" customHeight="1">
      <c r="A4687" t="inlineStr">
        <is>
          <t>A 22147-2020</t>
        </is>
      </c>
      <c r="B4687" s="1" t="n">
        <v>43961</v>
      </c>
      <c r="C4687" s="1" t="n">
        <v>45212</v>
      </c>
      <c r="D4687" t="inlineStr">
        <is>
          <t>VÄSTRA GÖTALANDS LÄN</t>
        </is>
      </c>
      <c r="E4687" t="inlineStr">
        <is>
          <t>TIDAHOLM</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22127-2020</t>
        </is>
      </c>
      <c r="B4688" s="1" t="n">
        <v>43961</v>
      </c>
      <c r="C4688" s="1" t="n">
        <v>45212</v>
      </c>
      <c r="D4688" t="inlineStr">
        <is>
          <t>VÄSTRA GÖTALANDS LÄN</t>
        </is>
      </c>
      <c r="E4688" t="inlineStr">
        <is>
          <t>KUNGÄLV</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22146-2020</t>
        </is>
      </c>
      <c r="B4689" s="1" t="n">
        <v>43961</v>
      </c>
      <c r="C4689" s="1" t="n">
        <v>45212</v>
      </c>
      <c r="D4689" t="inlineStr">
        <is>
          <t>VÄSTRA GÖTALANDS LÄN</t>
        </is>
      </c>
      <c r="E4689" t="inlineStr">
        <is>
          <t>MARIESTAD</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22190-2020</t>
        </is>
      </c>
      <c r="B4690" s="1" t="n">
        <v>43962</v>
      </c>
      <c r="C4690" s="1" t="n">
        <v>45212</v>
      </c>
      <c r="D4690" t="inlineStr">
        <is>
          <t>VÄSTRA GÖTALANDS LÄN</t>
        </is>
      </c>
      <c r="E4690" t="inlineStr">
        <is>
          <t>ESSUNGA</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22199-2020</t>
        </is>
      </c>
      <c r="B4691" s="1" t="n">
        <v>43962</v>
      </c>
      <c r="C4691" s="1" t="n">
        <v>45212</v>
      </c>
      <c r="D4691" t="inlineStr">
        <is>
          <t>VÄSTRA GÖTALANDS LÄN</t>
        </is>
      </c>
      <c r="E4691" t="inlineStr">
        <is>
          <t>FÄRGELANDA</t>
        </is>
      </c>
      <c r="F4691" t="inlineStr">
        <is>
          <t>Kommuner</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22204-2020</t>
        </is>
      </c>
      <c r="B4692" s="1" t="n">
        <v>43962</v>
      </c>
      <c r="C4692" s="1" t="n">
        <v>45212</v>
      </c>
      <c r="D4692" t="inlineStr">
        <is>
          <t>VÄSTRA GÖTALANDS LÄN</t>
        </is>
      </c>
      <c r="E4692" t="inlineStr">
        <is>
          <t>FÄRGELANDA</t>
        </is>
      </c>
      <c r="F4692" t="inlineStr">
        <is>
          <t>Kommuner</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22258-2020</t>
        </is>
      </c>
      <c r="B4693" s="1" t="n">
        <v>43962</v>
      </c>
      <c r="C4693" s="1" t="n">
        <v>45212</v>
      </c>
      <c r="D4693" t="inlineStr">
        <is>
          <t>VÄSTRA GÖTALANDS LÄN</t>
        </is>
      </c>
      <c r="E4693" t="inlineStr">
        <is>
          <t>SVENLJUNGA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22275-2020</t>
        </is>
      </c>
      <c r="B4694" s="1" t="n">
        <v>43962</v>
      </c>
      <c r="C4694" s="1" t="n">
        <v>45212</v>
      </c>
      <c r="D4694" t="inlineStr">
        <is>
          <t>VÄSTRA GÖTALANDS LÄN</t>
        </is>
      </c>
      <c r="E4694" t="inlineStr">
        <is>
          <t>SKÖVDE</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22313-2020</t>
        </is>
      </c>
      <c r="B4695" s="1" t="n">
        <v>43962</v>
      </c>
      <c r="C4695" s="1" t="n">
        <v>45212</v>
      </c>
      <c r="D4695" t="inlineStr">
        <is>
          <t>VÄSTRA GÖTALANDS LÄN</t>
        </is>
      </c>
      <c r="E4695" t="inlineStr">
        <is>
          <t>VARA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22197-2020</t>
        </is>
      </c>
      <c r="B4696" s="1" t="n">
        <v>43962</v>
      </c>
      <c r="C4696" s="1" t="n">
        <v>45212</v>
      </c>
      <c r="D4696" t="inlineStr">
        <is>
          <t>VÄSTRA GÖTALANDS LÄN</t>
        </is>
      </c>
      <c r="E4696" t="inlineStr">
        <is>
          <t>SKARA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22564-2020</t>
        </is>
      </c>
      <c r="B4697" s="1" t="n">
        <v>43963</v>
      </c>
      <c r="C4697" s="1" t="n">
        <v>45212</v>
      </c>
      <c r="D4697" t="inlineStr">
        <is>
          <t>VÄSTRA GÖTALANDS LÄN</t>
        </is>
      </c>
      <c r="E4697" t="inlineStr">
        <is>
          <t>ALINGSÅS</t>
        </is>
      </c>
      <c r="G4697" t="n">
        <v>2.7</v>
      </c>
      <c r="H4697" t="n">
        <v>0</v>
      </c>
      <c r="I4697" t="n">
        <v>0</v>
      </c>
      <c r="J4697" t="n">
        <v>0</v>
      </c>
      <c r="K4697" t="n">
        <v>0</v>
      </c>
      <c r="L4697" t="n">
        <v>0</v>
      </c>
      <c r="M4697" t="n">
        <v>0</v>
      </c>
      <c r="N4697" t="n">
        <v>0</v>
      </c>
      <c r="O4697" t="n">
        <v>0</v>
      </c>
      <c r="P4697" t="n">
        <v>0</v>
      </c>
      <c r="Q4697" t="n">
        <v>0</v>
      </c>
      <c r="R4697" s="2" t="inlineStr"/>
    </row>
    <row r="4698" ht="15" customHeight="1">
      <c r="A4698" t="inlineStr">
        <is>
          <t>A 22622-2020</t>
        </is>
      </c>
      <c r="B4698" s="1" t="n">
        <v>43963</v>
      </c>
      <c r="C4698" s="1" t="n">
        <v>45212</v>
      </c>
      <c r="D4698" t="inlineStr">
        <is>
          <t>VÄSTRA GÖTALANDS LÄN</t>
        </is>
      </c>
      <c r="E4698" t="inlineStr">
        <is>
          <t>ULRICEHAMN</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22557-2020</t>
        </is>
      </c>
      <c r="B4699" s="1" t="n">
        <v>43963</v>
      </c>
      <c r="C4699" s="1" t="n">
        <v>45212</v>
      </c>
      <c r="D4699" t="inlineStr">
        <is>
          <t>VÄSTRA GÖTALANDS LÄN</t>
        </is>
      </c>
      <c r="E4699" t="inlineStr">
        <is>
          <t>SKARA</t>
        </is>
      </c>
      <c r="G4699" t="n">
        <v>0.7</v>
      </c>
      <c r="H4699" t="n">
        <v>0</v>
      </c>
      <c r="I4699" t="n">
        <v>0</v>
      </c>
      <c r="J4699" t="n">
        <v>0</v>
      </c>
      <c r="K4699" t="n">
        <v>0</v>
      </c>
      <c r="L4699" t="n">
        <v>0</v>
      </c>
      <c r="M4699" t="n">
        <v>0</v>
      </c>
      <c r="N4699" t="n">
        <v>0</v>
      </c>
      <c r="O4699" t="n">
        <v>0</v>
      </c>
      <c r="P4699" t="n">
        <v>0</v>
      </c>
      <c r="Q4699" t="n">
        <v>0</v>
      </c>
      <c r="R4699" s="2" t="inlineStr"/>
    </row>
    <row r="4700" ht="15" customHeight="1">
      <c r="A4700" t="inlineStr">
        <is>
          <t>A 22579-2020</t>
        </is>
      </c>
      <c r="B4700" s="1" t="n">
        <v>43963</v>
      </c>
      <c r="C4700" s="1" t="n">
        <v>45212</v>
      </c>
      <c r="D4700" t="inlineStr">
        <is>
          <t>VÄSTRA GÖTALANDS LÄN</t>
        </is>
      </c>
      <c r="E4700" t="inlineStr">
        <is>
          <t>LIDKÖPING</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22621-2020</t>
        </is>
      </c>
      <c r="B4701" s="1" t="n">
        <v>43963</v>
      </c>
      <c r="C4701" s="1" t="n">
        <v>45212</v>
      </c>
      <c r="D4701" t="inlineStr">
        <is>
          <t>VÄSTRA GÖTALANDS LÄN</t>
        </is>
      </c>
      <c r="E4701" t="inlineStr">
        <is>
          <t>ULRICEHAMN</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22625-2020</t>
        </is>
      </c>
      <c r="B4702" s="1" t="n">
        <v>43963</v>
      </c>
      <c r="C4702" s="1" t="n">
        <v>45212</v>
      </c>
      <c r="D4702" t="inlineStr">
        <is>
          <t>VÄSTRA GÖTALANDS LÄN</t>
        </is>
      </c>
      <c r="E4702" t="inlineStr">
        <is>
          <t>SVENLJUNGA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22644-2020</t>
        </is>
      </c>
      <c r="B4703" s="1" t="n">
        <v>43963</v>
      </c>
      <c r="C4703" s="1" t="n">
        <v>45212</v>
      </c>
      <c r="D4703" t="inlineStr">
        <is>
          <t>VÄSTRA GÖTALANDS LÄN</t>
        </is>
      </c>
      <c r="E4703" t="inlineStr">
        <is>
          <t>VARA</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23251-2020</t>
        </is>
      </c>
      <c r="B4704" s="1" t="n">
        <v>43964</v>
      </c>
      <c r="C4704" s="1" t="n">
        <v>45212</v>
      </c>
      <c r="D4704" t="inlineStr">
        <is>
          <t>VÄSTRA GÖTALANDS LÄN</t>
        </is>
      </c>
      <c r="E4704" t="inlineStr">
        <is>
          <t>MUNKEDAL</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22742-2020</t>
        </is>
      </c>
      <c r="B4705" s="1" t="n">
        <v>43964</v>
      </c>
      <c r="C4705" s="1" t="n">
        <v>45212</v>
      </c>
      <c r="D4705" t="inlineStr">
        <is>
          <t>VÄSTRA GÖTALANDS LÄN</t>
        </is>
      </c>
      <c r="E4705" t="inlineStr">
        <is>
          <t>TÖREBODA</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22794-2020</t>
        </is>
      </c>
      <c r="B4706" s="1" t="n">
        <v>43964</v>
      </c>
      <c r="C4706" s="1" t="n">
        <v>45212</v>
      </c>
      <c r="D4706" t="inlineStr">
        <is>
          <t>VÄSTRA GÖTALANDS LÄN</t>
        </is>
      </c>
      <c r="E4706" t="inlineStr">
        <is>
          <t>LIDKÖPING</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22805-2020</t>
        </is>
      </c>
      <c r="B4707" s="1" t="n">
        <v>43964</v>
      </c>
      <c r="C4707" s="1" t="n">
        <v>45212</v>
      </c>
      <c r="D4707" t="inlineStr">
        <is>
          <t>VÄSTRA GÖTALANDS LÄN</t>
        </is>
      </c>
      <c r="E4707" t="inlineStr">
        <is>
          <t>LIDKÖPING</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22842-2020</t>
        </is>
      </c>
      <c r="B4708" s="1" t="n">
        <v>43964</v>
      </c>
      <c r="C4708" s="1" t="n">
        <v>45212</v>
      </c>
      <c r="D4708" t="inlineStr">
        <is>
          <t>VÄSTRA GÖTALANDS LÄN</t>
        </is>
      </c>
      <c r="E4708" t="inlineStr">
        <is>
          <t>LERUM</t>
        </is>
      </c>
      <c r="G4708" t="n">
        <v>5.9</v>
      </c>
      <c r="H4708" t="n">
        <v>0</v>
      </c>
      <c r="I4708" t="n">
        <v>0</v>
      </c>
      <c r="J4708" t="n">
        <v>0</v>
      </c>
      <c r="K4708" t="n">
        <v>0</v>
      </c>
      <c r="L4708" t="n">
        <v>0</v>
      </c>
      <c r="M4708" t="n">
        <v>0</v>
      </c>
      <c r="N4708" t="n">
        <v>0</v>
      </c>
      <c r="O4708" t="n">
        <v>0</v>
      </c>
      <c r="P4708" t="n">
        <v>0</v>
      </c>
      <c r="Q4708" t="n">
        <v>0</v>
      </c>
      <c r="R4708" s="2" t="inlineStr"/>
    </row>
    <row r="4709" ht="15" customHeight="1">
      <c r="A4709" t="inlineStr">
        <is>
          <t>A 23239-2020</t>
        </is>
      </c>
      <c r="B4709" s="1" t="n">
        <v>43964</v>
      </c>
      <c r="C4709" s="1" t="n">
        <v>45212</v>
      </c>
      <c r="D4709" t="inlineStr">
        <is>
          <t>VÄSTRA GÖTALANDS LÄN</t>
        </is>
      </c>
      <c r="E4709" t="inlineStr">
        <is>
          <t>DALS-ED</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22852-2020</t>
        </is>
      </c>
      <c r="B4710" s="1" t="n">
        <v>43964</v>
      </c>
      <c r="C4710" s="1" t="n">
        <v>45212</v>
      </c>
      <c r="D4710" t="inlineStr">
        <is>
          <t>VÄSTRA GÖTALANDS LÄN</t>
        </is>
      </c>
      <c r="E4710" t="inlineStr">
        <is>
          <t>ESSUNGA</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22879-2020</t>
        </is>
      </c>
      <c r="B4711" s="1" t="n">
        <v>43964</v>
      </c>
      <c r="C4711" s="1" t="n">
        <v>45212</v>
      </c>
      <c r="D4711" t="inlineStr">
        <is>
          <t>VÄSTRA GÖTALANDS LÄN</t>
        </is>
      </c>
      <c r="E4711" t="inlineStr">
        <is>
          <t>MELLERUD</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22744-2020</t>
        </is>
      </c>
      <c r="B4712" s="1" t="n">
        <v>43964</v>
      </c>
      <c r="C4712" s="1" t="n">
        <v>45212</v>
      </c>
      <c r="D4712" t="inlineStr">
        <is>
          <t>VÄSTRA GÖTALANDS LÄN</t>
        </is>
      </c>
      <c r="E4712" t="inlineStr">
        <is>
          <t>MARIESTAD</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22981-2020</t>
        </is>
      </c>
      <c r="B4713" s="1" t="n">
        <v>43965</v>
      </c>
      <c r="C4713" s="1" t="n">
        <v>45212</v>
      </c>
      <c r="D4713" t="inlineStr">
        <is>
          <t>VÄSTRA GÖTALANDS LÄN</t>
        </is>
      </c>
      <c r="E4713" t="inlineStr">
        <is>
          <t>TIDAHOLM</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23112-2020</t>
        </is>
      </c>
      <c r="B4714" s="1" t="n">
        <v>43965</v>
      </c>
      <c r="C4714" s="1" t="n">
        <v>45212</v>
      </c>
      <c r="D4714" t="inlineStr">
        <is>
          <t>VÄSTRA GÖTALANDS LÄN</t>
        </is>
      </c>
      <c r="E4714" t="inlineStr">
        <is>
          <t>SVENLJUNGA</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22980-2020</t>
        </is>
      </c>
      <c r="B4715" s="1" t="n">
        <v>43965</v>
      </c>
      <c r="C4715" s="1" t="n">
        <v>45212</v>
      </c>
      <c r="D4715" t="inlineStr">
        <is>
          <t>VÄSTRA GÖTALANDS LÄN</t>
        </is>
      </c>
      <c r="E4715" t="inlineStr">
        <is>
          <t>HJO</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23099-2020</t>
        </is>
      </c>
      <c r="B4716" s="1" t="n">
        <v>43965</v>
      </c>
      <c r="C4716" s="1" t="n">
        <v>45212</v>
      </c>
      <c r="D4716" t="inlineStr">
        <is>
          <t>VÄSTRA GÖTALANDS LÄN</t>
        </is>
      </c>
      <c r="E4716" t="inlineStr">
        <is>
          <t>ALE</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23139-2020</t>
        </is>
      </c>
      <c r="B4717" s="1" t="n">
        <v>43966</v>
      </c>
      <c r="C4717" s="1" t="n">
        <v>45212</v>
      </c>
      <c r="D4717" t="inlineStr">
        <is>
          <t>VÄSTRA GÖTALANDS LÄN</t>
        </is>
      </c>
      <c r="E4717" t="inlineStr">
        <is>
          <t>MARIESTAD</t>
        </is>
      </c>
      <c r="F4717" t="inlineStr">
        <is>
          <t>Sveaskog</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23169-2020</t>
        </is>
      </c>
      <c r="B4718" s="1" t="n">
        <v>43966</v>
      </c>
      <c r="C4718" s="1" t="n">
        <v>45212</v>
      </c>
      <c r="D4718" t="inlineStr">
        <is>
          <t>VÄSTRA GÖTALANDS LÄN</t>
        </is>
      </c>
      <c r="E4718" t="inlineStr">
        <is>
          <t>ULRICEHAMN</t>
        </is>
      </c>
      <c r="G4718" t="n">
        <v>7.7</v>
      </c>
      <c r="H4718" t="n">
        <v>0</v>
      </c>
      <c r="I4718" t="n">
        <v>0</v>
      </c>
      <c r="J4718" t="n">
        <v>0</v>
      </c>
      <c r="K4718" t="n">
        <v>0</v>
      </c>
      <c r="L4718" t="n">
        <v>0</v>
      </c>
      <c r="M4718" t="n">
        <v>0</v>
      </c>
      <c r="N4718" t="n">
        <v>0</v>
      </c>
      <c r="O4718" t="n">
        <v>0</v>
      </c>
      <c r="P4718" t="n">
        <v>0</v>
      </c>
      <c r="Q4718" t="n">
        <v>0</v>
      </c>
      <c r="R4718" s="2" t="inlineStr"/>
    </row>
    <row r="4719" ht="15" customHeight="1">
      <c r="A4719" t="inlineStr">
        <is>
          <t>A 23289-2020</t>
        </is>
      </c>
      <c r="B4719" s="1" t="n">
        <v>43966</v>
      </c>
      <c r="C4719" s="1" t="n">
        <v>45212</v>
      </c>
      <c r="D4719" t="inlineStr">
        <is>
          <t>VÄSTRA GÖTALANDS LÄN</t>
        </is>
      </c>
      <c r="E4719" t="inlineStr">
        <is>
          <t>TRANEMO</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23229-2020</t>
        </is>
      </c>
      <c r="B4720" s="1" t="n">
        <v>43966</v>
      </c>
      <c r="C4720" s="1" t="n">
        <v>45212</v>
      </c>
      <c r="D4720" t="inlineStr">
        <is>
          <t>VÄSTRA GÖTALANDS LÄN</t>
        </is>
      </c>
      <c r="E4720" t="inlineStr">
        <is>
          <t>LIDKÖPING</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23534-2020</t>
        </is>
      </c>
      <c r="B4721" s="1" t="n">
        <v>43969</v>
      </c>
      <c r="C4721" s="1" t="n">
        <v>45212</v>
      </c>
      <c r="D4721" t="inlineStr">
        <is>
          <t>VÄSTRA GÖTALANDS LÄN</t>
        </is>
      </c>
      <c r="E4721" t="inlineStr">
        <is>
          <t>HERRLJUNGA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23664-2020</t>
        </is>
      </c>
      <c r="B4722" s="1" t="n">
        <v>43969</v>
      </c>
      <c r="C4722" s="1" t="n">
        <v>45212</v>
      </c>
      <c r="D4722" t="inlineStr">
        <is>
          <t>VÄSTRA GÖTALANDS LÄN</t>
        </is>
      </c>
      <c r="E4722" t="inlineStr">
        <is>
          <t>VARA</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23529-2020</t>
        </is>
      </c>
      <c r="B4723" s="1" t="n">
        <v>43969</v>
      </c>
      <c r="C4723" s="1" t="n">
        <v>45212</v>
      </c>
      <c r="D4723" t="inlineStr">
        <is>
          <t>VÄSTRA GÖTALANDS LÄN</t>
        </is>
      </c>
      <c r="E4723" t="inlineStr">
        <is>
          <t>BOLLEBYGD</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23663-2020</t>
        </is>
      </c>
      <c r="B4724" s="1" t="n">
        <v>43969</v>
      </c>
      <c r="C4724" s="1" t="n">
        <v>45212</v>
      </c>
      <c r="D4724" t="inlineStr">
        <is>
          <t>VÄSTRA GÖTALANDS LÄN</t>
        </is>
      </c>
      <c r="E4724" t="inlineStr">
        <is>
          <t>MELLERUD</t>
        </is>
      </c>
      <c r="G4724" t="n">
        <v>10.1</v>
      </c>
      <c r="H4724" t="n">
        <v>0</v>
      </c>
      <c r="I4724" t="n">
        <v>0</v>
      </c>
      <c r="J4724" t="n">
        <v>0</v>
      </c>
      <c r="K4724" t="n">
        <v>0</v>
      </c>
      <c r="L4724" t="n">
        <v>0</v>
      </c>
      <c r="M4724" t="n">
        <v>0</v>
      </c>
      <c r="N4724" t="n">
        <v>0</v>
      </c>
      <c r="O4724" t="n">
        <v>0</v>
      </c>
      <c r="P4724" t="n">
        <v>0</v>
      </c>
      <c r="Q4724" t="n">
        <v>0</v>
      </c>
      <c r="R4724" s="2" t="inlineStr"/>
    </row>
    <row r="4725" ht="15" customHeight="1">
      <c r="A4725" t="inlineStr">
        <is>
          <t>A 23706-2020</t>
        </is>
      </c>
      <c r="B4725" s="1" t="n">
        <v>43969</v>
      </c>
      <c r="C4725" s="1" t="n">
        <v>45212</v>
      </c>
      <c r="D4725" t="inlineStr">
        <is>
          <t>VÄSTRA GÖTALANDS LÄN</t>
        </is>
      </c>
      <c r="E4725" t="inlineStr">
        <is>
          <t>ÅMÅL</t>
        </is>
      </c>
      <c r="F4725" t="inlineStr">
        <is>
          <t>Bergvik skog väst AB</t>
        </is>
      </c>
      <c r="G4725" t="n">
        <v>27.4</v>
      </c>
      <c r="H4725" t="n">
        <v>0</v>
      </c>
      <c r="I4725" t="n">
        <v>0</v>
      </c>
      <c r="J4725" t="n">
        <v>0</v>
      </c>
      <c r="K4725" t="n">
        <v>0</v>
      </c>
      <c r="L4725" t="n">
        <v>0</v>
      </c>
      <c r="M4725" t="n">
        <v>0</v>
      </c>
      <c r="N4725" t="n">
        <v>0</v>
      </c>
      <c r="O4725" t="n">
        <v>0</v>
      </c>
      <c r="P4725" t="n">
        <v>0</v>
      </c>
      <c r="Q4725" t="n">
        <v>0</v>
      </c>
      <c r="R4725" s="2" t="inlineStr"/>
    </row>
    <row r="4726" ht="15" customHeight="1">
      <c r="A4726" t="inlineStr">
        <is>
          <t>A 23544-2020</t>
        </is>
      </c>
      <c r="B4726" s="1" t="n">
        <v>43969</v>
      </c>
      <c r="C4726" s="1" t="n">
        <v>45212</v>
      </c>
      <c r="D4726" t="inlineStr">
        <is>
          <t>VÄSTRA GÖTALANDS LÄN</t>
        </is>
      </c>
      <c r="E4726" t="inlineStr">
        <is>
          <t>SKARA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23629-2020</t>
        </is>
      </c>
      <c r="B4727" s="1" t="n">
        <v>43969</v>
      </c>
      <c r="C4727" s="1" t="n">
        <v>45212</v>
      </c>
      <c r="D4727" t="inlineStr">
        <is>
          <t>VÄSTRA GÖTALANDS LÄN</t>
        </is>
      </c>
      <c r="E4727" t="inlineStr">
        <is>
          <t>HERRLJUNGA</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23726-2020</t>
        </is>
      </c>
      <c r="B4728" s="1" t="n">
        <v>43970</v>
      </c>
      <c r="C4728" s="1" t="n">
        <v>45212</v>
      </c>
      <c r="D4728" t="inlineStr">
        <is>
          <t>VÄSTRA GÖTALANDS LÄN</t>
        </is>
      </c>
      <c r="E4728" t="inlineStr">
        <is>
          <t>BORÅS</t>
        </is>
      </c>
      <c r="G4728" t="n">
        <v>8.9</v>
      </c>
      <c r="H4728" t="n">
        <v>0</v>
      </c>
      <c r="I4728" t="n">
        <v>0</v>
      </c>
      <c r="J4728" t="n">
        <v>0</v>
      </c>
      <c r="K4728" t="n">
        <v>0</v>
      </c>
      <c r="L4728" t="n">
        <v>0</v>
      </c>
      <c r="M4728" t="n">
        <v>0</v>
      </c>
      <c r="N4728" t="n">
        <v>0</v>
      </c>
      <c r="O4728" t="n">
        <v>0</v>
      </c>
      <c r="P4728" t="n">
        <v>0</v>
      </c>
      <c r="Q4728" t="n">
        <v>0</v>
      </c>
      <c r="R4728" s="2" t="inlineStr"/>
    </row>
    <row r="4729" ht="15" customHeight="1">
      <c r="A4729" t="inlineStr">
        <is>
          <t>A 23882-2020</t>
        </is>
      </c>
      <c r="B4729" s="1" t="n">
        <v>43970</v>
      </c>
      <c r="C4729" s="1" t="n">
        <v>45212</v>
      </c>
      <c r="D4729" t="inlineStr">
        <is>
          <t>VÄSTRA GÖTALANDS LÄN</t>
        </is>
      </c>
      <c r="E4729" t="inlineStr">
        <is>
          <t>BENGTSFORS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23788-2020</t>
        </is>
      </c>
      <c r="B4730" s="1" t="n">
        <v>43970</v>
      </c>
      <c r="C4730" s="1" t="n">
        <v>45212</v>
      </c>
      <c r="D4730" t="inlineStr">
        <is>
          <t>VÄSTRA GÖTALANDS LÄN</t>
        </is>
      </c>
      <c r="E4730" t="inlineStr">
        <is>
          <t>ÅMÅL</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23740-2020</t>
        </is>
      </c>
      <c r="B4731" s="1" t="n">
        <v>43970</v>
      </c>
      <c r="C4731" s="1" t="n">
        <v>45212</v>
      </c>
      <c r="D4731" t="inlineStr">
        <is>
          <t>VÄSTRA GÖTALANDS LÄN</t>
        </is>
      </c>
      <c r="E4731" t="inlineStr">
        <is>
          <t>TRANEMO</t>
        </is>
      </c>
      <c r="G4731" t="n">
        <v>4</v>
      </c>
      <c r="H4731" t="n">
        <v>0</v>
      </c>
      <c r="I4731" t="n">
        <v>0</v>
      </c>
      <c r="J4731" t="n">
        <v>0</v>
      </c>
      <c r="K4731" t="n">
        <v>0</v>
      </c>
      <c r="L4731" t="n">
        <v>0</v>
      </c>
      <c r="M4731" t="n">
        <v>0</v>
      </c>
      <c r="N4731" t="n">
        <v>0</v>
      </c>
      <c r="O4731" t="n">
        <v>0</v>
      </c>
      <c r="P4731" t="n">
        <v>0</v>
      </c>
      <c r="Q4731" t="n">
        <v>0</v>
      </c>
      <c r="R4731" s="2" t="inlineStr"/>
    </row>
    <row r="4732" ht="15" customHeight="1">
      <c r="A4732" t="inlineStr">
        <is>
          <t>A 23739-2020</t>
        </is>
      </c>
      <c r="B4732" s="1" t="n">
        <v>43970</v>
      </c>
      <c r="C4732" s="1" t="n">
        <v>45212</v>
      </c>
      <c r="D4732" t="inlineStr">
        <is>
          <t>VÄSTRA GÖTALANDS LÄN</t>
        </is>
      </c>
      <c r="E4732" t="inlineStr">
        <is>
          <t>MARIESTAD</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23824-2020</t>
        </is>
      </c>
      <c r="B4733" s="1" t="n">
        <v>43970</v>
      </c>
      <c r="C4733" s="1" t="n">
        <v>45212</v>
      </c>
      <c r="D4733" t="inlineStr">
        <is>
          <t>VÄSTRA GÖTALANDS LÄN</t>
        </is>
      </c>
      <c r="E4733" t="inlineStr">
        <is>
          <t>SKÖVDE</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23879-2020</t>
        </is>
      </c>
      <c r="B4734" s="1" t="n">
        <v>43971</v>
      </c>
      <c r="C4734" s="1" t="n">
        <v>45212</v>
      </c>
      <c r="D4734" t="inlineStr">
        <is>
          <t>VÄSTRA GÖTALANDS LÄN</t>
        </is>
      </c>
      <c r="E4734" t="inlineStr">
        <is>
          <t>SVENLJUNGA</t>
        </is>
      </c>
      <c r="F4734" t="inlineStr">
        <is>
          <t>Sveaskog</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24035-2020</t>
        </is>
      </c>
      <c r="B4735" s="1" t="n">
        <v>43971</v>
      </c>
      <c r="C4735" s="1" t="n">
        <v>45212</v>
      </c>
      <c r="D4735" t="inlineStr">
        <is>
          <t>VÄSTRA GÖTALANDS LÄN</t>
        </is>
      </c>
      <c r="E4735" t="inlineStr">
        <is>
          <t>MELLERUD</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23956-2020</t>
        </is>
      </c>
      <c r="B4736" s="1" t="n">
        <v>43971</v>
      </c>
      <c r="C4736" s="1" t="n">
        <v>45212</v>
      </c>
      <c r="D4736" t="inlineStr">
        <is>
          <t>VÄSTRA GÖTALANDS LÄN</t>
        </is>
      </c>
      <c r="E4736" t="inlineStr">
        <is>
          <t>LIDKÖPING</t>
        </is>
      </c>
      <c r="G4736" t="n">
        <v>3.2</v>
      </c>
      <c r="H4736" t="n">
        <v>0</v>
      </c>
      <c r="I4736" t="n">
        <v>0</v>
      </c>
      <c r="J4736" t="n">
        <v>0</v>
      </c>
      <c r="K4736" t="n">
        <v>0</v>
      </c>
      <c r="L4736" t="n">
        <v>0</v>
      </c>
      <c r="M4736" t="n">
        <v>0</v>
      </c>
      <c r="N4736" t="n">
        <v>0</v>
      </c>
      <c r="O4736" t="n">
        <v>0</v>
      </c>
      <c r="P4736" t="n">
        <v>0</v>
      </c>
      <c r="Q4736" t="n">
        <v>0</v>
      </c>
      <c r="R4736" s="2" t="inlineStr"/>
    </row>
    <row r="4737" ht="15" customHeight="1">
      <c r="A4737" t="inlineStr">
        <is>
          <t>A 23965-2020</t>
        </is>
      </c>
      <c r="B4737" s="1" t="n">
        <v>43971</v>
      </c>
      <c r="C4737" s="1" t="n">
        <v>45212</v>
      </c>
      <c r="D4737" t="inlineStr">
        <is>
          <t>VÄSTRA GÖTALANDS LÄN</t>
        </is>
      </c>
      <c r="E4737" t="inlineStr">
        <is>
          <t>HERRLJUNGA</t>
        </is>
      </c>
      <c r="G4737" t="n">
        <v>2</v>
      </c>
      <c r="H4737" t="n">
        <v>0</v>
      </c>
      <c r="I4737" t="n">
        <v>0</v>
      </c>
      <c r="J4737" t="n">
        <v>0</v>
      </c>
      <c r="K4737" t="n">
        <v>0</v>
      </c>
      <c r="L4737" t="n">
        <v>0</v>
      </c>
      <c r="M4737" t="n">
        <v>0</v>
      </c>
      <c r="N4737" t="n">
        <v>0</v>
      </c>
      <c r="O4737" t="n">
        <v>0</v>
      </c>
      <c r="P4737" t="n">
        <v>0</v>
      </c>
      <c r="Q4737" t="n">
        <v>0</v>
      </c>
      <c r="R4737" s="2" t="inlineStr"/>
    </row>
    <row r="4738" ht="15" customHeight="1">
      <c r="A4738" t="inlineStr">
        <is>
          <t>A 23999-2020</t>
        </is>
      </c>
      <c r="B4738" s="1" t="n">
        <v>43971</v>
      </c>
      <c r="C4738" s="1" t="n">
        <v>45212</v>
      </c>
      <c r="D4738" t="inlineStr">
        <is>
          <t>VÄSTRA GÖTALANDS LÄN</t>
        </is>
      </c>
      <c r="E4738" t="inlineStr">
        <is>
          <t>BORÅS</t>
        </is>
      </c>
      <c r="F4738" t="inlineStr">
        <is>
          <t>Sveaskog</t>
        </is>
      </c>
      <c r="G4738" t="n">
        <v>4.6</v>
      </c>
      <c r="H4738" t="n">
        <v>0</v>
      </c>
      <c r="I4738" t="n">
        <v>0</v>
      </c>
      <c r="J4738" t="n">
        <v>0</v>
      </c>
      <c r="K4738" t="n">
        <v>0</v>
      </c>
      <c r="L4738" t="n">
        <v>0</v>
      </c>
      <c r="M4738" t="n">
        <v>0</v>
      </c>
      <c r="N4738" t="n">
        <v>0</v>
      </c>
      <c r="O4738" t="n">
        <v>0</v>
      </c>
      <c r="P4738" t="n">
        <v>0</v>
      </c>
      <c r="Q4738" t="n">
        <v>0</v>
      </c>
      <c r="R4738" s="2" t="inlineStr"/>
    </row>
    <row r="4739" ht="15" customHeight="1">
      <c r="A4739" t="inlineStr">
        <is>
          <t>A 24109-2020</t>
        </is>
      </c>
      <c r="B4739" s="1" t="n">
        <v>43973</v>
      </c>
      <c r="C4739" s="1" t="n">
        <v>45212</v>
      </c>
      <c r="D4739" t="inlineStr">
        <is>
          <t>VÄSTRA GÖTALANDS LÄN</t>
        </is>
      </c>
      <c r="E4739" t="inlineStr">
        <is>
          <t>KARLSBORG</t>
        </is>
      </c>
      <c r="F4739" t="inlineStr">
        <is>
          <t>Sveaskog</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24111-2020</t>
        </is>
      </c>
      <c r="B4740" s="1" t="n">
        <v>43973</v>
      </c>
      <c r="C4740" s="1" t="n">
        <v>45212</v>
      </c>
      <c r="D4740" t="inlineStr">
        <is>
          <t>VÄSTRA GÖTALANDS LÄN</t>
        </is>
      </c>
      <c r="E4740" t="inlineStr">
        <is>
          <t>MARIESTAD</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24139-2020</t>
        </is>
      </c>
      <c r="B4741" s="1" t="n">
        <v>43973</v>
      </c>
      <c r="C4741" s="1" t="n">
        <v>45212</v>
      </c>
      <c r="D4741" t="inlineStr">
        <is>
          <t>VÄSTRA GÖTALANDS LÄN</t>
        </is>
      </c>
      <c r="E4741" t="inlineStr">
        <is>
          <t>MARK</t>
        </is>
      </c>
      <c r="G4741" t="n">
        <v>3.1</v>
      </c>
      <c r="H4741" t="n">
        <v>0</v>
      </c>
      <c r="I4741" t="n">
        <v>0</v>
      </c>
      <c r="J4741" t="n">
        <v>0</v>
      </c>
      <c r="K4741" t="n">
        <v>0</v>
      </c>
      <c r="L4741" t="n">
        <v>0</v>
      </c>
      <c r="M4741" t="n">
        <v>0</v>
      </c>
      <c r="N4741" t="n">
        <v>0</v>
      </c>
      <c r="O4741" t="n">
        <v>0</v>
      </c>
      <c r="P4741" t="n">
        <v>0</v>
      </c>
      <c r="Q4741" t="n">
        <v>0</v>
      </c>
      <c r="R4741" s="2" t="inlineStr"/>
    </row>
    <row r="4742" ht="15" customHeight="1">
      <c r="A4742" t="inlineStr">
        <is>
          <t>A 24106-2020</t>
        </is>
      </c>
      <c r="B4742" s="1" t="n">
        <v>43973</v>
      </c>
      <c r="C4742" s="1" t="n">
        <v>45212</v>
      </c>
      <c r="D4742" t="inlineStr">
        <is>
          <t>VÄSTRA GÖTALANDS LÄN</t>
        </is>
      </c>
      <c r="E4742" t="inlineStr">
        <is>
          <t>KARLSBORG</t>
        </is>
      </c>
      <c r="F4742" t="inlineStr">
        <is>
          <t>Sveaskog</t>
        </is>
      </c>
      <c r="G4742" t="n">
        <v>5.4</v>
      </c>
      <c r="H4742" t="n">
        <v>0</v>
      </c>
      <c r="I4742" t="n">
        <v>0</v>
      </c>
      <c r="J4742" t="n">
        <v>0</v>
      </c>
      <c r="K4742" t="n">
        <v>0</v>
      </c>
      <c r="L4742" t="n">
        <v>0</v>
      </c>
      <c r="M4742" t="n">
        <v>0</v>
      </c>
      <c r="N4742" t="n">
        <v>0</v>
      </c>
      <c r="O4742" t="n">
        <v>0</v>
      </c>
      <c r="P4742" t="n">
        <v>0</v>
      </c>
      <c r="Q4742" t="n">
        <v>0</v>
      </c>
      <c r="R4742" s="2" t="inlineStr"/>
    </row>
    <row r="4743" ht="15" customHeight="1">
      <c r="A4743" t="inlineStr">
        <is>
          <t>A 24110-2020</t>
        </is>
      </c>
      <c r="B4743" s="1" t="n">
        <v>43973</v>
      </c>
      <c r="C4743" s="1" t="n">
        <v>45212</v>
      </c>
      <c r="D4743" t="inlineStr">
        <is>
          <t>VÄSTRA GÖTALANDS LÄN</t>
        </is>
      </c>
      <c r="E4743" t="inlineStr">
        <is>
          <t>KARLSBORG</t>
        </is>
      </c>
      <c r="F4743" t="inlineStr">
        <is>
          <t>Sveaskog</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24154-2020</t>
        </is>
      </c>
      <c r="B4744" s="1" t="n">
        <v>43974</v>
      </c>
      <c r="C4744" s="1" t="n">
        <v>45212</v>
      </c>
      <c r="D4744" t="inlineStr">
        <is>
          <t>VÄSTRA GÖTALANDS LÄN</t>
        </is>
      </c>
      <c r="E4744" t="inlineStr">
        <is>
          <t>ULRICEHAMN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24177-2020</t>
        </is>
      </c>
      <c r="B4745" s="1" t="n">
        <v>43975</v>
      </c>
      <c r="C4745" s="1" t="n">
        <v>45212</v>
      </c>
      <c r="D4745" t="inlineStr">
        <is>
          <t>VÄSTRA GÖTALANDS LÄN</t>
        </is>
      </c>
      <c r="E4745" t="inlineStr">
        <is>
          <t>TIDAHOLM</t>
        </is>
      </c>
      <c r="G4745" t="n">
        <v>3</v>
      </c>
      <c r="H4745" t="n">
        <v>0</v>
      </c>
      <c r="I4745" t="n">
        <v>0</v>
      </c>
      <c r="J4745" t="n">
        <v>0</v>
      </c>
      <c r="K4745" t="n">
        <v>0</v>
      </c>
      <c r="L4745" t="n">
        <v>0</v>
      </c>
      <c r="M4745" t="n">
        <v>0</v>
      </c>
      <c r="N4745" t="n">
        <v>0</v>
      </c>
      <c r="O4745" t="n">
        <v>0</v>
      </c>
      <c r="P4745" t="n">
        <v>0</v>
      </c>
      <c r="Q4745" t="n">
        <v>0</v>
      </c>
      <c r="R4745" s="2" t="inlineStr"/>
    </row>
    <row r="4746" ht="15" customHeight="1">
      <c r="A4746" t="inlineStr">
        <is>
          <t>A 24498-2020</t>
        </is>
      </c>
      <c r="B4746" s="1" t="n">
        <v>43975</v>
      </c>
      <c r="C4746" s="1" t="n">
        <v>45212</v>
      </c>
      <c r="D4746" t="inlineStr">
        <is>
          <t>VÄSTRA GÖTALANDS LÄN</t>
        </is>
      </c>
      <c r="E4746" t="inlineStr">
        <is>
          <t>ALINGSÅS</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24388-2020</t>
        </is>
      </c>
      <c r="B4747" s="1" t="n">
        <v>43976</v>
      </c>
      <c r="C4747" s="1" t="n">
        <v>45212</v>
      </c>
      <c r="D4747" t="inlineStr">
        <is>
          <t>VÄSTRA GÖTALANDS LÄN</t>
        </is>
      </c>
      <c r="E4747" t="inlineStr">
        <is>
          <t>TRANEMO</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24288-2020</t>
        </is>
      </c>
      <c r="B4748" s="1" t="n">
        <v>43976</v>
      </c>
      <c r="C4748" s="1" t="n">
        <v>45212</v>
      </c>
      <c r="D4748" t="inlineStr">
        <is>
          <t>VÄSTRA GÖTALANDS LÄN</t>
        </is>
      </c>
      <c r="E4748" t="inlineStr">
        <is>
          <t>SKARA</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24214-2020</t>
        </is>
      </c>
      <c r="B4749" s="1" t="n">
        <v>43976</v>
      </c>
      <c r="C4749" s="1" t="n">
        <v>45212</v>
      </c>
      <c r="D4749" t="inlineStr">
        <is>
          <t>VÄSTRA GÖTALANDS LÄN</t>
        </is>
      </c>
      <c r="E4749" t="inlineStr">
        <is>
          <t>MARK</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24357-2020</t>
        </is>
      </c>
      <c r="B4750" s="1" t="n">
        <v>43976</v>
      </c>
      <c r="C4750" s="1" t="n">
        <v>45212</v>
      </c>
      <c r="D4750" t="inlineStr">
        <is>
          <t>VÄSTRA GÖTALANDS LÄN</t>
        </is>
      </c>
      <c r="E4750" t="inlineStr">
        <is>
          <t>LILLA EDET</t>
        </is>
      </c>
      <c r="G4750" t="n">
        <v>5</v>
      </c>
      <c r="H4750" t="n">
        <v>0</v>
      </c>
      <c r="I4750" t="n">
        <v>0</v>
      </c>
      <c r="J4750" t="n">
        <v>0</v>
      </c>
      <c r="K4750" t="n">
        <v>0</v>
      </c>
      <c r="L4750" t="n">
        <v>0</v>
      </c>
      <c r="M4750" t="n">
        <v>0</v>
      </c>
      <c r="N4750" t="n">
        <v>0</v>
      </c>
      <c r="O4750" t="n">
        <v>0</v>
      </c>
      <c r="P4750" t="n">
        <v>0</v>
      </c>
      <c r="Q4750" t="n">
        <v>0</v>
      </c>
      <c r="R4750" s="2" t="inlineStr"/>
    </row>
    <row r="4751" ht="15" customHeight="1">
      <c r="A4751" t="inlineStr">
        <is>
          <t>A 24973-2020</t>
        </is>
      </c>
      <c r="B4751" s="1" t="n">
        <v>43977</v>
      </c>
      <c r="C4751" s="1" t="n">
        <v>45212</v>
      </c>
      <c r="D4751" t="inlineStr">
        <is>
          <t>VÄSTRA GÖTALANDS LÄN</t>
        </is>
      </c>
      <c r="E4751" t="inlineStr">
        <is>
          <t>MUNKEDAL</t>
        </is>
      </c>
      <c r="F4751" t="inlineStr">
        <is>
          <t>Kommuner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24553-2020</t>
        </is>
      </c>
      <c r="B4752" s="1" t="n">
        <v>43977</v>
      </c>
      <c r="C4752" s="1" t="n">
        <v>45212</v>
      </c>
      <c r="D4752" t="inlineStr">
        <is>
          <t>VÄSTRA GÖTALANDS LÄN</t>
        </is>
      </c>
      <c r="E4752" t="inlineStr">
        <is>
          <t>SKARA</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24807-2020</t>
        </is>
      </c>
      <c r="B4753" s="1" t="n">
        <v>43978</v>
      </c>
      <c r="C4753" s="1" t="n">
        <v>45212</v>
      </c>
      <c r="D4753" t="inlineStr">
        <is>
          <t>VÄSTRA GÖTALANDS LÄN</t>
        </is>
      </c>
      <c r="E4753" t="inlineStr">
        <is>
          <t>TANUM</t>
        </is>
      </c>
      <c r="G4753" t="n">
        <v>1.9</v>
      </c>
      <c r="H4753" t="n">
        <v>0</v>
      </c>
      <c r="I4753" t="n">
        <v>0</v>
      </c>
      <c r="J4753" t="n">
        <v>0</v>
      </c>
      <c r="K4753" t="n">
        <v>0</v>
      </c>
      <c r="L4753" t="n">
        <v>0</v>
      </c>
      <c r="M4753" t="n">
        <v>0</v>
      </c>
      <c r="N4753" t="n">
        <v>0</v>
      </c>
      <c r="O4753" t="n">
        <v>0</v>
      </c>
      <c r="P4753" t="n">
        <v>0</v>
      </c>
      <c r="Q4753" t="n">
        <v>0</v>
      </c>
      <c r="R4753" s="2" t="inlineStr"/>
    </row>
    <row r="4754" ht="15" customHeight="1">
      <c r="A4754" t="inlineStr">
        <is>
          <t>A 24815-2020</t>
        </is>
      </c>
      <c r="B4754" s="1" t="n">
        <v>43978</v>
      </c>
      <c r="C4754" s="1" t="n">
        <v>45212</v>
      </c>
      <c r="D4754" t="inlineStr">
        <is>
          <t>VÄSTRA GÖTALANDS LÄN</t>
        </is>
      </c>
      <c r="E4754" t="inlineStr">
        <is>
          <t>TANUM</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24841-2020</t>
        </is>
      </c>
      <c r="B4755" s="1" t="n">
        <v>43978</v>
      </c>
      <c r="C4755" s="1" t="n">
        <v>45212</v>
      </c>
      <c r="D4755" t="inlineStr">
        <is>
          <t>VÄSTRA GÖTALANDS LÄN</t>
        </is>
      </c>
      <c r="E4755" t="inlineStr">
        <is>
          <t>KARLSBORG</t>
        </is>
      </c>
      <c r="F4755" t="inlineStr">
        <is>
          <t>Sveaskog</t>
        </is>
      </c>
      <c r="G4755" t="n">
        <v>1</v>
      </c>
      <c r="H4755" t="n">
        <v>0</v>
      </c>
      <c r="I4755" t="n">
        <v>0</v>
      </c>
      <c r="J4755" t="n">
        <v>0</v>
      </c>
      <c r="K4755" t="n">
        <v>0</v>
      </c>
      <c r="L4755" t="n">
        <v>0</v>
      </c>
      <c r="M4755" t="n">
        <v>0</v>
      </c>
      <c r="N4755" t="n">
        <v>0</v>
      </c>
      <c r="O4755" t="n">
        <v>0</v>
      </c>
      <c r="P4755" t="n">
        <v>0</v>
      </c>
      <c r="Q4755" t="n">
        <v>0</v>
      </c>
      <c r="R4755" s="2" t="inlineStr"/>
    </row>
    <row r="4756" ht="15" customHeight="1">
      <c r="A4756" t="inlineStr">
        <is>
          <t>A 24739-2020</t>
        </is>
      </c>
      <c r="B4756" s="1" t="n">
        <v>43978</v>
      </c>
      <c r="C4756" s="1" t="n">
        <v>45212</v>
      </c>
      <c r="D4756" t="inlineStr">
        <is>
          <t>VÄSTRA GÖTALANDS LÄN</t>
        </is>
      </c>
      <c r="E4756" t="inlineStr">
        <is>
          <t>VÅRGÅRDA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24813-2020</t>
        </is>
      </c>
      <c r="B4757" s="1" t="n">
        <v>43978</v>
      </c>
      <c r="C4757" s="1" t="n">
        <v>45212</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24673-2020</t>
        </is>
      </c>
      <c r="B4758" s="1" t="n">
        <v>43978</v>
      </c>
      <c r="C4758" s="1" t="n">
        <v>45212</v>
      </c>
      <c r="D4758" t="inlineStr">
        <is>
          <t>VÄSTRA GÖTALANDS LÄN</t>
        </is>
      </c>
      <c r="E4758" t="inlineStr">
        <is>
          <t>ALINGSÅS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24699-2020</t>
        </is>
      </c>
      <c r="B4759" s="1" t="n">
        <v>43978</v>
      </c>
      <c r="C4759" s="1" t="n">
        <v>45212</v>
      </c>
      <c r="D4759" t="inlineStr">
        <is>
          <t>VÄSTRA GÖTALANDS LÄN</t>
        </is>
      </c>
      <c r="E4759" t="inlineStr">
        <is>
          <t>KUNGÄLV</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24733-2020</t>
        </is>
      </c>
      <c r="B4760" s="1" t="n">
        <v>43978</v>
      </c>
      <c r="C4760" s="1" t="n">
        <v>45212</v>
      </c>
      <c r="D4760" t="inlineStr">
        <is>
          <t>VÄSTRA GÖTALANDS LÄN</t>
        </is>
      </c>
      <c r="E4760" t="inlineStr">
        <is>
          <t>HÄRRYDA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24768-2020</t>
        </is>
      </c>
      <c r="B4761" s="1" t="n">
        <v>43978</v>
      </c>
      <c r="C4761" s="1" t="n">
        <v>45212</v>
      </c>
      <c r="D4761" t="inlineStr">
        <is>
          <t>VÄSTRA GÖTALANDS LÄN</t>
        </is>
      </c>
      <c r="E4761" t="inlineStr">
        <is>
          <t>MARIESTAD</t>
        </is>
      </c>
      <c r="G4761" t="n">
        <v>11.5</v>
      </c>
      <c r="H4761" t="n">
        <v>0</v>
      </c>
      <c r="I4761" t="n">
        <v>0</v>
      </c>
      <c r="J4761" t="n">
        <v>0</v>
      </c>
      <c r="K4761" t="n">
        <v>0</v>
      </c>
      <c r="L4761" t="n">
        <v>0</v>
      </c>
      <c r="M4761" t="n">
        <v>0</v>
      </c>
      <c r="N4761" t="n">
        <v>0</v>
      </c>
      <c r="O4761" t="n">
        <v>0</v>
      </c>
      <c r="P4761" t="n">
        <v>0</v>
      </c>
      <c r="Q4761" t="n">
        <v>0</v>
      </c>
      <c r="R4761" s="2" t="inlineStr"/>
    </row>
    <row r="4762" ht="15" customHeight="1">
      <c r="A4762" t="inlineStr">
        <is>
          <t>A 24814-2020</t>
        </is>
      </c>
      <c r="B4762" s="1" t="n">
        <v>43978</v>
      </c>
      <c r="C4762" s="1" t="n">
        <v>45212</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24812-2020</t>
        </is>
      </c>
      <c r="B4763" s="1" t="n">
        <v>43978</v>
      </c>
      <c r="C4763" s="1" t="n">
        <v>45212</v>
      </c>
      <c r="D4763" t="inlineStr">
        <is>
          <t>VÄSTRA GÖTALANDS LÄN</t>
        </is>
      </c>
      <c r="E4763" t="inlineStr">
        <is>
          <t>GÖTENE</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24816-2020</t>
        </is>
      </c>
      <c r="B4764" s="1" t="n">
        <v>43978</v>
      </c>
      <c r="C4764" s="1" t="n">
        <v>45212</v>
      </c>
      <c r="D4764" t="inlineStr">
        <is>
          <t>VÄSTRA GÖTALANDS LÄN</t>
        </is>
      </c>
      <c r="E4764" t="inlineStr">
        <is>
          <t>TANUM</t>
        </is>
      </c>
      <c r="G4764" t="n">
        <v>1.5</v>
      </c>
      <c r="H4764" t="n">
        <v>0</v>
      </c>
      <c r="I4764" t="n">
        <v>0</v>
      </c>
      <c r="J4764" t="n">
        <v>0</v>
      </c>
      <c r="K4764" t="n">
        <v>0</v>
      </c>
      <c r="L4764" t="n">
        <v>0</v>
      </c>
      <c r="M4764" t="n">
        <v>0</v>
      </c>
      <c r="N4764" t="n">
        <v>0</v>
      </c>
      <c r="O4764" t="n">
        <v>0</v>
      </c>
      <c r="P4764" t="n">
        <v>0</v>
      </c>
      <c r="Q4764" t="n">
        <v>0</v>
      </c>
      <c r="R4764" s="2" t="inlineStr"/>
    </row>
    <row r="4765" ht="15" customHeight="1">
      <c r="A4765" t="inlineStr">
        <is>
          <t>A 24961-2020</t>
        </is>
      </c>
      <c r="B4765" s="1" t="n">
        <v>43979</v>
      </c>
      <c r="C4765" s="1" t="n">
        <v>45212</v>
      </c>
      <c r="D4765" t="inlineStr">
        <is>
          <t>VÄSTRA GÖTALANDS LÄN</t>
        </is>
      </c>
      <c r="E4765" t="inlineStr">
        <is>
          <t>LIDKÖPING</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24993-2020</t>
        </is>
      </c>
      <c r="B4766" s="1" t="n">
        <v>43979</v>
      </c>
      <c r="C4766" s="1" t="n">
        <v>45212</v>
      </c>
      <c r="D4766" t="inlineStr">
        <is>
          <t>VÄSTRA GÖTALANDS LÄN</t>
        </is>
      </c>
      <c r="E4766" t="inlineStr">
        <is>
          <t>GRÄSTORP</t>
        </is>
      </c>
      <c r="G4766" t="n">
        <v>0.5</v>
      </c>
      <c r="H4766" t="n">
        <v>0</v>
      </c>
      <c r="I4766" t="n">
        <v>0</v>
      </c>
      <c r="J4766" t="n">
        <v>0</v>
      </c>
      <c r="K4766" t="n">
        <v>0</v>
      </c>
      <c r="L4766" t="n">
        <v>0</v>
      </c>
      <c r="M4766" t="n">
        <v>0</v>
      </c>
      <c r="N4766" t="n">
        <v>0</v>
      </c>
      <c r="O4766" t="n">
        <v>0</v>
      </c>
      <c r="P4766" t="n">
        <v>0</v>
      </c>
      <c r="Q4766" t="n">
        <v>0</v>
      </c>
      <c r="R4766" s="2" t="inlineStr"/>
    </row>
    <row r="4767" ht="15" customHeight="1">
      <c r="A4767" t="inlineStr">
        <is>
          <t>A 25016-2020</t>
        </is>
      </c>
      <c r="B4767" s="1" t="n">
        <v>43979</v>
      </c>
      <c r="C4767" s="1" t="n">
        <v>45212</v>
      </c>
      <c r="D4767" t="inlineStr">
        <is>
          <t>VÄSTRA GÖTALANDS LÄN</t>
        </is>
      </c>
      <c r="E4767" t="inlineStr">
        <is>
          <t>LIDKÖPING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25062-2020</t>
        </is>
      </c>
      <c r="B4768" s="1" t="n">
        <v>43979</v>
      </c>
      <c r="C4768" s="1" t="n">
        <v>45212</v>
      </c>
      <c r="D4768" t="inlineStr">
        <is>
          <t>VÄSTRA GÖTALANDS LÄN</t>
        </is>
      </c>
      <c r="E4768" t="inlineStr">
        <is>
          <t>FÄRGELANDA</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24895-2020</t>
        </is>
      </c>
      <c r="B4769" s="1" t="n">
        <v>43979</v>
      </c>
      <c r="C4769" s="1" t="n">
        <v>45212</v>
      </c>
      <c r="D4769" t="inlineStr">
        <is>
          <t>VÄSTRA GÖTALANDS LÄN</t>
        </is>
      </c>
      <c r="E4769" t="inlineStr">
        <is>
          <t>MARIESTAD</t>
        </is>
      </c>
      <c r="G4769" t="n">
        <v>1.8</v>
      </c>
      <c r="H4769" t="n">
        <v>0</v>
      </c>
      <c r="I4769" t="n">
        <v>0</v>
      </c>
      <c r="J4769" t="n">
        <v>0</v>
      </c>
      <c r="K4769" t="n">
        <v>0</v>
      </c>
      <c r="L4769" t="n">
        <v>0</v>
      </c>
      <c r="M4769" t="n">
        <v>0</v>
      </c>
      <c r="N4769" t="n">
        <v>0</v>
      </c>
      <c r="O4769" t="n">
        <v>0</v>
      </c>
      <c r="P4769" t="n">
        <v>0</v>
      </c>
      <c r="Q4769" t="n">
        <v>0</v>
      </c>
      <c r="R4769" s="2" t="inlineStr"/>
    </row>
    <row r="4770" ht="15" customHeight="1">
      <c r="A4770" t="inlineStr">
        <is>
          <t>A 24938-2020</t>
        </is>
      </c>
      <c r="B4770" s="1" t="n">
        <v>43979</v>
      </c>
      <c r="C4770" s="1" t="n">
        <v>45212</v>
      </c>
      <c r="D4770" t="inlineStr">
        <is>
          <t>VÄSTRA GÖTALANDS LÄN</t>
        </is>
      </c>
      <c r="E4770" t="inlineStr">
        <is>
          <t>MARIESTAD</t>
        </is>
      </c>
      <c r="G4770" t="n">
        <v>1.6</v>
      </c>
      <c r="H4770" t="n">
        <v>0</v>
      </c>
      <c r="I4770" t="n">
        <v>0</v>
      </c>
      <c r="J4770" t="n">
        <v>0</v>
      </c>
      <c r="K4770" t="n">
        <v>0</v>
      </c>
      <c r="L4770" t="n">
        <v>0</v>
      </c>
      <c r="M4770" t="n">
        <v>0</v>
      </c>
      <c r="N4770" t="n">
        <v>0</v>
      </c>
      <c r="O4770" t="n">
        <v>0</v>
      </c>
      <c r="P4770" t="n">
        <v>0</v>
      </c>
      <c r="Q4770" t="n">
        <v>0</v>
      </c>
      <c r="R4770" s="2" t="inlineStr"/>
    </row>
    <row r="4771" ht="15" customHeight="1">
      <c r="A4771" t="inlineStr">
        <is>
          <t>A 24953-2020</t>
        </is>
      </c>
      <c r="B4771" s="1" t="n">
        <v>43979</v>
      </c>
      <c r="C4771" s="1" t="n">
        <v>45212</v>
      </c>
      <c r="D4771" t="inlineStr">
        <is>
          <t>VÄSTRA GÖTALANDS LÄN</t>
        </is>
      </c>
      <c r="E4771" t="inlineStr">
        <is>
          <t>BORÅS</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25035-2020</t>
        </is>
      </c>
      <c r="B4772" s="1" t="n">
        <v>43979</v>
      </c>
      <c r="C4772" s="1" t="n">
        <v>45212</v>
      </c>
      <c r="D4772" t="inlineStr">
        <is>
          <t>VÄSTRA GÖTALANDS LÄN</t>
        </is>
      </c>
      <c r="E4772" t="inlineStr">
        <is>
          <t>ULRICEHAMN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25020-2020</t>
        </is>
      </c>
      <c r="B4773" s="1" t="n">
        <v>43979</v>
      </c>
      <c r="C4773" s="1" t="n">
        <v>45212</v>
      </c>
      <c r="D4773" t="inlineStr">
        <is>
          <t>VÄSTRA GÖTALANDS LÄN</t>
        </is>
      </c>
      <c r="E4773" t="inlineStr">
        <is>
          <t>VARA</t>
        </is>
      </c>
      <c r="G4773" t="n">
        <v>4.5</v>
      </c>
      <c r="H4773" t="n">
        <v>0</v>
      </c>
      <c r="I4773" t="n">
        <v>0</v>
      </c>
      <c r="J4773" t="n">
        <v>0</v>
      </c>
      <c r="K4773" t="n">
        <v>0</v>
      </c>
      <c r="L4773" t="n">
        <v>0</v>
      </c>
      <c r="M4773" t="n">
        <v>0</v>
      </c>
      <c r="N4773" t="n">
        <v>0</v>
      </c>
      <c r="O4773" t="n">
        <v>0</v>
      </c>
      <c r="P4773" t="n">
        <v>0</v>
      </c>
      <c r="Q4773" t="n">
        <v>0</v>
      </c>
      <c r="R4773" s="2" t="inlineStr"/>
    </row>
    <row r="4774" ht="15" customHeight="1">
      <c r="A4774" t="inlineStr">
        <is>
          <t>A 25184-2020</t>
        </is>
      </c>
      <c r="B4774" s="1" t="n">
        <v>43980</v>
      </c>
      <c r="C4774" s="1" t="n">
        <v>45212</v>
      </c>
      <c r="D4774" t="inlineStr">
        <is>
          <t>VÄSTRA GÖTALANDS LÄN</t>
        </is>
      </c>
      <c r="E4774" t="inlineStr">
        <is>
          <t>MARK</t>
        </is>
      </c>
      <c r="G4774" t="n">
        <v>3.2</v>
      </c>
      <c r="H4774" t="n">
        <v>0</v>
      </c>
      <c r="I4774" t="n">
        <v>0</v>
      </c>
      <c r="J4774" t="n">
        <v>0</v>
      </c>
      <c r="K4774" t="n">
        <v>0</v>
      </c>
      <c r="L4774" t="n">
        <v>0</v>
      </c>
      <c r="M4774" t="n">
        <v>0</v>
      </c>
      <c r="N4774" t="n">
        <v>0</v>
      </c>
      <c r="O4774" t="n">
        <v>0</v>
      </c>
      <c r="P4774" t="n">
        <v>0</v>
      </c>
      <c r="Q4774" t="n">
        <v>0</v>
      </c>
      <c r="R4774" s="2" t="inlineStr"/>
    </row>
    <row r="4775" ht="15" customHeight="1">
      <c r="A4775" t="inlineStr">
        <is>
          <t>A 25204-2020</t>
        </is>
      </c>
      <c r="B4775" s="1" t="n">
        <v>43980</v>
      </c>
      <c r="C4775" s="1" t="n">
        <v>45212</v>
      </c>
      <c r="D4775" t="inlineStr">
        <is>
          <t>VÄSTRA GÖTALANDS LÄN</t>
        </is>
      </c>
      <c r="E4775" t="inlineStr">
        <is>
          <t>TRANEMO</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25187-2020</t>
        </is>
      </c>
      <c r="B4776" s="1" t="n">
        <v>43980</v>
      </c>
      <c r="C4776" s="1" t="n">
        <v>45212</v>
      </c>
      <c r="D4776" t="inlineStr">
        <is>
          <t>VÄSTRA GÖTALANDS LÄN</t>
        </is>
      </c>
      <c r="E4776" t="inlineStr">
        <is>
          <t>ESSUNGA</t>
        </is>
      </c>
      <c r="G4776" t="n">
        <v>5.9</v>
      </c>
      <c r="H4776" t="n">
        <v>0</v>
      </c>
      <c r="I4776" t="n">
        <v>0</v>
      </c>
      <c r="J4776" t="n">
        <v>0</v>
      </c>
      <c r="K4776" t="n">
        <v>0</v>
      </c>
      <c r="L4776" t="n">
        <v>0</v>
      </c>
      <c r="M4776" t="n">
        <v>0</v>
      </c>
      <c r="N4776" t="n">
        <v>0</v>
      </c>
      <c r="O4776" t="n">
        <v>0</v>
      </c>
      <c r="P4776" t="n">
        <v>0</v>
      </c>
      <c r="Q4776" t="n">
        <v>0</v>
      </c>
      <c r="R4776" s="2" t="inlineStr"/>
    </row>
    <row r="4777" ht="15" customHeight="1">
      <c r="A4777" t="inlineStr">
        <is>
          <t>A 25239-2020</t>
        </is>
      </c>
      <c r="B4777" s="1" t="n">
        <v>43980</v>
      </c>
      <c r="C4777" s="1" t="n">
        <v>45212</v>
      </c>
      <c r="D4777" t="inlineStr">
        <is>
          <t>VÄSTRA GÖTALANDS LÄN</t>
        </is>
      </c>
      <c r="E4777" t="inlineStr">
        <is>
          <t>ULRICEHAMN</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25405-2020</t>
        </is>
      </c>
      <c r="B4778" s="1" t="n">
        <v>43981</v>
      </c>
      <c r="C4778" s="1" t="n">
        <v>45212</v>
      </c>
      <c r="D4778" t="inlineStr">
        <is>
          <t>VÄSTRA GÖTALANDS LÄN</t>
        </is>
      </c>
      <c r="E4778" t="inlineStr">
        <is>
          <t>MARK</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25406-2020</t>
        </is>
      </c>
      <c r="B4779" s="1" t="n">
        <v>43981</v>
      </c>
      <c r="C4779" s="1" t="n">
        <v>45212</v>
      </c>
      <c r="D4779" t="inlineStr">
        <is>
          <t>VÄSTRA GÖTALANDS LÄN</t>
        </is>
      </c>
      <c r="E4779" t="inlineStr">
        <is>
          <t>MARK</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25574-2020</t>
        </is>
      </c>
      <c r="B4780" s="1" t="n">
        <v>43982</v>
      </c>
      <c r="C4780" s="1" t="n">
        <v>45212</v>
      </c>
      <c r="D4780" t="inlineStr">
        <is>
          <t>VÄSTRA GÖTALANDS LÄN</t>
        </is>
      </c>
      <c r="E4780" t="inlineStr">
        <is>
          <t>TANUM</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25578-2020</t>
        </is>
      </c>
      <c r="B4781" s="1" t="n">
        <v>43982</v>
      </c>
      <c r="C4781" s="1" t="n">
        <v>45212</v>
      </c>
      <c r="D4781" t="inlineStr">
        <is>
          <t>VÄSTRA GÖTALANDS LÄN</t>
        </is>
      </c>
      <c r="E4781" t="inlineStr">
        <is>
          <t>STRÖMSTAD</t>
        </is>
      </c>
      <c r="G4781" t="n">
        <v>3.3</v>
      </c>
      <c r="H4781" t="n">
        <v>0</v>
      </c>
      <c r="I4781" t="n">
        <v>0</v>
      </c>
      <c r="J4781" t="n">
        <v>0</v>
      </c>
      <c r="K4781" t="n">
        <v>0</v>
      </c>
      <c r="L4781" t="n">
        <v>0</v>
      </c>
      <c r="M4781" t="n">
        <v>0</v>
      </c>
      <c r="N4781" t="n">
        <v>0</v>
      </c>
      <c r="O4781" t="n">
        <v>0</v>
      </c>
      <c r="P4781" t="n">
        <v>0</v>
      </c>
      <c r="Q4781" t="n">
        <v>0</v>
      </c>
      <c r="R4781" s="2" t="inlineStr"/>
    </row>
    <row r="4782" ht="15" customHeight="1">
      <c r="A4782" t="inlineStr">
        <is>
          <t>A 25563-2020</t>
        </is>
      </c>
      <c r="B4782" s="1" t="n">
        <v>43983</v>
      </c>
      <c r="C4782" s="1" t="n">
        <v>45212</v>
      </c>
      <c r="D4782" t="inlineStr">
        <is>
          <t>VÄSTRA GÖTALANDS LÄN</t>
        </is>
      </c>
      <c r="E4782" t="inlineStr">
        <is>
          <t>SVENLJUNGA</t>
        </is>
      </c>
      <c r="F4782" t="inlineStr">
        <is>
          <t>Sveaskog</t>
        </is>
      </c>
      <c r="G4782" t="n">
        <v>8.9</v>
      </c>
      <c r="H4782" t="n">
        <v>0</v>
      </c>
      <c r="I4782" t="n">
        <v>0</v>
      </c>
      <c r="J4782" t="n">
        <v>0</v>
      </c>
      <c r="K4782" t="n">
        <v>0</v>
      </c>
      <c r="L4782" t="n">
        <v>0</v>
      </c>
      <c r="M4782" t="n">
        <v>0</v>
      </c>
      <c r="N4782" t="n">
        <v>0</v>
      </c>
      <c r="O4782" t="n">
        <v>0</v>
      </c>
      <c r="P4782" t="n">
        <v>0</v>
      </c>
      <c r="Q4782" t="n">
        <v>0</v>
      </c>
      <c r="R4782" s="2" t="inlineStr"/>
    </row>
    <row r="4783" ht="15" customHeight="1">
      <c r="A4783" t="inlineStr">
        <is>
          <t>A 25826-2020</t>
        </is>
      </c>
      <c r="B4783" s="1" t="n">
        <v>43983</v>
      </c>
      <c r="C4783" s="1" t="n">
        <v>45212</v>
      </c>
      <c r="D4783" t="inlineStr">
        <is>
          <t>VÄSTRA GÖTALANDS LÄN</t>
        </is>
      </c>
      <c r="E4783" t="inlineStr">
        <is>
          <t>MARK</t>
        </is>
      </c>
      <c r="F4783" t="inlineStr">
        <is>
          <t>Kyrkan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25847-2020</t>
        </is>
      </c>
      <c r="B4784" s="1" t="n">
        <v>43983</v>
      </c>
      <c r="C4784" s="1" t="n">
        <v>45212</v>
      </c>
      <c r="D4784" t="inlineStr">
        <is>
          <t>VÄSTRA GÖTALANDS LÄN</t>
        </is>
      </c>
      <c r="E4784" t="inlineStr">
        <is>
          <t>DALS-ED</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25455-2020</t>
        </is>
      </c>
      <c r="B4785" s="1" t="n">
        <v>43983</v>
      </c>
      <c r="C4785" s="1" t="n">
        <v>45212</v>
      </c>
      <c r="D4785" t="inlineStr">
        <is>
          <t>VÄSTRA GÖTALANDS LÄN</t>
        </is>
      </c>
      <c r="E4785" t="inlineStr">
        <is>
          <t>MUNKEDAL</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25833-2020</t>
        </is>
      </c>
      <c r="B4786" s="1" t="n">
        <v>43983</v>
      </c>
      <c r="C4786" s="1" t="n">
        <v>45212</v>
      </c>
      <c r="D4786" t="inlineStr">
        <is>
          <t>VÄSTRA GÖTALANDS LÄN</t>
        </is>
      </c>
      <c r="E4786" t="inlineStr">
        <is>
          <t>STRÖMSTAD</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25602-2020</t>
        </is>
      </c>
      <c r="B4787" s="1" t="n">
        <v>43983</v>
      </c>
      <c r="C4787" s="1" t="n">
        <v>45212</v>
      </c>
      <c r="D4787" t="inlineStr">
        <is>
          <t>VÄSTRA GÖTALANDS LÄN</t>
        </is>
      </c>
      <c r="E4787" t="inlineStr">
        <is>
          <t>VÄNERSBORG</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25729-2020</t>
        </is>
      </c>
      <c r="B4788" s="1" t="n">
        <v>43984</v>
      </c>
      <c r="C4788" s="1" t="n">
        <v>45212</v>
      </c>
      <c r="D4788" t="inlineStr">
        <is>
          <t>VÄSTRA GÖTALANDS LÄN</t>
        </is>
      </c>
      <c r="E4788" t="inlineStr">
        <is>
          <t>BORÅS</t>
        </is>
      </c>
      <c r="G4788" t="n">
        <v>5.3</v>
      </c>
      <c r="H4788" t="n">
        <v>0</v>
      </c>
      <c r="I4788" t="n">
        <v>0</v>
      </c>
      <c r="J4788" t="n">
        <v>0</v>
      </c>
      <c r="K4788" t="n">
        <v>0</v>
      </c>
      <c r="L4788" t="n">
        <v>0</v>
      </c>
      <c r="M4788" t="n">
        <v>0</v>
      </c>
      <c r="N4788" t="n">
        <v>0</v>
      </c>
      <c r="O4788" t="n">
        <v>0</v>
      </c>
      <c r="P4788" t="n">
        <v>0</v>
      </c>
      <c r="Q4788" t="n">
        <v>0</v>
      </c>
      <c r="R4788" s="2" t="inlineStr"/>
    </row>
    <row r="4789" ht="15" customHeight="1">
      <c r="A4789" t="inlineStr">
        <is>
          <t>A 25748-2020</t>
        </is>
      </c>
      <c r="B4789" s="1" t="n">
        <v>43984</v>
      </c>
      <c r="C4789" s="1" t="n">
        <v>45212</v>
      </c>
      <c r="D4789" t="inlineStr">
        <is>
          <t>VÄSTRA GÖTALANDS LÄN</t>
        </is>
      </c>
      <c r="E4789" t="inlineStr">
        <is>
          <t>LIDKÖPING</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25781-2020</t>
        </is>
      </c>
      <c r="B4790" s="1" t="n">
        <v>43984</v>
      </c>
      <c r="C4790" s="1" t="n">
        <v>45212</v>
      </c>
      <c r="D4790" t="inlineStr">
        <is>
          <t>VÄSTRA GÖTALANDS LÄN</t>
        </is>
      </c>
      <c r="E4790" t="inlineStr">
        <is>
          <t>VARA</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25820-2020</t>
        </is>
      </c>
      <c r="B4791" s="1" t="n">
        <v>43984</v>
      </c>
      <c r="C4791" s="1" t="n">
        <v>45212</v>
      </c>
      <c r="D4791" t="inlineStr">
        <is>
          <t>VÄSTRA GÖTALANDS LÄN</t>
        </is>
      </c>
      <c r="E4791" t="inlineStr">
        <is>
          <t>TANUM</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25743-2020</t>
        </is>
      </c>
      <c r="B4792" s="1" t="n">
        <v>43984</v>
      </c>
      <c r="C4792" s="1" t="n">
        <v>45212</v>
      </c>
      <c r="D4792" t="inlineStr">
        <is>
          <t>VÄSTRA GÖTALANDS LÄN</t>
        </is>
      </c>
      <c r="E4792" t="inlineStr">
        <is>
          <t>LIDKÖPING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25777-2020</t>
        </is>
      </c>
      <c r="B4793" s="1" t="n">
        <v>43984</v>
      </c>
      <c r="C4793" s="1" t="n">
        <v>45212</v>
      </c>
      <c r="D4793" t="inlineStr">
        <is>
          <t>VÄSTRA GÖTALANDS LÄN</t>
        </is>
      </c>
      <c r="E4793" t="inlineStr">
        <is>
          <t>GRÄSTORP</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25789-2020</t>
        </is>
      </c>
      <c r="B4794" s="1" t="n">
        <v>43984</v>
      </c>
      <c r="C4794" s="1" t="n">
        <v>45212</v>
      </c>
      <c r="D4794" t="inlineStr">
        <is>
          <t>VÄSTRA GÖTALANDS LÄN</t>
        </is>
      </c>
      <c r="E4794" t="inlineStr">
        <is>
          <t>BOLLEBYGD</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25740-2020</t>
        </is>
      </c>
      <c r="B4795" s="1" t="n">
        <v>43984</v>
      </c>
      <c r="C4795" s="1" t="n">
        <v>45212</v>
      </c>
      <c r="D4795" t="inlineStr">
        <is>
          <t>VÄSTRA GÖTALANDS LÄN</t>
        </is>
      </c>
      <c r="E4795" t="inlineStr">
        <is>
          <t>KARLSBORG</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25787-2020</t>
        </is>
      </c>
      <c r="B4796" s="1" t="n">
        <v>43984</v>
      </c>
      <c r="C4796" s="1" t="n">
        <v>45212</v>
      </c>
      <c r="D4796" t="inlineStr">
        <is>
          <t>VÄSTRA GÖTALANDS LÄN</t>
        </is>
      </c>
      <c r="E4796" t="inlineStr">
        <is>
          <t>BOLLEBYGD</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25882-2020</t>
        </is>
      </c>
      <c r="B4797" s="1" t="n">
        <v>43984</v>
      </c>
      <c r="C4797" s="1" t="n">
        <v>45212</v>
      </c>
      <c r="D4797" t="inlineStr">
        <is>
          <t>VÄSTRA GÖTALANDS LÄN</t>
        </is>
      </c>
      <c r="E4797" t="inlineStr">
        <is>
          <t>ALINGSÅS</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25987-2020</t>
        </is>
      </c>
      <c r="B4798" s="1" t="n">
        <v>43985</v>
      </c>
      <c r="C4798" s="1" t="n">
        <v>45212</v>
      </c>
      <c r="D4798" t="inlineStr">
        <is>
          <t>VÄSTRA GÖTALANDS LÄN</t>
        </is>
      </c>
      <c r="E4798" t="inlineStr">
        <is>
          <t>FÄRGELANDA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26035-2020</t>
        </is>
      </c>
      <c r="B4799" s="1" t="n">
        <v>43985</v>
      </c>
      <c r="C4799" s="1" t="n">
        <v>45212</v>
      </c>
      <c r="D4799" t="inlineStr">
        <is>
          <t>VÄSTRA GÖTALANDS LÄN</t>
        </is>
      </c>
      <c r="E4799" t="inlineStr">
        <is>
          <t>ALINGSÅS</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25985-2020</t>
        </is>
      </c>
      <c r="B4800" s="1" t="n">
        <v>43985</v>
      </c>
      <c r="C4800" s="1" t="n">
        <v>45212</v>
      </c>
      <c r="D4800" t="inlineStr">
        <is>
          <t>VÄSTRA GÖTALANDS LÄN</t>
        </is>
      </c>
      <c r="E4800" t="inlineStr">
        <is>
          <t>MARK</t>
        </is>
      </c>
      <c r="G4800" t="n">
        <v>4.3</v>
      </c>
      <c r="H4800" t="n">
        <v>0</v>
      </c>
      <c r="I4800" t="n">
        <v>0</v>
      </c>
      <c r="J4800" t="n">
        <v>0</v>
      </c>
      <c r="K4800" t="n">
        <v>0</v>
      </c>
      <c r="L4800" t="n">
        <v>0</v>
      </c>
      <c r="M4800" t="n">
        <v>0</v>
      </c>
      <c r="N4800" t="n">
        <v>0</v>
      </c>
      <c r="O4800" t="n">
        <v>0</v>
      </c>
      <c r="P4800" t="n">
        <v>0</v>
      </c>
      <c r="Q4800" t="n">
        <v>0</v>
      </c>
      <c r="R4800" s="2" t="inlineStr"/>
    </row>
    <row r="4801" ht="15" customHeight="1">
      <c r="A4801" t="inlineStr">
        <is>
          <t>A 26026-2020</t>
        </is>
      </c>
      <c r="B4801" s="1" t="n">
        <v>43985</v>
      </c>
      <c r="C4801" s="1" t="n">
        <v>45212</v>
      </c>
      <c r="D4801" t="inlineStr">
        <is>
          <t>VÄSTRA GÖTALANDS LÄN</t>
        </is>
      </c>
      <c r="E4801" t="inlineStr">
        <is>
          <t>TRANEMO</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26349-2020</t>
        </is>
      </c>
      <c r="B4802" s="1" t="n">
        <v>43986</v>
      </c>
      <c r="C4802" s="1" t="n">
        <v>45212</v>
      </c>
      <c r="D4802" t="inlineStr">
        <is>
          <t>VÄSTRA GÖTALANDS LÄN</t>
        </is>
      </c>
      <c r="E4802" t="inlineStr">
        <is>
          <t>ALINGSÅS</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26277-2020</t>
        </is>
      </c>
      <c r="B4803" s="1" t="n">
        <v>43986</v>
      </c>
      <c r="C4803" s="1" t="n">
        <v>45212</v>
      </c>
      <c r="D4803" t="inlineStr">
        <is>
          <t>VÄSTRA GÖTALANDS LÄN</t>
        </is>
      </c>
      <c r="E4803" t="inlineStr">
        <is>
          <t>ALINGSÅS</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26332-2020</t>
        </is>
      </c>
      <c r="B4804" s="1" t="n">
        <v>43986</v>
      </c>
      <c r="C4804" s="1" t="n">
        <v>45212</v>
      </c>
      <c r="D4804" t="inlineStr">
        <is>
          <t>VÄSTRA GÖTALANDS LÄN</t>
        </is>
      </c>
      <c r="E4804" t="inlineStr">
        <is>
          <t>SKÖVDE</t>
        </is>
      </c>
      <c r="G4804" t="n">
        <v>8.6</v>
      </c>
      <c r="H4804" t="n">
        <v>0</v>
      </c>
      <c r="I4804" t="n">
        <v>0</v>
      </c>
      <c r="J4804" t="n">
        <v>0</v>
      </c>
      <c r="K4804" t="n">
        <v>0</v>
      </c>
      <c r="L4804" t="n">
        <v>0</v>
      </c>
      <c r="M4804" t="n">
        <v>0</v>
      </c>
      <c r="N4804" t="n">
        <v>0</v>
      </c>
      <c r="O4804" t="n">
        <v>0</v>
      </c>
      <c r="P4804" t="n">
        <v>0</v>
      </c>
      <c r="Q4804" t="n">
        <v>0</v>
      </c>
      <c r="R4804" s="2" t="inlineStr"/>
    </row>
    <row r="4805" ht="15" customHeight="1">
      <c r="A4805" t="inlineStr">
        <is>
          <t>A 26223-2020</t>
        </is>
      </c>
      <c r="B4805" s="1" t="n">
        <v>43986</v>
      </c>
      <c r="C4805" s="1" t="n">
        <v>45212</v>
      </c>
      <c r="D4805" t="inlineStr">
        <is>
          <t>VÄSTRA GÖTALANDS LÄN</t>
        </is>
      </c>
      <c r="E4805" t="inlineStr">
        <is>
          <t>ULRICEHAMN</t>
        </is>
      </c>
      <c r="F4805" t="inlineStr">
        <is>
          <t>Sveaskog</t>
        </is>
      </c>
      <c r="G4805" t="n">
        <v>4</v>
      </c>
      <c r="H4805" t="n">
        <v>0</v>
      </c>
      <c r="I4805" t="n">
        <v>0</v>
      </c>
      <c r="J4805" t="n">
        <v>0</v>
      </c>
      <c r="K4805" t="n">
        <v>0</v>
      </c>
      <c r="L4805" t="n">
        <v>0</v>
      </c>
      <c r="M4805" t="n">
        <v>0</v>
      </c>
      <c r="N4805" t="n">
        <v>0</v>
      </c>
      <c r="O4805" t="n">
        <v>0</v>
      </c>
      <c r="P4805" t="n">
        <v>0</v>
      </c>
      <c r="Q4805" t="n">
        <v>0</v>
      </c>
      <c r="R4805" s="2" t="inlineStr"/>
    </row>
    <row r="4806" ht="15" customHeight="1">
      <c r="A4806" t="inlineStr">
        <is>
          <t>A 26333-2020</t>
        </is>
      </c>
      <c r="B4806" s="1" t="n">
        <v>43986</v>
      </c>
      <c r="C4806" s="1" t="n">
        <v>45212</v>
      </c>
      <c r="D4806" t="inlineStr">
        <is>
          <t>VÄSTRA GÖTALANDS LÄN</t>
        </is>
      </c>
      <c r="E4806" t="inlineStr">
        <is>
          <t>SVENLJUNGA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26347-2020</t>
        </is>
      </c>
      <c r="B4807" s="1" t="n">
        <v>43986</v>
      </c>
      <c r="C4807" s="1" t="n">
        <v>45212</v>
      </c>
      <c r="D4807" t="inlineStr">
        <is>
          <t>VÄSTRA GÖTALANDS LÄN</t>
        </is>
      </c>
      <c r="E4807" t="inlineStr">
        <is>
          <t>SVENLJUNGA</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26412-2020</t>
        </is>
      </c>
      <c r="B4808" s="1" t="n">
        <v>43987</v>
      </c>
      <c r="C4808" s="1" t="n">
        <v>45212</v>
      </c>
      <c r="D4808" t="inlineStr">
        <is>
          <t>VÄSTRA GÖTALANDS LÄN</t>
        </is>
      </c>
      <c r="E4808" t="inlineStr">
        <is>
          <t>BOLLEBYGD</t>
        </is>
      </c>
      <c r="G4808" t="n">
        <v>3.7</v>
      </c>
      <c r="H4808" t="n">
        <v>0</v>
      </c>
      <c r="I4808" t="n">
        <v>0</v>
      </c>
      <c r="J4808" t="n">
        <v>0</v>
      </c>
      <c r="K4808" t="n">
        <v>0</v>
      </c>
      <c r="L4808" t="n">
        <v>0</v>
      </c>
      <c r="M4808" t="n">
        <v>0</v>
      </c>
      <c r="N4808" t="n">
        <v>0</v>
      </c>
      <c r="O4808" t="n">
        <v>0</v>
      </c>
      <c r="P4808" t="n">
        <v>0</v>
      </c>
      <c r="Q4808" t="n">
        <v>0</v>
      </c>
      <c r="R4808" s="2" t="inlineStr"/>
    </row>
    <row r="4809" ht="15" customHeight="1">
      <c r="A4809" t="inlineStr">
        <is>
          <t>A 26449-2020</t>
        </is>
      </c>
      <c r="B4809" s="1" t="n">
        <v>43987</v>
      </c>
      <c r="C4809" s="1" t="n">
        <v>45212</v>
      </c>
      <c r="D4809" t="inlineStr">
        <is>
          <t>VÄSTRA GÖTALANDS LÄN</t>
        </is>
      </c>
      <c r="E4809" t="inlineStr">
        <is>
          <t>MARK</t>
        </is>
      </c>
      <c r="G4809" t="n">
        <v>8.199999999999999</v>
      </c>
      <c r="H4809" t="n">
        <v>0</v>
      </c>
      <c r="I4809" t="n">
        <v>0</v>
      </c>
      <c r="J4809" t="n">
        <v>0</v>
      </c>
      <c r="K4809" t="n">
        <v>0</v>
      </c>
      <c r="L4809" t="n">
        <v>0</v>
      </c>
      <c r="M4809" t="n">
        <v>0</v>
      </c>
      <c r="N4809" t="n">
        <v>0</v>
      </c>
      <c r="O4809" t="n">
        <v>0</v>
      </c>
      <c r="P4809" t="n">
        <v>0</v>
      </c>
      <c r="Q4809" t="n">
        <v>0</v>
      </c>
      <c r="R4809" s="2" t="inlineStr"/>
    </row>
    <row r="4810" ht="15" customHeight="1">
      <c r="A4810" t="inlineStr">
        <is>
          <t>A 26481-2020</t>
        </is>
      </c>
      <c r="B4810" s="1" t="n">
        <v>43987</v>
      </c>
      <c r="C4810" s="1" t="n">
        <v>45212</v>
      </c>
      <c r="D4810" t="inlineStr">
        <is>
          <t>VÄSTRA GÖTALANDS LÄN</t>
        </is>
      </c>
      <c r="E4810" t="inlineStr">
        <is>
          <t>MARIESTAD</t>
        </is>
      </c>
      <c r="F4810" t="inlineStr">
        <is>
          <t>Kommuner</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26521-2020</t>
        </is>
      </c>
      <c r="B4811" s="1" t="n">
        <v>43987</v>
      </c>
      <c r="C4811" s="1" t="n">
        <v>45212</v>
      </c>
      <c r="D4811" t="inlineStr">
        <is>
          <t>VÄSTRA GÖTALANDS LÄN</t>
        </is>
      </c>
      <c r="E4811" t="inlineStr">
        <is>
          <t>ESSUNGA</t>
        </is>
      </c>
      <c r="G4811" t="n">
        <v>13.1</v>
      </c>
      <c r="H4811" t="n">
        <v>0</v>
      </c>
      <c r="I4811" t="n">
        <v>0</v>
      </c>
      <c r="J4811" t="n">
        <v>0</v>
      </c>
      <c r="K4811" t="n">
        <v>0</v>
      </c>
      <c r="L4811" t="n">
        <v>0</v>
      </c>
      <c r="M4811" t="n">
        <v>0</v>
      </c>
      <c r="N4811" t="n">
        <v>0</v>
      </c>
      <c r="O4811" t="n">
        <v>0</v>
      </c>
      <c r="P4811" t="n">
        <v>0</v>
      </c>
      <c r="Q4811" t="n">
        <v>0</v>
      </c>
      <c r="R4811" s="2" t="inlineStr"/>
    </row>
    <row r="4812" ht="15" customHeight="1">
      <c r="A4812" t="inlineStr">
        <is>
          <t>A 26395-2020</t>
        </is>
      </c>
      <c r="B4812" s="1" t="n">
        <v>43987</v>
      </c>
      <c r="C4812" s="1" t="n">
        <v>45212</v>
      </c>
      <c r="D4812" t="inlineStr">
        <is>
          <t>VÄSTRA GÖTALANDS LÄN</t>
        </is>
      </c>
      <c r="E4812" t="inlineStr">
        <is>
          <t>BOLLEBYGD</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26417-2020</t>
        </is>
      </c>
      <c r="B4813" s="1" t="n">
        <v>43987</v>
      </c>
      <c r="C4813" s="1" t="n">
        <v>45212</v>
      </c>
      <c r="D4813" t="inlineStr">
        <is>
          <t>VÄSTRA GÖTALANDS LÄN</t>
        </is>
      </c>
      <c r="E4813" t="inlineStr">
        <is>
          <t>MUNKEDAL</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26400-2020</t>
        </is>
      </c>
      <c r="B4814" s="1" t="n">
        <v>43987</v>
      </c>
      <c r="C4814" s="1" t="n">
        <v>45212</v>
      </c>
      <c r="D4814" t="inlineStr">
        <is>
          <t>VÄSTRA GÖTALANDS LÄN</t>
        </is>
      </c>
      <c r="E4814" t="inlineStr">
        <is>
          <t>BOLLEBYGD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26544-2020</t>
        </is>
      </c>
      <c r="B4815" s="1" t="n">
        <v>43987</v>
      </c>
      <c r="C4815" s="1" t="n">
        <v>45212</v>
      </c>
      <c r="D4815" t="inlineStr">
        <is>
          <t>VÄSTRA GÖTALANDS LÄN</t>
        </is>
      </c>
      <c r="E4815" t="inlineStr">
        <is>
          <t>MARK</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26804-2020</t>
        </is>
      </c>
      <c r="B4816" s="1" t="n">
        <v>43987</v>
      </c>
      <c r="C4816" s="1" t="n">
        <v>45212</v>
      </c>
      <c r="D4816" t="inlineStr">
        <is>
          <t>VÄSTRA GÖTALANDS LÄN</t>
        </is>
      </c>
      <c r="E4816" t="inlineStr">
        <is>
          <t>DALS-ED</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26741-2020</t>
        </is>
      </c>
      <c r="B4817" s="1" t="n">
        <v>43988</v>
      </c>
      <c r="C4817" s="1" t="n">
        <v>45212</v>
      </c>
      <c r="D4817" t="inlineStr">
        <is>
          <t>VÄSTRA GÖTALANDS LÄN</t>
        </is>
      </c>
      <c r="E4817" t="inlineStr">
        <is>
          <t>MELLERUD</t>
        </is>
      </c>
      <c r="G4817" t="n">
        <v>15.4</v>
      </c>
      <c r="H4817" t="n">
        <v>0</v>
      </c>
      <c r="I4817" t="n">
        <v>0</v>
      </c>
      <c r="J4817" t="n">
        <v>0</v>
      </c>
      <c r="K4817" t="n">
        <v>0</v>
      </c>
      <c r="L4817" t="n">
        <v>0</v>
      </c>
      <c r="M4817" t="n">
        <v>0</v>
      </c>
      <c r="N4817" t="n">
        <v>0</v>
      </c>
      <c r="O4817" t="n">
        <v>0</v>
      </c>
      <c r="P4817" t="n">
        <v>0</v>
      </c>
      <c r="Q4817" t="n">
        <v>0</v>
      </c>
      <c r="R4817" s="2" t="inlineStr"/>
    </row>
    <row r="4818" ht="15" customHeight="1">
      <c r="A4818" t="inlineStr">
        <is>
          <t>A 26663-2020</t>
        </is>
      </c>
      <c r="B4818" s="1" t="n">
        <v>43989</v>
      </c>
      <c r="C4818" s="1" t="n">
        <v>45212</v>
      </c>
      <c r="D4818" t="inlineStr">
        <is>
          <t>VÄSTRA GÖTALANDS LÄN</t>
        </is>
      </c>
      <c r="E4818" t="inlineStr">
        <is>
          <t>FALKÖPING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26704-2020</t>
        </is>
      </c>
      <c r="B4819" s="1" t="n">
        <v>43990</v>
      </c>
      <c r="C4819" s="1" t="n">
        <v>45212</v>
      </c>
      <c r="D4819" t="inlineStr">
        <is>
          <t>VÄSTRA GÖTALANDS LÄN</t>
        </is>
      </c>
      <c r="E4819" t="inlineStr">
        <is>
          <t>SKARA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26753-2020</t>
        </is>
      </c>
      <c r="B4820" s="1" t="n">
        <v>43990</v>
      </c>
      <c r="C4820" s="1" t="n">
        <v>45212</v>
      </c>
      <c r="D4820" t="inlineStr">
        <is>
          <t>VÄSTRA GÖTALANDS LÄN</t>
        </is>
      </c>
      <c r="E4820" t="inlineStr">
        <is>
          <t>KARLSBORG</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26760-2020</t>
        </is>
      </c>
      <c r="B4821" s="1" t="n">
        <v>43990</v>
      </c>
      <c r="C4821" s="1" t="n">
        <v>45212</v>
      </c>
      <c r="D4821" t="inlineStr">
        <is>
          <t>VÄSTRA GÖTALANDS LÄN</t>
        </is>
      </c>
      <c r="E4821" t="inlineStr">
        <is>
          <t>MELLERUD</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26893-2020</t>
        </is>
      </c>
      <c r="B4822" s="1" t="n">
        <v>43990</v>
      </c>
      <c r="C4822" s="1" t="n">
        <v>45212</v>
      </c>
      <c r="D4822" t="inlineStr">
        <is>
          <t>VÄSTRA GÖTALANDS LÄN</t>
        </is>
      </c>
      <c r="E4822" t="inlineStr">
        <is>
          <t>FALKÖPING</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27089-2020</t>
        </is>
      </c>
      <c r="B4823" s="1" t="n">
        <v>43990</v>
      </c>
      <c r="C4823" s="1" t="n">
        <v>45212</v>
      </c>
      <c r="D4823" t="inlineStr">
        <is>
          <t>VÄSTRA GÖTALANDS LÄN</t>
        </is>
      </c>
      <c r="E4823" t="inlineStr">
        <is>
          <t>MARIESTAD</t>
        </is>
      </c>
      <c r="G4823" t="n">
        <v>0.2</v>
      </c>
      <c r="H4823" t="n">
        <v>0</v>
      </c>
      <c r="I4823" t="n">
        <v>0</v>
      </c>
      <c r="J4823" t="n">
        <v>0</v>
      </c>
      <c r="K4823" t="n">
        <v>0</v>
      </c>
      <c r="L4823" t="n">
        <v>0</v>
      </c>
      <c r="M4823" t="n">
        <v>0</v>
      </c>
      <c r="N4823" t="n">
        <v>0</v>
      </c>
      <c r="O4823" t="n">
        <v>0</v>
      </c>
      <c r="P4823" t="n">
        <v>0</v>
      </c>
      <c r="Q4823" t="n">
        <v>0</v>
      </c>
      <c r="R4823" s="2" t="inlineStr"/>
    </row>
    <row r="4824" ht="15" customHeight="1">
      <c r="A4824" t="inlineStr">
        <is>
          <t>A 26702-2020</t>
        </is>
      </c>
      <c r="B4824" s="1" t="n">
        <v>43990</v>
      </c>
      <c r="C4824" s="1" t="n">
        <v>45212</v>
      </c>
      <c r="D4824" t="inlineStr">
        <is>
          <t>VÄSTRA GÖTALANDS LÄN</t>
        </is>
      </c>
      <c r="E4824" t="inlineStr">
        <is>
          <t>SKARA</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27022-2020</t>
        </is>
      </c>
      <c r="B4825" s="1" t="n">
        <v>43991</v>
      </c>
      <c r="C4825" s="1" t="n">
        <v>45212</v>
      </c>
      <c r="D4825" t="inlineStr">
        <is>
          <t>VÄSTRA GÖTALANDS LÄN</t>
        </is>
      </c>
      <c r="E4825" t="inlineStr">
        <is>
          <t>HERRLJUNGA</t>
        </is>
      </c>
      <c r="G4825" t="n">
        <v>3.1</v>
      </c>
      <c r="H4825" t="n">
        <v>0</v>
      </c>
      <c r="I4825" t="n">
        <v>0</v>
      </c>
      <c r="J4825" t="n">
        <v>0</v>
      </c>
      <c r="K4825" t="n">
        <v>0</v>
      </c>
      <c r="L4825" t="n">
        <v>0</v>
      </c>
      <c r="M4825" t="n">
        <v>0</v>
      </c>
      <c r="N4825" t="n">
        <v>0</v>
      </c>
      <c r="O4825" t="n">
        <v>0</v>
      </c>
      <c r="P4825" t="n">
        <v>0</v>
      </c>
      <c r="Q4825" t="n">
        <v>0</v>
      </c>
      <c r="R4825" s="2" t="inlineStr"/>
    </row>
    <row r="4826" ht="15" customHeight="1">
      <c r="A4826" t="inlineStr">
        <is>
          <t>A 27116-2020</t>
        </is>
      </c>
      <c r="B4826" s="1" t="n">
        <v>43991</v>
      </c>
      <c r="C4826" s="1" t="n">
        <v>45212</v>
      </c>
      <c r="D4826" t="inlineStr">
        <is>
          <t>VÄSTRA GÖTALANDS LÄN</t>
        </is>
      </c>
      <c r="E4826" t="inlineStr">
        <is>
          <t>SVENLJUNGA</t>
        </is>
      </c>
      <c r="G4826" t="n">
        <v>4.5</v>
      </c>
      <c r="H4826" t="n">
        <v>0</v>
      </c>
      <c r="I4826" t="n">
        <v>0</v>
      </c>
      <c r="J4826" t="n">
        <v>0</v>
      </c>
      <c r="K4826" t="n">
        <v>0</v>
      </c>
      <c r="L4826" t="n">
        <v>0</v>
      </c>
      <c r="M4826" t="n">
        <v>0</v>
      </c>
      <c r="N4826" t="n">
        <v>0</v>
      </c>
      <c r="O4826" t="n">
        <v>0</v>
      </c>
      <c r="P4826" t="n">
        <v>0</v>
      </c>
      <c r="Q4826" t="n">
        <v>0</v>
      </c>
      <c r="R4826" s="2" t="inlineStr"/>
    </row>
    <row r="4827" ht="15" customHeight="1">
      <c r="A4827" t="inlineStr">
        <is>
          <t>A 27477-2020</t>
        </is>
      </c>
      <c r="B4827" s="1" t="n">
        <v>43991</v>
      </c>
      <c r="C4827" s="1" t="n">
        <v>45212</v>
      </c>
      <c r="D4827" t="inlineStr">
        <is>
          <t>VÄSTRA GÖTALANDS LÄN</t>
        </is>
      </c>
      <c r="E4827" t="inlineStr">
        <is>
          <t>UDDEVALLA</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27329-2020</t>
        </is>
      </c>
      <c r="B4828" s="1" t="n">
        <v>43992</v>
      </c>
      <c r="C4828" s="1" t="n">
        <v>45212</v>
      </c>
      <c r="D4828" t="inlineStr">
        <is>
          <t>VÄSTRA GÖTALANDS LÄN</t>
        </is>
      </c>
      <c r="E4828" t="inlineStr">
        <is>
          <t>BORÅS</t>
        </is>
      </c>
      <c r="F4828" t="inlineStr">
        <is>
          <t>Kommuner</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27380-2020</t>
        </is>
      </c>
      <c r="B4829" s="1" t="n">
        <v>43992</v>
      </c>
      <c r="C4829" s="1" t="n">
        <v>45212</v>
      </c>
      <c r="D4829" t="inlineStr">
        <is>
          <t>VÄSTRA GÖTALANDS LÄN</t>
        </is>
      </c>
      <c r="E4829" t="inlineStr">
        <is>
          <t>SKÖVDE</t>
        </is>
      </c>
      <c r="F4829" t="inlineStr">
        <is>
          <t>Kommuner</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27392-2020</t>
        </is>
      </c>
      <c r="B4830" s="1" t="n">
        <v>43992</v>
      </c>
      <c r="C4830" s="1" t="n">
        <v>45212</v>
      </c>
      <c r="D4830" t="inlineStr">
        <is>
          <t>VÄSTRA GÖTALANDS LÄN</t>
        </is>
      </c>
      <c r="E4830" t="inlineStr">
        <is>
          <t>FALKÖPING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27476-2020</t>
        </is>
      </c>
      <c r="B4831" s="1" t="n">
        <v>43992</v>
      </c>
      <c r="C4831" s="1" t="n">
        <v>45212</v>
      </c>
      <c r="D4831" t="inlineStr">
        <is>
          <t>VÄSTRA GÖTALANDS LÄN</t>
        </is>
      </c>
      <c r="E4831" t="inlineStr">
        <is>
          <t>STRÖMSTAD</t>
        </is>
      </c>
      <c r="G4831" t="n">
        <v>2.2</v>
      </c>
      <c r="H4831" t="n">
        <v>0</v>
      </c>
      <c r="I4831" t="n">
        <v>0</v>
      </c>
      <c r="J4831" t="n">
        <v>0</v>
      </c>
      <c r="K4831" t="n">
        <v>0</v>
      </c>
      <c r="L4831" t="n">
        <v>0</v>
      </c>
      <c r="M4831" t="n">
        <v>0</v>
      </c>
      <c r="N4831" t="n">
        <v>0</v>
      </c>
      <c r="O4831" t="n">
        <v>0</v>
      </c>
      <c r="P4831" t="n">
        <v>0</v>
      </c>
      <c r="Q4831" t="n">
        <v>0</v>
      </c>
      <c r="R4831" s="2" t="inlineStr"/>
    </row>
    <row r="4832" ht="15" customHeight="1">
      <c r="A4832" t="inlineStr">
        <is>
          <t>A 27306-2020</t>
        </is>
      </c>
      <c r="B4832" s="1" t="n">
        <v>43992</v>
      </c>
      <c r="C4832" s="1" t="n">
        <v>45212</v>
      </c>
      <c r="D4832" t="inlineStr">
        <is>
          <t>VÄSTRA GÖTALANDS LÄN</t>
        </is>
      </c>
      <c r="E4832" t="inlineStr">
        <is>
          <t>BOLLEBYGD</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27260-2020</t>
        </is>
      </c>
      <c r="B4833" s="1" t="n">
        <v>43992</v>
      </c>
      <c r="C4833" s="1" t="n">
        <v>45212</v>
      </c>
      <c r="D4833" t="inlineStr">
        <is>
          <t>VÄSTRA GÖTALANDS LÄN</t>
        </is>
      </c>
      <c r="E4833" t="inlineStr">
        <is>
          <t>ULRICEHAMN</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27483-2020</t>
        </is>
      </c>
      <c r="B4834" s="1" t="n">
        <v>43992</v>
      </c>
      <c r="C4834" s="1" t="n">
        <v>45212</v>
      </c>
      <c r="D4834" t="inlineStr">
        <is>
          <t>VÄSTRA GÖTALANDS LÄN</t>
        </is>
      </c>
      <c r="E4834" t="inlineStr">
        <is>
          <t>STRÖMSTAD</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27481-2020</t>
        </is>
      </c>
      <c r="B4835" s="1" t="n">
        <v>43993</v>
      </c>
      <c r="C4835" s="1" t="n">
        <v>45212</v>
      </c>
      <c r="D4835" t="inlineStr">
        <is>
          <t>VÄSTRA GÖTALANDS LÄN</t>
        </is>
      </c>
      <c r="E4835" t="inlineStr">
        <is>
          <t>ALINGSÅS</t>
        </is>
      </c>
      <c r="F4835" t="inlineStr">
        <is>
          <t>Övriga Aktiebolag</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27482-2020</t>
        </is>
      </c>
      <c r="B4836" s="1" t="n">
        <v>43993</v>
      </c>
      <c r="C4836" s="1" t="n">
        <v>45212</v>
      </c>
      <c r="D4836" t="inlineStr">
        <is>
          <t>VÄSTRA GÖTALANDS LÄN</t>
        </is>
      </c>
      <c r="E4836" t="inlineStr">
        <is>
          <t>MARIESTAD</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27507-2020</t>
        </is>
      </c>
      <c r="B4837" s="1" t="n">
        <v>43993</v>
      </c>
      <c r="C4837" s="1" t="n">
        <v>45212</v>
      </c>
      <c r="D4837" t="inlineStr">
        <is>
          <t>VÄSTRA GÖTALANDS LÄN</t>
        </is>
      </c>
      <c r="E4837" t="inlineStr">
        <is>
          <t>MARK</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27712-2020</t>
        </is>
      </c>
      <c r="B4838" s="1" t="n">
        <v>43993</v>
      </c>
      <c r="C4838" s="1" t="n">
        <v>45212</v>
      </c>
      <c r="D4838" t="inlineStr">
        <is>
          <t>VÄSTRA GÖTALANDS LÄN</t>
        </is>
      </c>
      <c r="E4838" t="inlineStr">
        <is>
          <t>LIDKÖPING</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27496-2020</t>
        </is>
      </c>
      <c r="B4839" s="1" t="n">
        <v>43993</v>
      </c>
      <c r="C4839" s="1" t="n">
        <v>45212</v>
      </c>
      <c r="D4839" t="inlineStr">
        <is>
          <t>VÄSTRA GÖTALANDS LÄN</t>
        </is>
      </c>
      <c r="E4839" t="inlineStr">
        <is>
          <t>ALE</t>
        </is>
      </c>
      <c r="G4839" t="n">
        <v>3.5</v>
      </c>
      <c r="H4839" t="n">
        <v>0</v>
      </c>
      <c r="I4839" t="n">
        <v>0</v>
      </c>
      <c r="J4839" t="n">
        <v>0</v>
      </c>
      <c r="K4839" t="n">
        <v>0</v>
      </c>
      <c r="L4839" t="n">
        <v>0</v>
      </c>
      <c r="M4839" t="n">
        <v>0</v>
      </c>
      <c r="N4839" t="n">
        <v>0</v>
      </c>
      <c r="O4839" t="n">
        <v>0</v>
      </c>
      <c r="P4839" t="n">
        <v>0</v>
      </c>
      <c r="Q4839" t="n">
        <v>0</v>
      </c>
      <c r="R4839" s="2" t="inlineStr"/>
    </row>
    <row r="4840" ht="15" customHeight="1">
      <c r="A4840" t="inlineStr">
        <is>
          <t>A 27601-2020</t>
        </is>
      </c>
      <c r="B4840" s="1" t="n">
        <v>43993</v>
      </c>
      <c r="C4840" s="1" t="n">
        <v>45212</v>
      </c>
      <c r="D4840" t="inlineStr">
        <is>
          <t>VÄSTRA GÖTALANDS LÄN</t>
        </is>
      </c>
      <c r="E4840" t="inlineStr">
        <is>
          <t>TROLLHÄTTAN</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27678-2020</t>
        </is>
      </c>
      <c r="B4841" s="1" t="n">
        <v>43993</v>
      </c>
      <c r="C4841" s="1" t="n">
        <v>45212</v>
      </c>
      <c r="D4841" t="inlineStr">
        <is>
          <t>VÄSTRA GÖTALANDS LÄN</t>
        </is>
      </c>
      <c r="E4841" t="inlineStr">
        <is>
          <t>TIBRO</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27585-2020</t>
        </is>
      </c>
      <c r="B4842" s="1" t="n">
        <v>43993</v>
      </c>
      <c r="C4842" s="1" t="n">
        <v>45212</v>
      </c>
      <c r="D4842" t="inlineStr">
        <is>
          <t>VÄSTRA GÖTALANDS LÄN</t>
        </is>
      </c>
      <c r="E4842" t="inlineStr">
        <is>
          <t>ALINGSÅS</t>
        </is>
      </c>
      <c r="G4842" t="n">
        <v>4.7</v>
      </c>
      <c r="H4842" t="n">
        <v>0</v>
      </c>
      <c r="I4842" t="n">
        <v>0</v>
      </c>
      <c r="J4842" t="n">
        <v>0</v>
      </c>
      <c r="K4842" t="n">
        <v>0</v>
      </c>
      <c r="L4842" t="n">
        <v>0</v>
      </c>
      <c r="M4842" t="n">
        <v>0</v>
      </c>
      <c r="N4842" t="n">
        <v>0</v>
      </c>
      <c r="O4842" t="n">
        <v>0</v>
      </c>
      <c r="P4842" t="n">
        <v>0</v>
      </c>
      <c r="Q4842" t="n">
        <v>0</v>
      </c>
      <c r="R4842" s="2" t="inlineStr"/>
    </row>
    <row r="4843" ht="15" customHeight="1">
      <c r="A4843" t="inlineStr">
        <is>
          <t>A 27722-2020</t>
        </is>
      </c>
      <c r="B4843" s="1" t="n">
        <v>43993</v>
      </c>
      <c r="C4843" s="1" t="n">
        <v>45212</v>
      </c>
      <c r="D4843" t="inlineStr">
        <is>
          <t>VÄSTRA GÖTALANDS LÄN</t>
        </is>
      </c>
      <c r="E4843" t="inlineStr">
        <is>
          <t>LIDKÖPING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27889-2020</t>
        </is>
      </c>
      <c r="B4844" s="1" t="n">
        <v>43995</v>
      </c>
      <c r="C4844" s="1" t="n">
        <v>45212</v>
      </c>
      <c r="D4844" t="inlineStr">
        <is>
          <t>VÄSTRA GÖTALANDS LÄN</t>
        </is>
      </c>
      <c r="E4844" t="inlineStr">
        <is>
          <t>BOLLEBYGD</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28131-2020</t>
        </is>
      </c>
      <c r="B4845" s="1" t="n">
        <v>43995</v>
      </c>
      <c r="C4845" s="1" t="n">
        <v>45212</v>
      </c>
      <c r="D4845" t="inlineStr">
        <is>
          <t>VÄSTRA GÖTALANDS LÄN</t>
        </is>
      </c>
      <c r="E4845" t="inlineStr">
        <is>
          <t>TIBRO</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27984-2020</t>
        </is>
      </c>
      <c r="B4846" s="1" t="n">
        <v>43997</v>
      </c>
      <c r="C4846" s="1" t="n">
        <v>45212</v>
      </c>
      <c r="D4846" t="inlineStr">
        <is>
          <t>VÄSTRA GÖTALANDS LÄN</t>
        </is>
      </c>
      <c r="E4846" t="inlineStr">
        <is>
          <t>GRÄSTORP</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28007-2020</t>
        </is>
      </c>
      <c r="B4847" s="1" t="n">
        <v>43997</v>
      </c>
      <c r="C4847" s="1" t="n">
        <v>45212</v>
      </c>
      <c r="D4847" t="inlineStr">
        <is>
          <t>VÄSTRA GÖTALANDS LÄN</t>
        </is>
      </c>
      <c r="E4847" t="inlineStr">
        <is>
          <t>MARK</t>
        </is>
      </c>
      <c r="G4847" t="n">
        <v>2.9</v>
      </c>
      <c r="H4847" t="n">
        <v>0</v>
      </c>
      <c r="I4847" t="n">
        <v>0</v>
      </c>
      <c r="J4847" t="n">
        <v>0</v>
      </c>
      <c r="K4847" t="n">
        <v>0</v>
      </c>
      <c r="L4847" t="n">
        <v>0</v>
      </c>
      <c r="M4847" t="n">
        <v>0</v>
      </c>
      <c r="N4847" t="n">
        <v>0</v>
      </c>
      <c r="O4847" t="n">
        <v>0</v>
      </c>
      <c r="P4847" t="n">
        <v>0</v>
      </c>
      <c r="Q4847" t="n">
        <v>0</v>
      </c>
      <c r="R4847" s="2" t="inlineStr"/>
    </row>
    <row r="4848" ht="15" customHeight="1">
      <c r="A4848" t="inlineStr">
        <is>
          <t>A 28318-2020</t>
        </is>
      </c>
      <c r="B4848" s="1" t="n">
        <v>43997</v>
      </c>
      <c r="C4848" s="1" t="n">
        <v>45212</v>
      </c>
      <c r="D4848" t="inlineStr">
        <is>
          <t>VÄSTRA GÖTALANDS LÄN</t>
        </is>
      </c>
      <c r="E4848" t="inlineStr">
        <is>
          <t>BORÅS</t>
        </is>
      </c>
      <c r="F4848" t="inlineStr">
        <is>
          <t>Kyrkan</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28018-2020</t>
        </is>
      </c>
      <c r="B4849" s="1" t="n">
        <v>43997</v>
      </c>
      <c r="C4849" s="1" t="n">
        <v>45212</v>
      </c>
      <c r="D4849" t="inlineStr">
        <is>
          <t>VÄSTRA GÖTALANDS LÄN</t>
        </is>
      </c>
      <c r="E4849" t="inlineStr">
        <is>
          <t>LIDKÖPING</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28066-2020</t>
        </is>
      </c>
      <c r="B4850" s="1" t="n">
        <v>43997</v>
      </c>
      <c r="C4850" s="1" t="n">
        <v>45212</v>
      </c>
      <c r="D4850" t="inlineStr">
        <is>
          <t>VÄSTRA GÖTALANDS LÄN</t>
        </is>
      </c>
      <c r="E4850" t="inlineStr">
        <is>
          <t>VÄNERSBORG</t>
        </is>
      </c>
      <c r="F4850" t="inlineStr">
        <is>
          <t>Kommuner</t>
        </is>
      </c>
      <c r="G4850" t="n">
        <v>5</v>
      </c>
      <c r="H4850" t="n">
        <v>0</v>
      </c>
      <c r="I4850" t="n">
        <v>0</v>
      </c>
      <c r="J4850" t="n">
        <v>0</v>
      </c>
      <c r="K4850" t="n">
        <v>0</v>
      </c>
      <c r="L4850" t="n">
        <v>0</v>
      </c>
      <c r="M4850" t="n">
        <v>0</v>
      </c>
      <c r="N4850" t="n">
        <v>0</v>
      </c>
      <c r="O4850" t="n">
        <v>0</v>
      </c>
      <c r="P4850" t="n">
        <v>0</v>
      </c>
      <c r="Q4850" t="n">
        <v>0</v>
      </c>
      <c r="R4850" s="2" t="inlineStr"/>
    </row>
    <row r="4851" ht="15" customHeight="1">
      <c r="A4851" t="inlineStr">
        <is>
          <t>A 28006-2020</t>
        </is>
      </c>
      <c r="B4851" s="1" t="n">
        <v>43997</v>
      </c>
      <c r="C4851" s="1" t="n">
        <v>45212</v>
      </c>
      <c r="D4851" t="inlineStr">
        <is>
          <t>VÄSTRA GÖTALANDS LÄN</t>
        </is>
      </c>
      <c r="E4851" t="inlineStr">
        <is>
          <t>MARK</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28294-2020</t>
        </is>
      </c>
      <c r="B4852" s="1" t="n">
        <v>43997</v>
      </c>
      <c r="C4852" s="1" t="n">
        <v>45212</v>
      </c>
      <c r="D4852" t="inlineStr">
        <is>
          <t>VÄSTRA GÖTALANDS LÄN</t>
        </is>
      </c>
      <c r="E4852" t="inlineStr">
        <is>
          <t>BORÅS</t>
        </is>
      </c>
      <c r="F4852" t="inlineStr">
        <is>
          <t>Kyrkan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28967-2020</t>
        </is>
      </c>
      <c r="B4853" s="1" t="n">
        <v>43997</v>
      </c>
      <c r="C4853" s="1" t="n">
        <v>45212</v>
      </c>
      <c r="D4853" t="inlineStr">
        <is>
          <t>VÄSTRA GÖTALANDS LÄN</t>
        </is>
      </c>
      <c r="E4853" t="inlineStr">
        <is>
          <t>MELLERUD</t>
        </is>
      </c>
      <c r="G4853" t="n">
        <v>12.2</v>
      </c>
      <c r="H4853" t="n">
        <v>0</v>
      </c>
      <c r="I4853" t="n">
        <v>0</v>
      </c>
      <c r="J4853" t="n">
        <v>0</v>
      </c>
      <c r="K4853" t="n">
        <v>0</v>
      </c>
      <c r="L4853" t="n">
        <v>0</v>
      </c>
      <c r="M4853" t="n">
        <v>0</v>
      </c>
      <c r="N4853" t="n">
        <v>0</v>
      </c>
      <c r="O4853" t="n">
        <v>0</v>
      </c>
      <c r="P4853" t="n">
        <v>0</v>
      </c>
      <c r="Q4853" t="n">
        <v>0</v>
      </c>
      <c r="R4853" s="2" t="inlineStr"/>
    </row>
    <row r="4854" ht="15" customHeight="1">
      <c r="A4854" t="inlineStr">
        <is>
          <t>A 28014-2020</t>
        </is>
      </c>
      <c r="B4854" s="1" t="n">
        <v>43997</v>
      </c>
      <c r="C4854" s="1" t="n">
        <v>45212</v>
      </c>
      <c r="D4854" t="inlineStr">
        <is>
          <t>VÄSTRA GÖTALANDS LÄN</t>
        </is>
      </c>
      <c r="E4854" t="inlineStr">
        <is>
          <t>GULLSPÅNG</t>
        </is>
      </c>
      <c r="G4854" t="n">
        <v>1.3</v>
      </c>
      <c r="H4854" t="n">
        <v>0</v>
      </c>
      <c r="I4854" t="n">
        <v>0</v>
      </c>
      <c r="J4854" t="n">
        <v>0</v>
      </c>
      <c r="K4854" t="n">
        <v>0</v>
      </c>
      <c r="L4854" t="n">
        <v>0</v>
      </c>
      <c r="M4854" t="n">
        <v>0</v>
      </c>
      <c r="N4854" t="n">
        <v>0</v>
      </c>
      <c r="O4854" t="n">
        <v>0</v>
      </c>
      <c r="P4854" t="n">
        <v>0</v>
      </c>
      <c r="Q4854" t="n">
        <v>0</v>
      </c>
      <c r="R4854" s="2" t="inlineStr"/>
    </row>
    <row r="4855" ht="15" customHeight="1">
      <c r="A4855" t="inlineStr">
        <is>
          <t>A 28181-2020</t>
        </is>
      </c>
      <c r="B4855" s="1" t="n">
        <v>43997</v>
      </c>
      <c r="C4855" s="1" t="n">
        <v>45212</v>
      </c>
      <c r="D4855" t="inlineStr">
        <is>
          <t>VÄSTRA GÖTALANDS LÄN</t>
        </is>
      </c>
      <c r="E4855" t="inlineStr">
        <is>
          <t>MARK</t>
        </is>
      </c>
      <c r="G4855" t="n">
        <v>4.7</v>
      </c>
      <c r="H4855" t="n">
        <v>0</v>
      </c>
      <c r="I4855" t="n">
        <v>0</v>
      </c>
      <c r="J4855" t="n">
        <v>0</v>
      </c>
      <c r="K4855" t="n">
        <v>0</v>
      </c>
      <c r="L4855" t="n">
        <v>0</v>
      </c>
      <c r="M4855" t="n">
        <v>0</v>
      </c>
      <c r="N4855" t="n">
        <v>0</v>
      </c>
      <c r="O4855" t="n">
        <v>0</v>
      </c>
      <c r="P4855" t="n">
        <v>0</v>
      </c>
      <c r="Q4855" t="n">
        <v>0</v>
      </c>
      <c r="R4855" s="2" t="inlineStr"/>
    </row>
    <row r="4856" ht="15" customHeight="1">
      <c r="A4856" t="inlineStr">
        <is>
          <t>A 28258-2020</t>
        </is>
      </c>
      <c r="B4856" s="1" t="n">
        <v>43998</v>
      </c>
      <c r="C4856" s="1" t="n">
        <v>45212</v>
      </c>
      <c r="D4856" t="inlineStr">
        <is>
          <t>VÄSTRA GÖTALANDS LÄN</t>
        </is>
      </c>
      <c r="E4856" t="inlineStr">
        <is>
          <t>UDDEVALLA</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28591-2020</t>
        </is>
      </c>
      <c r="B4857" s="1" t="n">
        <v>43999</v>
      </c>
      <c r="C4857" s="1" t="n">
        <v>45212</v>
      </c>
      <c r="D4857" t="inlineStr">
        <is>
          <t>VÄSTRA GÖTALANDS LÄN</t>
        </is>
      </c>
      <c r="E4857" t="inlineStr">
        <is>
          <t>ÅMÅL</t>
        </is>
      </c>
      <c r="G4857" t="n">
        <v>2.3</v>
      </c>
      <c r="H4857" t="n">
        <v>0</v>
      </c>
      <c r="I4857" t="n">
        <v>0</v>
      </c>
      <c r="J4857" t="n">
        <v>0</v>
      </c>
      <c r="K4857" t="n">
        <v>0</v>
      </c>
      <c r="L4857" t="n">
        <v>0</v>
      </c>
      <c r="M4857" t="n">
        <v>0</v>
      </c>
      <c r="N4857" t="n">
        <v>0</v>
      </c>
      <c r="O4857" t="n">
        <v>0</v>
      </c>
      <c r="P4857" t="n">
        <v>0</v>
      </c>
      <c r="Q4857" t="n">
        <v>0</v>
      </c>
      <c r="R4857" s="2" t="inlineStr"/>
    </row>
    <row r="4858" ht="15" customHeight="1">
      <c r="A4858" t="inlineStr">
        <is>
          <t>A 28605-2020</t>
        </is>
      </c>
      <c r="B4858" s="1" t="n">
        <v>43999</v>
      </c>
      <c r="C4858" s="1" t="n">
        <v>45212</v>
      </c>
      <c r="D4858" t="inlineStr">
        <is>
          <t>VÄSTRA GÖTALANDS LÄN</t>
        </is>
      </c>
      <c r="E4858" t="inlineStr">
        <is>
          <t>MARIESTAD</t>
        </is>
      </c>
      <c r="G4858" t="n">
        <v>2.5</v>
      </c>
      <c r="H4858" t="n">
        <v>0</v>
      </c>
      <c r="I4858" t="n">
        <v>0</v>
      </c>
      <c r="J4858" t="n">
        <v>0</v>
      </c>
      <c r="K4858" t="n">
        <v>0</v>
      </c>
      <c r="L4858" t="n">
        <v>0</v>
      </c>
      <c r="M4858" t="n">
        <v>0</v>
      </c>
      <c r="N4858" t="n">
        <v>0</v>
      </c>
      <c r="O4858" t="n">
        <v>0</v>
      </c>
      <c r="P4858" t="n">
        <v>0</v>
      </c>
      <c r="Q4858" t="n">
        <v>0</v>
      </c>
      <c r="R4858" s="2" t="inlineStr"/>
    </row>
    <row r="4859" ht="15" customHeight="1">
      <c r="A4859" t="inlineStr">
        <is>
          <t>A 28369-2020</t>
        </is>
      </c>
      <c r="B4859" s="1" t="n">
        <v>43999</v>
      </c>
      <c r="C4859" s="1" t="n">
        <v>45212</v>
      </c>
      <c r="D4859" t="inlineStr">
        <is>
          <t>VÄSTRA GÖTALANDS LÄN</t>
        </is>
      </c>
      <c r="E4859" t="inlineStr">
        <is>
          <t>SKÖVDE</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28580-2020</t>
        </is>
      </c>
      <c r="B4860" s="1" t="n">
        <v>43999</v>
      </c>
      <c r="C4860" s="1" t="n">
        <v>45212</v>
      </c>
      <c r="D4860" t="inlineStr">
        <is>
          <t>VÄSTRA GÖTALANDS LÄN</t>
        </is>
      </c>
      <c r="E4860" t="inlineStr">
        <is>
          <t>MARK</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28608-2020</t>
        </is>
      </c>
      <c r="B4861" s="1" t="n">
        <v>43999</v>
      </c>
      <c r="C4861" s="1" t="n">
        <v>45212</v>
      </c>
      <c r="D4861" t="inlineStr">
        <is>
          <t>VÄSTRA GÖTALANDS LÄN</t>
        </is>
      </c>
      <c r="E4861" t="inlineStr">
        <is>
          <t>MARIESTAD</t>
        </is>
      </c>
      <c r="G4861" t="n">
        <v>8.4</v>
      </c>
      <c r="H4861" t="n">
        <v>0</v>
      </c>
      <c r="I4861" t="n">
        <v>0</v>
      </c>
      <c r="J4861" t="n">
        <v>0</v>
      </c>
      <c r="K4861" t="n">
        <v>0</v>
      </c>
      <c r="L4861" t="n">
        <v>0</v>
      </c>
      <c r="M4861" t="n">
        <v>0</v>
      </c>
      <c r="N4861" t="n">
        <v>0</v>
      </c>
      <c r="O4861" t="n">
        <v>0</v>
      </c>
      <c r="P4861" t="n">
        <v>0</v>
      </c>
      <c r="Q4861" t="n">
        <v>0</v>
      </c>
      <c r="R4861" s="2" t="inlineStr"/>
    </row>
    <row r="4862" ht="15" customHeight="1">
      <c r="A4862" t="inlineStr">
        <is>
          <t>A 28702-2020</t>
        </is>
      </c>
      <c r="B4862" s="1" t="n">
        <v>43999</v>
      </c>
      <c r="C4862" s="1" t="n">
        <v>45212</v>
      </c>
      <c r="D4862" t="inlineStr">
        <is>
          <t>VÄSTRA GÖTALANDS LÄN</t>
        </is>
      </c>
      <c r="E4862" t="inlineStr">
        <is>
          <t>SKÖVDE</t>
        </is>
      </c>
      <c r="G4862" t="n">
        <v>4.7</v>
      </c>
      <c r="H4862" t="n">
        <v>0</v>
      </c>
      <c r="I4862" t="n">
        <v>0</v>
      </c>
      <c r="J4862" t="n">
        <v>0</v>
      </c>
      <c r="K4862" t="n">
        <v>0</v>
      </c>
      <c r="L4862" t="n">
        <v>0</v>
      </c>
      <c r="M4862" t="n">
        <v>0</v>
      </c>
      <c r="N4862" t="n">
        <v>0</v>
      </c>
      <c r="O4862" t="n">
        <v>0</v>
      </c>
      <c r="P4862" t="n">
        <v>0</v>
      </c>
      <c r="Q4862" t="n">
        <v>0</v>
      </c>
      <c r="R4862" s="2" t="inlineStr"/>
    </row>
    <row r="4863" ht="15" customHeight="1">
      <c r="A4863" t="inlineStr">
        <is>
          <t>A 28716-2020</t>
        </is>
      </c>
      <c r="B4863" s="1" t="n">
        <v>43999</v>
      </c>
      <c r="C4863" s="1" t="n">
        <v>45212</v>
      </c>
      <c r="D4863" t="inlineStr">
        <is>
          <t>VÄSTRA GÖTALANDS LÄN</t>
        </is>
      </c>
      <c r="E4863" t="inlineStr">
        <is>
          <t>BENGTSFORS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29165-2020</t>
        </is>
      </c>
      <c r="B4864" s="1" t="n">
        <v>43999</v>
      </c>
      <c r="C4864" s="1" t="n">
        <v>45212</v>
      </c>
      <c r="D4864" t="inlineStr">
        <is>
          <t>VÄSTRA GÖTALANDS LÄN</t>
        </is>
      </c>
      <c r="E4864" t="inlineStr">
        <is>
          <t>BENGTSFORS</t>
        </is>
      </c>
      <c r="F4864" t="inlineStr">
        <is>
          <t>Kyrkan</t>
        </is>
      </c>
      <c r="G4864" t="n">
        <v>11.8</v>
      </c>
      <c r="H4864" t="n">
        <v>0</v>
      </c>
      <c r="I4864" t="n">
        <v>0</v>
      </c>
      <c r="J4864" t="n">
        <v>0</v>
      </c>
      <c r="K4864" t="n">
        <v>0</v>
      </c>
      <c r="L4864" t="n">
        <v>0</v>
      </c>
      <c r="M4864" t="n">
        <v>0</v>
      </c>
      <c r="N4864" t="n">
        <v>0</v>
      </c>
      <c r="O4864" t="n">
        <v>0</v>
      </c>
      <c r="P4864" t="n">
        <v>0</v>
      </c>
      <c r="Q4864" t="n">
        <v>0</v>
      </c>
      <c r="R4864" s="2" t="inlineStr"/>
    </row>
    <row r="4865" ht="15" customHeight="1">
      <c r="A4865" t="inlineStr">
        <is>
          <t>A 28595-2020</t>
        </is>
      </c>
      <c r="B4865" s="1" t="n">
        <v>43999</v>
      </c>
      <c r="C4865" s="1" t="n">
        <v>45212</v>
      </c>
      <c r="D4865" t="inlineStr">
        <is>
          <t>VÄSTRA GÖTALANDS LÄN</t>
        </is>
      </c>
      <c r="E4865" t="inlineStr">
        <is>
          <t>ÅMÅL</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29185-2020</t>
        </is>
      </c>
      <c r="B4866" s="1" t="n">
        <v>43999</v>
      </c>
      <c r="C4866" s="1" t="n">
        <v>45212</v>
      </c>
      <c r="D4866" t="inlineStr">
        <is>
          <t>VÄSTRA GÖTALANDS LÄN</t>
        </is>
      </c>
      <c r="E4866" t="inlineStr">
        <is>
          <t>BENGTSFORS</t>
        </is>
      </c>
      <c r="F4866" t="inlineStr">
        <is>
          <t>Kyrkan</t>
        </is>
      </c>
      <c r="G4866" t="n">
        <v>11.9</v>
      </c>
      <c r="H4866" t="n">
        <v>0</v>
      </c>
      <c r="I4866" t="n">
        <v>0</v>
      </c>
      <c r="J4866" t="n">
        <v>0</v>
      </c>
      <c r="K4866" t="n">
        <v>0</v>
      </c>
      <c r="L4866" t="n">
        <v>0</v>
      </c>
      <c r="M4866" t="n">
        <v>0</v>
      </c>
      <c r="N4866" t="n">
        <v>0</v>
      </c>
      <c r="O4866" t="n">
        <v>0</v>
      </c>
      <c r="P4866" t="n">
        <v>0</v>
      </c>
      <c r="Q4866" t="n">
        <v>0</v>
      </c>
      <c r="R4866" s="2" t="inlineStr"/>
    </row>
    <row r="4867" ht="15" customHeight="1">
      <c r="A4867" t="inlineStr">
        <is>
          <t>A 28912-2020</t>
        </is>
      </c>
      <c r="B4867" s="1" t="n">
        <v>44000</v>
      </c>
      <c r="C4867" s="1" t="n">
        <v>45212</v>
      </c>
      <c r="D4867" t="inlineStr">
        <is>
          <t>VÄSTRA GÖTALANDS LÄN</t>
        </is>
      </c>
      <c r="E4867" t="inlineStr">
        <is>
          <t>TÖREBODA</t>
        </is>
      </c>
      <c r="G4867" t="n">
        <v>16.1</v>
      </c>
      <c r="H4867" t="n">
        <v>0</v>
      </c>
      <c r="I4867" t="n">
        <v>0</v>
      </c>
      <c r="J4867" t="n">
        <v>0</v>
      </c>
      <c r="K4867" t="n">
        <v>0</v>
      </c>
      <c r="L4867" t="n">
        <v>0</v>
      </c>
      <c r="M4867" t="n">
        <v>0</v>
      </c>
      <c r="N4867" t="n">
        <v>0</v>
      </c>
      <c r="O4867" t="n">
        <v>0</v>
      </c>
      <c r="P4867" t="n">
        <v>0</v>
      </c>
      <c r="Q4867" t="n">
        <v>0</v>
      </c>
      <c r="R4867" s="2" t="inlineStr"/>
    </row>
    <row r="4868" ht="15" customHeight="1">
      <c r="A4868" t="inlineStr">
        <is>
          <t>A 28902-2020</t>
        </is>
      </c>
      <c r="B4868" s="1" t="n">
        <v>44000</v>
      </c>
      <c r="C4868" s="1" t="n">
        <v>45212</v>
      </c>
      <c r="D4868" t="inlineStr">
        <is>
          <t>VÄSTRA GÖTALANDS LÄN</t>
        </is>
      </c>
      <c r="E4868" t="inlineStr">
        <is>
          <t>BORÅS</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28795-2020</t>
        </is>
      </c>
      <c r="B4869" s="1" t="n">
        <v>44000</v>
      </c>
      <c r="C4869" s="1" t="n">
        <v>45212</v>
      </c>
      <c r="D4869" t="inlineStr">
        <is>
          <t>VÄSTRA GÖTALANDS LÄN</t>
        </is>
      </c>
      <c r="E4869" t="inlineStr">
        <is>
          <t>FALKÖPING</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28833-2020</t>
        </is>
      </c>
      <c r="B4870" s="1" t="n">
        <v>44000</v>
      </c>
      <c r="C4870" s="1" t="n">
        <v>45212</v>
      </c>
      <c r="D4870" t="inlineStr">
        <is>
          <t>VÄSTRA GÖTALANDS LÄN</t>
        </is>
      </c>
      <c r="E4870" t="inlineStr">
        <is>
          <t>MARK</t>
        </is>
      </c>
      <c r="G4870" t="n">
        <v>8.9</v>
      </c>
      <c r="H4870" t="n">
        <v>0</v>
      </c>
      <c r="I4870" t="n">
        <v>0</v>
      </c>
      <c r="J4870" t="n">
        <v>0</v>
      </c>
      <c r="K4870" t="n">
        <v>0</v>
      </c>
      <c r="L4870" t="n">
        <v>0</v>
      </c>
      <c r="M4870" t="n">
        <v>0</v>
      </c>
      <c r="N4870" t="n">
        <v>0</v>
      </c>
      <c r="O4870" t="n">
        <v>0</v>
      </c>
      <c r="P4870" t="n">
        <v>0</v>
      </c>
      <c r="Q4870" t="n">
        <v>0</v>
      </c>
      <c r="R4870" s="2" t="inlineStr"/>
    </row>
    <row r="4871" ht="15" customHeight="1">
      <c r="A4871" t="inlineStr">
        <is>
          <t>A 29361-2020</t>
        </is>
      </c>
      <c r="B4871" s="1" t="n">
        <v>44004</v>
      </c>
      <c r="C4871" s="1" t="n">
        <v>45212</v>
      </c>
      <c r="D4871" t="inlineStr">
        <is>
          <t>VÄSTRA GÖTALANDS LÄN</t>
        </is>
      </c>
      <c r="E4871" t="inlineStr">
        <is>
          <t>FÄRGELANDA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29436-2020</t>
        </is>
      </c>
      <c r="B4872" s="1" t="n">
        <v>44004</v>
      </c>
      <c r="C4872" s="1" t="n">
        <v>45212</v>
      </c>
      <c r="D4872" t="inlineStr">
        <is>
          <t>VÄSTRA GÖTALANDS LÄN</t>
        </is>
      </c>
      <c r="E4872" t="inlineStr">
        <is>
          <t>VÄNERSBORG</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29152-2020</t>
        </is>
      </c>
      <c r="B4873" s="1" t="n">
        <v>44004</v>
      </c>
      <c r="C4873" s="1" t="n">
        <v>45212</v>
      </c>
      <c r="D4873" t="inlineStr">
        <is>
          <t>VÄSTRA GÖTALANDS LÄN</t>
        </is>
      </c>
      <c r="E4873" t="inlineStr">
        <is>
          <t>ULRICEHAMN</t>
        </is>
      </c>
      <c r="F4873" t="inlineStr">
        <is>
          <t>Sveaskog</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29257-2020</t>
        </is>
      </c>
      <c r="B4874" s="1" t="n">
        <v>44004</v>
      </c>
      <c r="C4874" s="1" t="n">
        <v>45212</v>
      </c>
      <c r="D4874" t="inlineStr">
        <is>
          <t>VÄSTRA GÖTALANDS LÄN</t>
        </is>
      </c>
      <c r="E4874" t="inlineStr">
        <is>
          <t>ULRICEHAMN</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29141-2020</t>
        </is>
      </c>
      <c r="B4875" s="1" t="n">
        <v>44004</v>
      </c>
      <c r="C4875" s="1" t="n">
        <v>45212</v>
      </c>
      <c r="D4875" t="inlineStr">
        <is>
          <t>VÄSTRA GÖTALANDS LÄN</t>
        </is>
      </c>
      <c r="E4875" t="inlineStr">
        <is>
          <t>TROLLHÄTTAN</t>
        </is>
      </c>
      <c r="G4875" t="n">
        <v>3.2</v>
      </c>
      <c r="H4875" t="n">
        <v>0</v>
      </c>
      <c r="I4875" t="n">
        <v>0</v>
      </c>
      <c r="J4875" t="n">
        <v>0</v>
      </c>
      <c r="K4875" t="n">
        <v>0</v>
      </c>
      <c r="L4875" t="n">
        <v>0</v>
      </c>
      <c r="M4875" t="n">
        <v>0</v>
      </c>
      <c r="N4875" t="n">
        <v>0</v>
      </c>
      <c r="O4875" t="n">
        <v>0</v>
      </c>
      <c r="P4875" t="n">
        <v>0</v>
      </c>
      <c r="Q4875" t="n">
        <v>0</v>
      </c>
      <c r="R4875" s="2" t="inlineStr"/>
    </row>
    <row r="4876" ht="15" customHeight="1">
      <c r="A4876" t="inlineStr">
        <is>
          <t>A 29258-2020</t>
        </is>
      </c>
      <c r="B4876" s="1" t="n">
        <v>44004</v>
      </c>
      <c r="C4876" s="1" t="n">
        <v>45212</v>
      </c>
      <c r="D4876" t="inlineStr">
        <is>
          <t>VÄSTRA GÖTALANDS LÄN</t>
        </is>
      </c>
      <c r="E4876" t="inlineStr">
        <is>
          <t>ALE</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29379-2020</t>
        </is>
      </c>
      <c r="B4877" s="1" t="n">
        <v>44004</v>
      </c>
      <c r="C4877" s="1" t="n">
        <v>45212</v>
      </c>
      <c r="D4877" t="inlineStr">
        <is>
          <t>VÄSTRA GÖTALANDS LÄN</t>
        </is>
      </c>
      <c r="E4877" t="inlineStr">
        <is>
          <t>LERUM</t>
        </is>
      </c>
      <c r="F4877" t="inlineStr">
        <is>
          <t>Kommuner</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29673-2020</t>
        </is>
      </c>
      <c r="B4878" s="1" t="n">
        <v>44004</v>
      </c>
      <c r="C4878" s="1" t="n">
        <v>45212</v>
      </c>
      <c r="D4878" t="inlineStr">
        <is>
          <t>VÄSTRA GÖTALANDS LÄN</t>
        </is>
      </c>
      <c r="E4878" t="inlineStr">
        <is>
          <t>BENGTSFORS</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29509-2020</t>
        </is>
      </c>
      <c r="B4879" s="1" t="n">
        <v>44005</v>
      </c>
      <c r="C4879" s="1" t="n">
        <v>45212</v>
      </c>
      <c r="D4879" t="inlineStr">
        <is>
          <t>VÄSTRA GÖTALANDS LÄN</t>
        </is>
      </c>
      <c r="E4879" t="inlineStr">
        <is>
          <t>BORÅS</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29664-2020</t>
        </is>
      </c>
      <c r="B4880" s="1" t="n">
        <v>44005</v>
      </c>
      <c r="C4880" s="1" t="n">
        <v>45212</v>
      </c>
      <c r="D4880" t="inlineStr">
        <is>
          <t>VÄSTRA GÖTALANDS LÄN</t>
        </is>
      </c>
      <c r="E4880" t="inlineStr">
        <is>
          <t>LIDKÖPING</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29730-2020</t>
        </is>
      </c>
      <c r="B4881" s="1" t="n">
        <v>44005</v>
      </c>
      <c r="C4881" s="1" t="n">
        <v>45212</v>
      </c>
      <c r="D4881" t="inlineStr">
        <is>
          <t>VÄSTRA GÖTALANDS LÄN</t>
        </is>
      </c>
      <c r="E4881" t="inlineStr">
        <is>
          <t>MARK</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29511-2020</t>
        </is>
      </c>
      <c r="B4882" s="1" t="n">
        <v>44005</v>
      </c>
      <c r="C4882" s="1" t="n">
        <v>45212</v>
      </c>
      <c r="D4882" t="inlineStr">
        <is>
          <t>VÄSTRA GÖTALANDS LÄN</t>
        </is>
      </c>
      <c r="E4882" t="inlineStr">
        <is>
          <t>TIBRO</t>
        </is>
      </c>
      <c r="G4882" t="n">
        <v>2.2</v>
      </c>
      <c r="H4882" t="n">
        <v>0</v>
      </c>
      <c r="I4882" t="n">
        <v>0</v>
      </c>
      <c r="J4882" t="n">
        <v>0</v>
      </c>
      <c r="K4882" t="n">
        <v>0</v>
      </c>
      <c r="L4882" t="n">
        <v>0</v>
      </c>
      <c r="M4882" t="n">
        <v>0</v>
      </c>
      <c r="N4882" t="n">
        <v>0</v>
      </c>
      <c r="O4882" t="n">
        <v>0</v>
      </c>
      <c r="P4882" t="n">
        <v>0</v>
      </c>
      <c r="Q4882" t="n">
        <v>0</v>
      </c>
      <c r="R4882" s="2" t="inlineStr"/>
    </row>
    <row r="4883" ht="15" customHeight="1">
      <c r="A4883" t="inlineStr">
        <is>
          <t>A 29772-2020</t>
        </is>
      </c>
      <c r="B4883" s="1" t="n">
        <v>44005</v>
      </c>
      <c r="C4883" s="1" t="n">
        <v>45212</v>
      </c>
      <c r="D4883" t="inlineStr">
        <is>
          <t>VÄSTRA GÖTALANDS LÄN</t>
        </is>
      </c>
      <c r="E4883" t="inlineStr">
        <is>
          <t>TANUM</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29526-2020</t>
        </is>
      </c>
      <c r="B4884" s="1" t="n">
        <v>44005</v>
      </c>
      <c r="C4884" s="1" t="n">
        <v>45212</v>
      </c>
      <c r="D4884" t="inlineStr">
        <is>
          <t>VÄSTRA GÖTALANDS LÄN</t>
        </is>
      </c>
      <c r="E4884" t="inlineStr">
        <is>
          <t>VÅRGÅRDA</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29602-2020</t>
        </is>
      </c>
      <c r="B4885" s="1" t="n">
        <v>44005</v>
      </c>
      <c r="C4885" s="1" t="n">
        <v>45212</v>
      </c>
      <c r="D4885" t="inlineStr">
        <is>
          <t>VÄSTRA GÖTALANDS LÄN</t>
        </is>
      </c>
      <c r="E4885" t="inlineStr">
        <is>
          <t>MÖLNDAL</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29727-2020</t>
        </is>
      </c>
      <c r="B4886" s="1" t="n">
        <v>44005</v>
      </c>
      <c r="C4886" s="1" t="n">
        <v>45212</v>
      </c>
      <c r="D4886" t="inlineStr">
        <is>
          <t>VÄSTRA GÖTALANDS LÄN</t>
        </is>
      </c>
      <c r="E4886" t="inlineStr">
        <is>
          <t>MARK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29844-2020</t>
        </is>
      </c>
      <c r="B4887" s="1" t="n">
        <v>44005</v>
      </c>
      <c r="C4887" s="1" t="n">
        <v>45212</v>
      </c>
      <c r="D4887" t="inlineStr">
        <is>
          <t>VÄSTRA GÖTALANDS LÄN</t>
        </is>
      </c>
      <c r="E4887" t="inlineStr">
        <is>
          <t>ÅMÅL</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29910-2020</t>
        </is>
      </c>
      <c r="B4888" s="1" t="n">
        <v>44006</v>
      </c>
      <c r="C4888" s="1" t="n">
        <v>45212</v>
      </c>
      <c r="D4888" t="inlineStr">
        <is>
          <t>VÄSTRA GÖTALANDS LÄN</t>
        </is>
      </c>
      <c r="E4888" t="inlineStr">
        <is>
          <t>TÖREBODA</t>
        </is>
      </c>
      <c r="F4888" t="inlineStr">
        <is>
          <t>Sveaskog</t>
        </is>
      </c>
      <c r="G4888" t="n">
        <v>11.7</v>
      </c>
      <c r="H4888" t="n">
        <v>0</v>
      </c>
      <c r="I4888" t="n">
        <v>0</v>
      </c>
      <c r="J4888" t="n">
        <v>0</v>
      </c>
      <c r="K4888" t="n">
        <v>0</v>
      </c>
      <c r="L4888" t="n">
        <v>0</v>
      </c>
      <c r="M4888" t="n">
        <v>0</v>
      </c>
      <c r="N4888" t="n">
        <v>0</v>
      </c>
      <c r="O4888" t="n">
        <v>0</v>
      </c>
      <c r="P4888" t="n">
        <v>0</v>
      </c>
      <c r="Q4888" t="n">
        <v>0</v>
      </c>
      <c r="R4888" s="2" t="inlineStr"/>
    </row>
    <row r="4889" ht="15" customHeight="1">
      <c r="A4889" t="inlineStr">
        <is>
          <t>A 29961-2020</t>
        </is>
      </c>
      <c r="B4889" s="1" t="n">
        <v>44006</v>
      </c>
      <c r="C4889" s="1" t="n">
        <v>45212</v>
      </c>
      <c r="D4889" t="inlineStr">
        <is>
          <t>VÄSTRA GÖTALANDS LÄN</t>
        </is>
      </c>
      <c r="E4889" t="inlineStr">
        <is>
          <t>TRANEMO</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29860-2020</t>
        </is>
      </c>
      <c r="B4890" s="1" t="n">
        <v>44006</v>
      </c>
      <c r="C4890" s="1" t="n">
        <v>45212</v>
      </c>
      <c r="D4890" t="inlineStr">
        <is>
          <t>VÄSTRA GÖTALANDS LÄN</t>
        </is>
      </c>
      <c r="E4890" t="inlineStr">
        <is>
          <t>BENGTSFORS</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29980-2020</t>
        </is>
      </c>
      <c r="B4891" s="1" t="n">
        <v>44006</v>
      </c>
      <c r="C4891" s="1" t="n">
        <v>45212</v>
      </c>
      <c r="D4891" t="inlineStr">
        <is>
          <t>VÄSTRA GÖTALANDS LÄN</t>
        </is>
      </c>
      <c r="E4891" t="inlineStr">
        <is>
          <t>FÄRGELANDA</t>
        </is>
      </c>
      <c r="G4891" t="n">
        <v>13.1</v>
      </c>
      <c r="H4891" t="n">
        <v>0</v>
      </c>
      <c r="I4891" t="n">
        <v>0</v>
      </c>
      <c r="J4891" t="n">
        <v>0</v>
      </c>
      <c r="K4891" t="n">
        <v>0</v>
      </c>
      <c r="L4891" t="n">
        <v>0</v>
      </c>
      <c r="M4891" t="n">
        <v>0</v>
      </c>
      <c r="N4891" t="n">
        <v>0</v>
      </c>
      <c r="O4891" t="n">
        <v>0</v>
      </c>
      <c r="P4891" t="n">
        <v>0</v>
      </c>
      <c r="Q4891" t="n">
        <v>0</v>
      </c>
      <c r="R4891" s="2" t="inlineStr"/>
    </row>
    <row r="4892" ht="15" customHeight="1">
      <c r="A4892" t="inlineStr">
        <is>
          <t>A 29993-2020</t>
        </is>
      </c>
      <c r="B4892" s="1" t="n">
        <v>44006</v>
      </c>
      <c r="C4892" s="1" t="n">
        <v>45212</v>
      </c>
      <c r="D4892" t="inlineStr">
        <is>
          <t>VÄSTRA GÖTALANDS LÄN</t>
        </is>
      </c>
      <c r="E4892" t="inlineStr">
        <is>
          <t>FÄRGELANDA</t>
        </is>
      </c>
      <c r="G4892" t="n">
        <v>2.3</v>
      </c>
      <c r="H4892" t="n">
        <v>0</v>
      </c>
      <c r="I4892" t="n">
        <v>0</v>
      </c>
      <c r="J4892" t="n">
        <v>0</v>
      </c>
      <c r="K4892" t="n">
        <v>0</v>
      </c>
      <c r="L4892" t="n">
        <v>0</v>
      </c>
      <c r="M4892" t="n">
        <v>0</v>
      </c>
      <c r="N4892" t="n">
        <v>0</v>
      </c>
      <c r="O4892" t="n">
        <v>0</v>
      </c>
      <c r="P4892" t="n">
        <v>0</v>
      </c>
      <c r="Q4892" t="n">
        <v>0</v>
      </c>
      <c r="R4892" s="2" t="inlineStr"/>
    </row>
    <row r="4893" ht="15" customHeight="1">
      <c r="A4893" t="inlineStr">
        <is>
          <t>A 30033-2020</t>
        </is>
      </c>
      <c r="B4893" s="1" t="n">
        <v>44006</v>
      </c>
      <c r="C4893" s="1" t="n">
        <v>45212</v>
      </c>
      <c r="D4893" t="inlineStr">
        <is>
          <t>VÄSTRA GÖTALANDS LÄN</t>
        </is>
      </c>
      <c r="E4893" t="inlineStr">
        <is>
          <t>STRÖMSTAD</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30086-2020</t>
        </is>
      </c>
      <c r="B4894" s="1" t="n">
        <v>44006</v>
      </c>
      <c r="C4894" s="1" t="n">
        <v>45212</v>
      </c>
      <c r="D4894" t="inlineStr">
        <is>
          <t>VÄSTRA GÖTALANDS LÄN</t>
        </is>
      </c>
      <c r="E4894" t="inlineStr">
        <is>
          <t>KUNGÄLV</t>
        </is>
      </c>
      <c r="G4894" t="n">
        <v>6.2</v>
      </c>
      <c r="H4894" t="n">
        <v>0</v>
      </c>
      <c r="I4894" t="n">
        <v>0</v>
      </c>
      <c r="J4894" t="n">
        <v>0</v>
      </c>
      <c r="K4894" t="n">
        <v>0</v>
      </c>
      <c r="L4894" t="n">
        <v>0</v>
      </c>
      <c r="M4894" t="n">
        <v>0</v>
      </c>
      <c r="N4894" t="n">
        <v>0</v>
      </c>
      <c r="O4894" t="n">
        <v>0</v>
      </c>
      <c r="P4894" t="n">
        <v>0</v>
      </c>
      <c r="Q4894" t="n">
        <v>0</v>
      </c>
      <c r="R4894" s="2" t="inlineStr"/>
    </row>
    <row r="4895" ht="15" customHeight="1">
      <c r="A4895" t="inlineStr">
        <is>
          <t>A 29914-2020</t>
        </is>
      </c>
      <c r="B4895" s="1" t="n">
        <v>44006</v>
      </c>
      <c r="C4895" s="1" t="n">
        <v>45212</v>
      </c>
      <c r="D4895" t="inlineStr">
        <is>
          <t>VÄSTRA GÖTALANDS LÄN</t>
        </is>
      </c>
      <c r="E4895" t="inlineStr">
        <is>
          <t>UDDEVALLA</t>
        </is>
      </c>
      <c r="G4895" t="n">
        <v>4.5</v>
      </c>
      <c r="H4895" t="n">
        <v>0</v>
      </c>
      <c r="I4895" t="n">
        <v>0</v>
      </c>
      <c r="J4895" t="n">
        <v>0</v>
      </c>
      <c r="K4895" t="n">
        <v>0</v>
      </c>
      <c r="L4895" t="n">
        <v>0</v>
      </c>
      <c r="M4895" t="n">
        <v>0</v>
      </c>
      <c r="N4895" t="n">
        <v>0</v>
      </c>
      <c r="O4895" t="n">
        <v>0</v>
      </c>
      <c r="P4895" t="n">
        <v>0</v>
      </c>
      <c r="Q4895" t="n">
        <v>0</v>
      </c>
      <c r="R4895" s="2" t="inlineStr"/>
    </row>
    <row r="4896" ht="15" customHeight="1">
      <c r="A4896" t="inlineStr">
        <is>
          <t>A 29952-2020</t>
        </is>
      </c>
      <c r="B4896" s="1" t="n">
        <v>44006</v>
      </c>
      <c r="C4896" s="1" t="n">
        <v>45212</v>
      </c>
      <c r="D4896" t="inlineStr">
        <is>
          <t>VÄSTRA GÖTALANDS LÄN</t>
        </is>
      </c>
      <c r="E4896" t="inlineStr">
        <is>
          <t>ORUST</t>
        </is>
      </c>
      <c r="G4896" t="n">
        <v>10.8</v>
      </c>
      <c r="H4896" t="n">
        <v>0</v>
      </c>
      <c r="I4896" t="n">
        <v>0</v>
      </c>
      <c r="J4896" t="n">
        <v>0</v>
      </c>
      <c r="K4896" t="n">
        <v>0</v>
      </c>
      <c r="L4896" t="n">
        <v>0</v>
      </c>
      <c r="M4896" t="n">
        <v>0</v>
      </c>
      <c r="N4896" t="n">
        <v>0</v>
      </c>
      <c r="O4896" t="n">
        <v>0</v>
      </c>
      <c r="P4896" t="n">
        <v>0</v>
      </c>
      <c r="Q4896" t="n">
        <v>0</v>
      </c>
      <c r="R4896" s="2" t="inlineStr"/>
    </row>
    <row r="4897" ht="15" customHeight="1">
      <c r="A4897" t="inlineStr">
        <is>
          <t>A 29995-2020</t>
        </is>
      </c>
      <c r="B4897" s="1" t="n">
        <v>44006</v>
      </c>
      <c r="C4897" s="1" t="n">
        <v>45212</v>
      </c>
      <c r="D4897" t="inlineStr">
        <is>
          <t>VÄSTRA GÖTALANDS LÄN</t>
        </is>
      </c>
      <c r="E4897" t="inlineStr">
        <is>
          <t>FÄRGELANDA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30236-2020</t>
        </is>
      </c>
      <c r="B4898" s="1" t="n">
        <v>44006</v>
      </c>
      <c r="C4898" s="1" t="n">
        <v>45212</v>
      </c>
      <c r="D4898" t="inlineStr">
        <is>
          <t>VÄSTRA GÖTALANDS LÄN</t>
        </is>
      </c>
      <c r="E4898" t="inlineStr">
        <is>
          <t>TIDAHOLM</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29953-2020</t>
        </is>
      </c>
      <c r="B4899" s="1" t="n">
        <v>44006</v>
      </c>
      <c r="C4899" s="1" t="n">
        <v>45212</v>
      </c>
      <c r="D4899" t="inlineStr">
        <is>
          <t>VÄSTRA GÖTALANDS LÄN</t>
        </is>
      </c>
      <c r="E4899" t="inlineStr">
        <is>
          <t>BOLLEBYGD</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29987-2020</t>
        </is>
      </c>
      <c r="B4900" s="1" t="n">
        <v>44006</v>
      </c>
      <c r="C4900" s="1" t="n">
        <v>45212</v>
      </c>
      <c r="D4900" t="inlineStr">
        <is>
          <t>VÄSTRA GÖTALANDS LÄN</t>
        </is>
      </c>
      <c r="E4900" t="inlineStr">
        <is>
          <t>TANUM</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30004-2020</t>
        </is>
      </c>
      <c r="B4901" s="1" t="n">
        <v>44006</v>
      </c>
      <c r="C4901" s="1" t="n">
        <v>45212</v>
      </c>
      <c r="D4901" t="inlineStr">
        <is>
          <t>VÄSTRA GÖTALANDS LÄN</t>
        </is>
      </c>
      <c r="E4901" t="inlineStr">
        <is>
          <t>VARA</t>
        </is>
      </c>
      <c r="F4901" t="inlineStr">
        <is>
          <t>Sveaskog</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30244-2020</t>
        </is>
      </c>
      <c r="B4902" s="1" t="n">
        <v>44006</v>
      </c>
      <c r="C4902" s="1" t="n">
        <v>45212</v>
      </c>
      <c r="D4902" t="inlineStr">
        <is>
          <t>VÄSTRA GÖTALANDS LÄN</t>
        </is>
      </c>
      <c r="E4902" t="inlineStr">
        <is>
          <t>TANUM</t>
        </is>
      </c>
      <c r="G4902" t="n">
        <v>2.9</v>
      </c>
      <c r="H4902" t="n">
        <v>0</v>
      </c>
      <c r="I4902" t="n">
        <v>0</v>
      </c>
      <c r="J4902" t="n">
        <v>0</v>
      </c>
      <c r="K4902" t="n">
        <v>0</v>
      </c>
      <c r="L4902" t="n">
        <v>0</v>
      </c>
      <c r="M4902" t="n">
        <v>0</v>
      </c>
      <c r="N4902" t="n">
        <v>0</v>
      </c>
      <c r="O4902" t="n">
        <v>0</v>
      </c>
      <c r="P4902" t="n">
        <v>0</v>
      </c>
      <c r="Q4902" t="n">
        <v>0</v>
      </c>
      <c r="R4902" s="2" t="inlineStr"/>
    </row>
    <row r="4903" ht="15" customHeight="1">
      <c r="A4903" t="inlineStr">
        <is>
          <t>A 30212-2020</t>
        </is>
      </c>
      <c r="B4903" s="1" t="n">
        <v>44007</v>
      </c>
      <c r="C4903" s="1" t="n">
        <v>45212</v>
      </c>
      <c r="D4903" t="inlineStr">
        <is>
          <t>VÄSTRA GÖTALANDS LÄN</t>
        </is>
      </c>
      <c r="E4903" t="inlineStr">
        <is>
          <t>HJO</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30233-2020</t>
        </is>
      </c>
      <c r="B4904" s="1" t="n">
        <v>44007</v>
      </c>
      <c r="C4904" s="1" t="n">
        <v>45212</v>
      </c>
      <c r="D4904" t="inlineStr">
        <is>
          <t>VÄSTRA GÖTALANDS LÄN</t>
        </is>
      </c>
      <c r="E4904" t="inlineStr">
        <is>
          <t>BENGTSFORS</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30274-2020</t>
        </is>
      </c>
      <c r="B4905" s="1" t="n">
        <v>44007</v>
      </c>
      <c r="C4905" s="1" t="n">
        <v>45212</v>
      </c>
      <c r="D4905" t="inlineStr">
        <is>
          <t>VÄSTRA GÖTALANDS LÄN</t>
        </is>
      </c>
      <c r="E4905" t="inlineStr">
        <is>
          <t>BENGTSFORS</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30317-2020</t>
        </is>
      </c>
      <c r="B4906" s="1" t="n">
        <v>44007</v>
      </c>
      <c r="C4906" s="1" t="n">
        <v>45212</v>
      </c>
      <c r="D4906" t="inlineStr">
        <is>
          <t>VÄSTRA GÖTALANDS LÄN</t>
        </is>
      </c>
      <c r="E4906" t="inlineStr">
        <is>
          <t>MELLERUD</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30355-2020</t>
        </is>
      </c>
      <c r="B4907" s="1" t="n">
        <v>44007</v>
      </c>
      <c r="C4907" s="1" t="n">
        <v>45212</v>
      </c>
      <c r="D4907" t="inlineStr">
        <is>
          <t>VÄSTRA GÖTALANDS LÄN</t>
        </is>
      </c>
      <c r="E4907" t="inlineStr">
        <is>
          <t>LIDKÖPING</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30529-2020</t>
        </is>
      </c>
      <c r="B4908" s="1" t="n">
        <v>44007</v>
      </c>
      <c r="C4908" s="1" t="n">
        <v>45212</v>
      </c>
      <c r="D4908" t="inlineStr">
        <is>
          <t>VÄSTRA GÖTALANDS LÄN</t>
        </is>
      </c>
      <c r="E4908" t="inlineStr">
        <is>
          <t>MELLERUD</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30311-2020</t>
        </is>
      </c>
      <c r="B4909" s="1" t="n">
        <v>44007</v>
      </c>
      <c r="C4909" s="1" t="n">
        <v>45212</v>
      </c>
      <c r="D4909" t="inlineStr">
        <is>
          <t>VÄSTRA GÖTALANDS LÄN</t>
        </is>
      </c>
      <c r="E4909" t="inlineStr">
        <is>
          <t>ALINGSÅS</t>
        </is>
      </c>
      <c r="G4909" t="n">
        <v>5.4</v>
      </c>
      <c r="H4909" t="n">
        <v>0</v>
      </c>
      <c r="I4909" t="n">
        <v>0</v>
      </c>
      <c r="J4909" t="n">
        <v>0</v>
      </c>
      <c r="K4909" t="n">
        <v>0</v>
      </c>
      <c r="L4909" t="n">
        <v>0</v>
      </c>
      <c r="M4909" t="n">
        <v>0</v>
      </c>
      <c r="N4909" t="n">
        <v>0</v>
      </c>
      <c r="O4909" t="n">
        <v>0</v>
      </c>
      <c r="P4909" t="n">
        <v>0</v>
      </c>
      <c r="Q4909" t="n">
        <v>0</v>
      </c>
      <c r="R4909" s="2" t="inlineStr"/>
    </row>
    <row r="4910" ht="15" customHeight="1">
      <c r="A4910" t="inlineStr">
        <is>
          <t>A 30231-2020</t>
        </is>
      </c>
      <c r="B4910" s="1" t="n">
        <v>44007</v>
      </c>
      <c r="C4910" s="1" t="n">
        <v>45212</v>
      </c>
      <c r="D4910" t="inlineStr">
        <is>
          <t>VÄSTRA GÖTALANDS LÄN</t>
        </is>
      </c>
      <c r="E4910" t="inlineStr">
        <is>
          <t>TIDAHOLM</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30351-2020</t>
        </is>
      </c>
      <c r="B4911" s="1" t="n">
        <v>44007</v>
      </c>
      <c r="C4911" s="1" t="n">
        <v>45212</v>
      </c>
      <c r="D4911" t="inlineStr">
        <is>
          <t>VÄSTRA GÖTALANDS LÄN</t>
        </is>
      </c>
      <c r="E4911" t="inlineStr">
        <is>
          <t>LIDKÖPING</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30140-2020</t>
        </is>
      </c>
      <c r="B4912" s="1" t="n">
        <v>44007</v>
      </c>
      <c r="C4912" s="1" t="n">
        <v>45212</v>
      </c>
      <c r="D4912" t="inlineStr">
        <is>
          <t>VÄSTRA GÖTALANDS LÄN</t>
        </is>
      </c>
      <c r="E4912" t="inlineStr">
        <is>
          <t>BOLLEBYGD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30534-2020</t>
        </is>
      </c>
      <c r="B4913" s="1" t="n">
        <v>44007</v>
      </c>
      <c r="C4913" s="1" t="n">
        <v>45212</v>
      </c>
      <c r="D4913" t="inlineStr">
        <is>
          <t>VÄSTRA GÖTALANDS LÄN</t>
        </is>
      </c>
      <c r="E4913" t="inlineStr">
        <is>
          <t>MELLERUD</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30614-2020</t>
        </is>
      </c>
      <c r="B4914" s="1" t="n">
        <v>44008</v>
      </c>
      <c r="C4914" s="1" t="n">
        <v>45212</v>
      </c>
      <c r="D4914" t="inlineStr">
        <is>
          <t>VÄSTRA GÖTALANDS LÄN</t>
        </is>
      </c>
      <c r="E4914" t="inlineStr">
        <is>
          <t>VÄNERSBORG</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30612-2020</t>
        </is>
      </c>
      <c r="B4915" s="1" t="n">
        <v>44008</v>
      </c>
      <c r="C4915" s="1" t="n">
        <v>45212</v>
      </c>
      <c r="D4915" t="inlineStr">
        <is>
          <t>VÄSTRA GÖTALANDS LÄN</t>
        </is>
      </c>
      <c r="E4915" t="inlineStr">
        <is>
          <t>SVENLJUNGA</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30780-2020</t>
        </is>
      </c>
      <c r="B4916" s="1" t="n">
        <v>44010</v>
      </c>
      <c r="C4916" s="1" t="n">
        <v>45212</v>
      </c>
      <c r="D4916" t="inlineStr">
        <is>
          <t>VÄSTRA GÖTALANDS LÄN</t>
        </is>
      </c>
      <c r="E4916" t="inlineStr">
        <is>
          <t>ULRICEHAMN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30984-2020</t>
        </is>
      </c>
      <c r="B4917" s="1" t="n">
        <v>44011</v>
      </c>
      <c r="C4917" s="1" t="n">
        <v>45212</v>
      </c>
      <c r="D4917" t="inlineStr">
        <is>
          <t>VÄSTRA GÖTALANDS LÄN</t>
        </is>
      </c>
      <c r="E4917" t="inlineStr">
        <is>
          <t>TROLLHÄTTAN</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31013-2020</t>
        </is>
      </c>
      <c r="B4918" s="1" t="n">
        <v>44011</v>
      </c>
      <c r="C4918" s="1" t="n">
        <v>45212</v>
      </c>
      <c r="D4918" t="inlineStr">
        <is>
          <t>VÄSTRA GÖTALANDS LÄN</t>
        </is>
      </c>
      <c r="E4918" t="inlineStr">
        <is>
          <t>MARK</t>
        </is>
      </c>
      <c r="G4918" t="n">
        <v>1.7</v>
      </c>
      <c r="H4918" t="n">
        <v>0</v>
      </c>
      <c r="I4918" t="n">
        <v>0</v>
      </c>
      <c r="J4918" t="n">
        <v>0</v>
      </c>
      <c r="K4918" t="n">
        <v>0</v>
      </c>
      <c r="L4918" t="n">
        <v>0</v>
      </c>
      <c r="M4918" t="n">
        <v>0</v>
      </c>
      <c r="N4918" t="n">
        <v>0</v>
      </c>
      <c r="O4918" t="n">
        <v>0</v>
      </c>
      <c r="P4918" t="n">
        <v>0</v>
      </c>
      <c r="Q4918" t="n">
        <v>0</v>
      </c>
      <c r="R4918" s="2" t="inlineStr"/>
    </row>
    <row r="4919" ht="15" customHeight="1">
      <c r="A4919" t="inlineStr">
        <is>
          <t>A 30835-2020</t>
        </is>
      </c>
      <c r="B4919" s="1" t="n">
        <v>44011</v>
      </c>
      <c r="C4919" s="1" t="n">
        <v>45212</v>
      </c>
      <c r="D4919" t="inlineStr">
        <is>
          <t>VÄSTRA GÖTALANDS LÄN</t>
        </is>
      </c>
      <c r="E4919" t="inlineStr">
        <is>
          <t>MUNKEDAL</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31092-2020</t>
        </is>
      </c>
      <c r="B4920" s="1" t="n">
        <v>44012</v>
      </c>
      <c r="C4920" s="1" t="n">
        <v>45212</v>
      </c>
      <c r="D4920" t="inlineStr">
        <is>
          <t>VÄSTRA GÖTALANDS LÄN</t>
        </is>
      </c>
      <c r="E4920" t="inlineStr">
        <is>
          <t>TIDAHOLM</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31068-2020</t>
        </is>
      </c>
      <c r="B4921" s="1" t="n">
        <v>44012</v>
      </c>
      <c r="C4921" s="1" t="n">
        <v>45212</v>
      </c>
      <c r="D4921" t="inlineStr">
        <is>
          <t>VÄSTRA GÖTALANDS LÄN</t>
        </is>
      </c>
      <c r="E4921" t="inlineStr">
        <is>
          <t>UDDEVALLA</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31220-2020</t>
        </is>
      </c>
      <c r="B4922" s="1" t="n">
        <v>44012</v>
      </c>
      <c r="C4922" s="1" t="n">
        <v>45212</v>
      </c>
      <c r="D4922" t="inlineStr">
        <is>
          <t>VÄSTRA GÖTALANDS LÄN</t>
        </is>
      </c>
      <c r="E4922" t="inlineStr">
        <is>
          <t>UDDEVALLA</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31254-2020</t>
        </is>
      </c>
      <c r="B4923" s="1" t="n">
        <v>44012</v>
      </c>
      <c r="C4923" s="1" t="n">
        <v>45212</v>
      </c>
      <c r="D4923" t="inlineStr">
        <is>
          <t>VÄSTRA GÖTALANDS LÄN</t>
        </is>
      </c>
      <c r="E4923" t="inlineStr">
        <is>
          <t>BORÅS</t>
        </is>
      </c>
      <c r="G4923" t="n">
        <v>5.1</v>
      </c>
      <c r="H4923" t="n">
        <v>0</v>
      </c>
      <c r="I4923" t="n">
        <v>0</v>
      </c>
      <c r="J4923" t="n">
        <v>0</v>
      </c>
      <c r="K4923" t="n">
        <v>0</v>
      </c>
      <c r="L4923" t="n">
        <v>0</v>
      </c>
      <c r="M4923" t="n">
        <v>0</v>
      </c>
      <c r="N4923" t="n">
        <v>0</v>
      </c>
      <c r="O4923" t="n">
        <v>0</v>
      </c>
      <c r="P4923" t="n">
        <v>0</v>
      </c>
      <c r="Q4923" t="n">
        <v>0</v>
      </c>
      <c r="R4923" s="2" t="inlineStr"/>
    </row>
    <row r="4924" ht="15" customHeight="1">
      <c r="A4924" t="inlineStr">
        <is>
          <t>A 31260-2020</t>
        </is>
      </c>
      <c r="B4924" s="1" t="n">
        <v>44012</v>
      </c>
      <c r="C4924" s="1" t="n">
        <v>45212</v>
      </c>
      <c r="D4924" t="inlineStr">
        <is>
          <t>VÄSTRA GÖTALANDS LÄN</t>
        </is>
      </c>
      <c r="E4924" t="inlineStr">
        <is>
          <t>BORÅS</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31400-2020</t>
        </is>
      </c>
      <c r="B4925" s="1" t="n">
        <v>44012</v>
      </c>
      <c r="C4925" s="1" t="n">
        <v>45212</v>
      </c>
      <c r="D4925" t="inlineStr">
        <is>
          <t>VÄSTRA GÖTALANDS LÄN</t>
        </is>
      </c>
      <c r="E4925" t="inlineStr">
        <is>
          <t>LIDKÖPING</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31267-2020</t>
        </is>
      </c>
      <c r="B4926" s="1" t="n">
        <v>44012</v>
      </c>
      <c r="C4926" s="1" t="n">
        <v>45212</v>
      </c>
      <c r="D4926" t="inlineStr">
        <is>
          <t>VÄSTRA GÖTALANDS LÄN</t>
        </is>
      </c>
      <c r="E4926" t="inlineStr">
        <is>
          <t>FALKÖPING</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31066-2020</t>
        </is>
      </c>
      <c r="B4927" s="1" t="n">
        <v>44012</v>
      </c>
      <c r="C4927" s="1" t="n">
        <v>45212</v>
      </c>
      <c r="D4927" t="inlineStr">
        <is>
          <t>VÄSTRA GÖTALANDS LÄN</t>
        </is>
      </c>
      <c r="E4927" t="inlineStr">
        <is>
          <t>UDDEVALLA</t>
        </is>
      </c>
      <c r="G4927" t="n">
        <v>7.6</v>
      </c>
      <c r="H4927" t="n">
        <v>0</v>
      </c>
      <c r="I4927" t="n">
        <v>0</v>
      </c>
      <c r="J4927" t="n">
        <v>0</v>
      </c>
      <c r="K4927" t="n">
        <v>0</v>
      </c>
      <c r="L4927" t="n">
        <v>0</v>
      </c>
      <c r="M4927" t="n">
        <v>0</v>
      </c>
      <c r="N4927" t="n">
        <v>0</v>
      </c>
      <c r="O4927" t="n">
        <v>0</v>
      </c>
      <c r="P4927" t="n">
        <v>0</v>
      </c>
      <c r="Q4927" t="n">
        <v>0</v>
      </c>
      <c r="R4927" s="2" t="inlineStr"/>
    </row>
    <row r="4928" ht="15" customHeight="1">
      <c r="A4928" t="inlineStr">
        <is>
          <t>A 31099-2020</t>
        </is>
      </c>
      <c r="B4928" s="1" t="n">
        <v>44012</v>
      </c>
      <c r="C4928" s="1" t="n">
        <v>45212</v>
      </c>
      <c r="D4928" t="inlineStr">
        <is>
          <t>VÄSTRA GÖTALANDS LÄN</t>
        </is>
      </c>
      <c r="E4928" t="inlineStr">
        <is>
          <t>SKARA</t>
        </is>
      </c>
      <c r="G4928" t="n">
        <v>2.8</v>
      </c>
      <c r="H4928" t="n">
        <v>0</v>
      </c>
      <c r="I4928" t="n">
        <v>0</v>
      </c>
      <c r="J4928" t="n">
        <v>0</v>
      </c>
      <c r="K4928" t="n">
        <v>0</v>
      </c>
      <c r="L4928" t="n">
        <v>0</v>
      </c>
      <c r="M4928" t="n">
        <v>0</v>
      </c>
      <c r="N4928" t="n">
        <v>0</v>
      </c>
      <c r="O4928" t="n">
        <v>0</v>
      </c>
      <c r="P4928" t="n">
        <v>0</v>
      </c>
      <c r="Q4928" t="n">
        <v>0</v>
      </c>
      <c r="R4928" s="2" t="inlineStr"/>
    </row>
    <row r="4929" ht="15" customHeight="1">
      <c r="A4929" t="inlineStr">
        <is>
          <t>A 31128-2020</t>
        </is>
      </c>
      <c r="B4929" s="1" t="n">
        <v>44012</v>
      </c>
      <c r="C4929" s="1" t="n">
        <v>45212</v>
      </c>
      <c r="D4929" t="inlineStr">
        <is>
          <t>VÄSTRA GÖTALANDS LÄN</t>
        </is>
      </c>
      <c r="E4929" t="inlineStr">
        <is>
          <t>VÄNERSBORG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31191-2020</t>
        </is>
      </c>
      <c r="B4930" s="1" t="n">
        <v>44012</v>
      </c>
      <c r="C4930" s="1" t="n">
        <v>45212</v>
      </c>
      <c r="D4930" t="inlineStr">
        <is>
          <t>VÄSTRA GÖTALANDS LÄN</t>
        </is>
      </c>
      <c r="E4930" t="inlineStr">
        <is>
          <t>BENGTSFORS</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31364-2020</t>
        </is>
      </c>
      <c r="B4931" s="1" t="n">
        <v>44013</v>
      </c>
      <c r="C4931" s="1" t="n">
        <v>45212</v>
      </c>
      <c r="D4931" t="inlineStr">
        <is>
          <t>VÄSTRA GÖTALANDS LÄN</t>
        </is>
      </c>
      <c r="E4931" t="inlineStr">
        <is>
          <t>FÄRGELANDA</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31460-2020</t>
        </is>
      </c>
      <c r="B4932" s="1" t="n">
        <v>44013</v>
      </c>
      <c r="C4932" s="1" t="n">
        <v>45212</v>
      </c>
      <c r="D4932" t="inlineStr">
        <is>
          <t>VÄSTRA GÖTALANDS LÄN</t>
        </is>
      </c>
      <c r="E4932" t="inlineStr">
        <is>
          <t>ALINGSÅS</t>
        </is>
      </c>
      <c r="G4932" t="n">
        <v>17.7</v>
      </c>
      <c r="H4932" t="n">
        <v>0</v>
      </c>
      <c r="I4932" t="n">
        <v>0</v>
      </c>
      <c r="J4932" t="n">
        <v>0</v>
      </c>
      <c r="K4932" t="n">
        <v>0</v>
      </c>
      <c r="L4932" t="n">
        <v>0</v>
      </c>
      <c r="M4932" t="n">
        <v>0</v>
      </c>
      <c r="N4932" t="n">
        <v>0</v>
      </c>
      <c r="O4932" t="n">
        <v>0</v>
      </c>
      <c r="P4932" t="n">
        <v>0</v>
      </c>
      <c r="Q4932" t="n">
        <v>0</v>
      </c>
      <c r="R4932" s="2" t="inlineStr"/>
    </row>
    <row r="4933" ht="15" customHeight="1">
      <c r="A4933" t="inlineStr">
        <is>
          <t>A 31365-2020</t>
        </is>
      </c>
      <c r="B4933" s="1" t="n">
        <v>44013</v>
      </c>
      <c r="C4933" s="1" t="n">
        <v>45212</v>
      </c>
      <c r="D4933" t="inlineStr">
        <is>
          <t>VÄSTRA GÖTALANDS LÄN</t>
        </is>
      </c>
      <c r="E4933" t="inlineStr">
        <is>
          <t>FÄRGELANDA</t>
        </is>
      </c>
      <c r="G4933" t="n">
        <v>6.6</v>
      </c>
      <c r="H4933" t="n">
        <v>0</v>
      </c>
      <c r="I4933" t="n">
        <v>0</v>
      </c>
      <c r="J4933" t="n">
        <v>0</v>
      </c>
      <c r="K4933" t="n">
        <v>0</v>
      </c>
      <c r="L4933" t="n">
        <v>0</v>
      </c>
      <c r="M4933" t="n">
        <v>0</v>
      </c>
      <c r="N4933" t="n">
        <v>0</v>
      </c>
      <c r="O4933" t="n">
        <v>0</v>
      </c>
      <c r="P4933" t="n">
        <v>0</v>
      </c>
      <c r="Q4933" t="n">
        <v>0</v>
      </c>
      <c r="R4933" s="2" t="inlineStr"/>
    </row>
    <row r="4934" ht="15" customHeight="1">
      <c r="A4934" t="inlineStr">
        <is>
          <t>A 31476-2020</t>
        </is>
      </c>
      <c r="B4934" s="1" t="n">
        <v>44013</v>
      </c>
      <c r="C4934" s="1" t="n">
        <v>45212</v>
      </c>
      <c r="D4934" t="inlineStr">
        <is>
          <t>VÄSTRA GÖTALANDS LÄN</t>
        </is>
      </c>
      <c r="E4934" t="inlineStr">
        <is>
          <t>LILLA EDET</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31523-2020</t>
        </is>
      </c>
      <c r="B4935" s="1" t="n">
        <v>44013</v>
      </c>
      <c r="C4935" s="1" t="n">
        <v>45212</v>
      </c>
      <c r="D4935" t="inlineStr">
        <is>
          <t>VÄSTRA GÖTALANDS LÄN</t>
        </is>
      </c>
      <c r="E4935" t="inlineStr">
        <is>
          <t>BORÅS</t>
        </is>
      </c>
      <c r="F4935" t="inlineStr">
        <is>
          <t>Kommuner</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31466-2020</t>
        </is>
      </c>
      <c r="B4936" s="1" t="n">
        <v>44013</v>
      </c>
      <c r="C4936" s="1" t="n">
        <v>45212</v>
      </c>
      <c r="D4936" t="inlineStr">
        <is>
          <t>VÄSTRA GÖTALANDS LÄN</t>
        </is>
      </c>
      <c r="E4936" t="inlineStr">
        <is>
          <t>ALINGSÅS</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31959-2020</t>
        </is>
      </c>
      <c r="B4937" s="1" t="n">
        <v>44014</v>
      </c>
      <c r="C4937" s="1" t="n">
        <v>45212</v>
      </c>
      <c r="D4937" t="inlineStr">
        <is>
          <t>VÄSTRA GÖTALANDS LÄN</t>
        </is>
      </c>
      <c r="E4937" t="inlineStr">
        <is>
          <t>BOLLEBYGD</t>
        </is>
      </c>
      <c r="G4937" t="n">
        <v>3.2</v>
      </c>
      <c r="H4937" t="n">
        <v>0</v>
      </c>
      <c r="I4937" t="n">
        <v>0</v>
      </c>
      <c r="J4937" t="n">
        <v>0</v>
      </c>
      <c r="K4937" t="n">
        <v>0</v>
      </c>
      <c r="L4937" t="n">
        <v>0</v>
      </c>
      <c r="M4937" t="n">
        <v>0</v>
      </c>
      <c r="N4937" t="n">
        <v>0</v>
      </c>
      <c r="O4937" t="n">
        <v>0</v>
      </c>
      <c r="P4937" t="n">
        <v>0</v>
      </c>
      <c r="Q4937" t="n">
        <v>0</v>
      </c>
      <c r="R4937" s="2" t="inlineStr"/>
    </row>
    <row r="4938" ht="15" customHeight="1">
      <c r="A4938" t="inlineStr">
        <is>
          <t>A 32111-2020</t>
        </is>
      </c>
      <c r="B4938" s="1" t="n">
        <v>44014</v>
      </c>
      <c r="C4938" s="1" t="n">
        <v>45212</v>
      </c>
      <c r="D4938" t="inlineStr">
        <is>
          <t>VÄSTRA GÖTALANDS LÄN</t>
        </is>
      </c>
      <c r="E4938" t="inlineStr">
        <is>
          <t>DALS-ED</t>
        </is>
      </c>
      <c r="F4938" t="inlineStr">
        <is>
          <t>Kyrkan</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31792-2020</t>
        </is>
      </c>
      <c r="B4939" s="1" t="n">
        <v>44014</v>
      </c>
      <c r="C4939" s="1" t="n">
        <v>45212</v>
      </c>
      <c r="D4939" t="inlineStr">
        <is>
          <t>VÄSTRA GÖTALANDS LÄN</t>
        </is>
      </c>
      <c r="E4939" t="inlineStr">
        <is>
          <t>TJÖRN</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31879-2020</t>
        </is>
      </c>
      <c r="B4940" s="1" t="n">
        <v>44014</v>
      </c>
      <c r="C4940" s="1" t="n">
        <v>45212</v>
      </c>
      <c r="D4940" t="inlineStr">
        <is>
          <t>VÄSTRA GÖTALANDS LÄN</t>
        </is>
      </c>
      <c r="E4940" t="inlineStr">
        <is>
          <t>VÄNERSBORG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32100-2020</t>
        </is>
      </c>
      <c r="B4941" s="1" t="n">
        <v>44014</v>
      </c>
      <c r="C4941" s="1" t="n">
        <v>45212</v>
      </c>
      <c r="D4941" t="inlineStr">
        <is>
          <t>VÄSTRA GÖTALANDS LÄN</t>
        </is>
      </c>
      <c r="E4941" t="inlineStr">
        <is>
          <t>DALS-ED</t>
        </is>
      </c>
      <c r="F4941" t="inlineStr">
        <is>
          <t>Kyrkan</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32125-2020</t>
        </is>
      </c>
      <c r="B4942" s="1" t="n">
        <v>44014</v>
      </c>
      <c r="C4942" s="1" t="n">
        <v>45212</v>
      </c>
      <c r="D4942" t="inlineStr">
        <is>
          <t>VÄSTRA GÖTALANDS LÄN</t>
        </is>
      </c>
      <c r="E4942" t="inlineStr">
        <is>
          <t>MUNKEDAL</t>
        </is>
      </c>
      <c r="G4942" t="n">
        <v>3.9</v>
      </c>
      <c r="H4942" t="n">
        <v>0</v>
      </c>
      <c r="I4942" t="n">
        <v>0</v>
      </c>
      <c r="J4942" t="n">
        <v>0</v>
      </c>
      <c r="K4942" t="n">
        <v>0</v>
      </c>
      <c r="L4942" t="n">
        <v>0</v>
      </c>
      <c r="M4942" t="n">
        <v>0</v>
      </c>
      <c r="N4942" t="n">
        <v>0</v>
      </c>
      <c r="O4942" t="n">
        <v>0</v>
      </c>
      <c r="P4942" t="n">
        <v>0</v>
      </c>
      <c r="Q4942" t="n">
        <v>0</v>
      </c>
      <c r="R4942" s="2" t="inlineStr"/>
    </row>
    <row r="4943" ht="15" customHeight="1">
      <c r="A4943" t="inlineStr">
        <is>
          <t>A 31713-2020</t>
        </is>
      </c>
      <c r="B4943" s="1" t="n">
        <v>44014</v>
      </c>
      <c r="C4943" s="1" t="n">
        <v>45212</v>
      </c>
      <c r="D4943" t="inlineStr">
        <is>
          <t>VÄSTRA GÖTALANDS LÄN</t>
        </is>
      </c>
      <c r="E4943" t="inlineStr">
        <is>
          <t>MUNKEDAL</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31795-2020</t>
        </is>
      </c>
      <c r="B4944" s="1" t="n">
        <v>44014</v>
      </c>
      <c r="C4944" s="1" t="n">
        <v>45212</v>
      </c>
      <c r="D4944" t="inlineStr">
        <is>
          <t>VÄSTRA GÖTALANDS LÄN</t>
        </is>
      </c>
      <c r="E4944" t="inlineStr">
        <is>
          <t>TJÖRN</t>
        </is>
      </c>
      <c r="G4944" t="n">
        <v>4.8</v>
      </c>
      <c r="H4944" t="n">
        <v>0</v>
      </c>
      <c r="I4944" t="n">
        <v>0</v>
      </c>
      <c r="J4944" t="n">
        <v>0</v>
      </c>
      <c r="K4944" t="n">
        <v>0</v>
      </c>
      <c r="L4944" t="n">
        <v>0</v>
      </c>
      <c r="M4944" t="n">
        <v>0</v>
      </c>
      <c r="N4944" t="n">
        <v>0</v>
      </c>
      <c r="O4944" t="n">
        <v>0</v>
      </c>
      <c r="P4944" t="n">
        <v>0</v>
      </c>
      <c r="Q4944" t="n">
        <v>0</v>
      </c>
      <c r="R4944" s="2" t="inlineStr"/>
    </row>
    <row r="4945" ht="15" customHeight="1">
      <c r="A4945" t="inlineStr">
        <is>
          <t>A 31941-2020</t>
        </is>
      </c>
      <c r="B4945" s="1" t="n">
        <v>44014</v>
      </c>
      <c r="C4945" s="1" t="n">
        <v>45212</v>
      </c>
      <c r="D4945" t="inlineStr">
        <is>
          <t>VÄSTRA GÖTALANDS LÄN</t>
        </is>
      </c>
      <c r="E4945" t="inlineStr">
        <is>
          <t>MELLERUD</t>
        </is>
      </c>
      <c r="G4945" t="n">
        <v>2.1</v>
      </c>
      <c r="H4945" t="n">
        <v>0</v>
      </c>
      <c r="I4945" t="n">
        <v>0</v>
      </c>
      <c r="J4945" t="n">
        <v>0</v>
      </c>
      <c r="K4945" t="n">
        <v>0</v>
      </c>
      <c r="L4945" t="n">
        <v>0</v>
      </c>
      <c r="M4945" t="n">
        <v>0</v>
      </c>
      <c r="N4945" t="n">
        <v>0</v>
      </c>
      <c r="O4945" t="n">
        <v>0</v>
      </c>
      <c r="P4945" t="n">
        <v>0</v>
      </c>
      <c r="Q4945" t="n">
        <v>0</v>
      </c>
      <c r="R4945" s="2" t="inlineStr"/>
    </row>
    <row r="4946" ht="15" customHeight="1">
      <c r="A4946" t="inlineStr">
        <is>
          <t>A 32124-2020</t>
        </is>
      </c>
      <c r="B4946" s="1" t="n">
        <v>44014</v>
      </c>
      <c r="C4946" s="1" t="n">
        <v>45212</v>
      </c>
      <c r="D4946" t="inlineStr">
        <is>
          <t>VÄSTRA GÖTALANDS LÄN</t>
        </is>
      </c>
      <c r="E4946" t="inlineStr">
        <is>
          <t>MUNKEDAL</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32062-2020</t>
        </is>
      </c>
      <c r="B4947" s="1" t="n">
        <v>44015</v>
      </c>
      <c r="C4947" s="1" t="n">
        <v>45212</v>
      </c>
      <c r="D4947" t="inlineStr">
        <is>
          <t>VÄSTRA GÖTALANDS LÄN</t>
        </is>
      </c>
      <c r="E4947" t="inlineStr">
        <is>
          <t>SVENLJUNGA</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32191-2020</t>
        </is>
      </c>
      <c r="B4948" s="1" t="n">
        <v>44015</v>
      </c>
      <c r="C4948" s="1" t="n">
        <v>45212</v>
      </c>
      <c r="D4948" t="inlineStr">
        <is>
          <t>VÄSTRA GÖTALANDS LÄN</t>
        </is>
      </c>
      <c r="E4948" t="inlineStr">
        <is>
          <t>BENGTSFORS</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32082-2020</t>
        </is>
      </c>
      <c r="B4949" s="1" t="n">
        <v>44015</v>
      </c>
      <c r="C4949" s="1" t="n">
        <v>45212</v>
      </c>
      <c r="D4949" t="inlineStr">
        <is>
          <t>VÄSTRA GÖTALANDS LÄN</t>
        </is>
      </c>
      <c r="E4949" t="inlineStr">
        <is>
          <t>MUNKEDAL</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32021-2020</t>
        </is>
      </c>
      <c r="B4950" s="1" t="n">
        <v>44015</v>
      </c>
      <c r="C4950" s="1" t="n">
        <v>45212</v>
      </c>
      <c r="D4950" t="inlineStr">
        <is>
          <t>VÄSTRA GÖTALANDS LÄN</t>
        </is>
      </c>
      <c r="E4950" t="inlineStr">
        <is>
          <t>MARIESTAD</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32121-2020</t>
        </is>
      </c>
      <c r="B4951" s="1" t="n">
        <v>44015</v>
      </c>
      <c r="C4951" s="1" t="n">
        <v>45212</v>
      </c>
      <c r="D4951" t="inlineStr">
        <is>
          <t>VÄSTRA GÖTALANDS LÄN</t>
        </is>
      </c>
      <c r="E4951" t="inlineStr">
        <is>
          <t>TIDAHOLM</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32337-2020</t>
        </is>
      </c>
      <c r="B4952" s="1" t="n">
        <v>44016</v>
      </c>
      <c r="C4952" s="1" t="n">
        <v>45212</v>
      </c>
      <c r="D4952" t="inlineStr">
        <is>
          <t>VÄSTRA GÖTALANDS LÄN</t>
        </is>
      </c>
      <c r="E4952" t="inlineStr">
        <is>
          <t>FÄRGELANDA</t>
        </is>
      </c>
      <c r="G4952" t="n">
        <v>4.3</v>
      </c>
      <c r="H4952" t="n">
        <v>0</v>
      </c>
      <c r="I4952" t="n">
        <v>0</v>
      </c>
      <c r="J4952" t="n">
        <v>0</v>
      </c>
      <c r="K4952" t="n">
        <v>0</v>
      </c>
      <c r="L4952" t="n">
        <v>0</v>
      </c>
      <c r="M4952" t="n">
        <v>0</v>
      </c>
      <c r="N4952" t="n">
        <v>0</v>
      </c>
      <c r="O4952" t="n">
        <v>0</v>
      </c>
      <c r="P4952" t="n">
        <v>0</v>
      </c>
      <c r="Q4952" t="n">
        <v>0</v>
      </c>
      <c r="R4952" s="2" t="inlineStr"/>
    </row>
    <row r="4953" ht="15" customHeight="1">
      <c r="A4953" t="inlineStr">
        <is>
          <t>A 32423-2020</t>
        </is>
      </c>
      <c r="B4953" s="1" t="n">
        <v>44018</v>
      </c>
      <c r="C4953" s="1" t="n">
        <v>45212</v>
      </c>
      <c r="D4953" t="inlineStr">
        <is>
          <t>VÄSTRA GÖTALANDS LÄN</t>
        </is>
      </c>
      <c r="E4953" t="inlineStr">
        <is>
          <t>UDDEVALLA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32458-2020</t>
        </is>
      </c>
      <c r="B4954" s="1" t="n">
        <v>44018</v>
      </c>
      <c r="C4954" s="1" t="n">
        <v>45212</v>
      </c>
      <c r="D4954" t="inlineStr">
        <is>
          <t>VÄSTRA GÖTALANDS LÄN</t>
        </is>
      </c>
      <c r="E4954" t="inlineStr">
        <is>
          <t>BOLLEBYGD</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32543-2020</t>
        </is>
      </c>
      <c r="B4955" s="1" t="n">
        <v>44018</v>
      </c>
      <c r="C4955" s="1" t="n">
        <v>45212</v>
      </c>
      <c r="D4955" t="inlineStr">
        <is>
          <t>VÄSTRA GÖTALANDS LÄN</t>
        </is>
      </c>
      <c r="E4955" t="inlineStr">
        <is>
          <t>TANUM</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32569-2020</t>
        </is>
      </c>
      <c r="B4956" s="1" t="n">
        <v>44018</v>
      </c>
      <c r="C4956" s="1" t="n">
        <v>45212</v>
      </c>
      <c r="D4956" t="inlineStr">
        <is>
          <t>VÄSTRA GÖTALANDS LÄN</t>
        </is>
      </c>
      <c r="E4956" t="inlineStr">
        <is>
          <t>TANUM</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32656-2020</t>
        </is>
      </c>
      <c r="B4957" s="1" t="n">
        <v>44018</v>
      </c>
      <c r="C4957" s="1" t="n">
        <v>45212</v>
      </c>
      <c r="D4957" t="inlineStr">
        <is>
          <t>VÄSTRA GÖTALANDS LÄN</t>
        </is>
      </c>
      <c r="E4957" t="inlineStr">
        <is>
          <t>GULLSPÅNG</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32913-2020</t>
        </is>
      </c>
      <c r="B4958" s="1" t="n">
        <v>44018</v>
      </c>
      <c r="C4958" s="1" t="n">
        <v>45212</v>
      </c>
      <c r="D4958" t="inlineStr">
        <is>
          <t>VÄSTRA GÖTALANDS LÄN</t>
        </is>
      </c>
      <c r="E4958" t="inlineStr">
        <is>
          <t>SKÖVDE</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32443-2020</t>
        </is>
      </c>
      <c r="B4959" s="1" t="n">
        <v>44018</v>
      </c>
      <c r="C4959" s="1" t="n">
        <v>45212</v>
      </c>
      <c r="D4959" t="inlineStr">
        <is>
          <t>VÄSTRA GÖTALANDS LÄN</t>
        </is>
      </c>
      <c r="E4959" t="inlineStr">
        <is>
          <t>BOLLEBYGD</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32576-2020</t>
        </is>
      </c>
      <c r="B4960" s="1" t="n">
        <v>44018</v>
      </c>
      <c r="C4960" s="1" t="n">
        <v>45212</v>
      </c>
      <c r="D4960" t="inlineStr">
        <is>
          <t>VÄSTRA GÖTALANDS LÄN</t>
        </is>
      </c>
      <c r="E4960" t="inlineStr">
        <is>
          <t>SVENLJUNGA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32706-2020</t>
        </is>
      </c>
      <c r="B4961" s="1" t="n">
        <v>44018</v>
      </c>
      <c r="C4961" s="1" t="n">
        <v>45212</v>
      </c>
      <c r="D4961" t="inlineStr">
        <is>
          <t>VÄSTRA GÖTALANDS LÄN</t>
        </is>
      </c>
      <c r="E4961" t="inlineStr">
        <is>
          <t>BENGTSFORS</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32420-2020</t>
        </is>
      </c>
      <c r="B4962" s="1" t="n">
        <v>44018</v>
      </c>
      <c r="C4962" s="1" t="n">
        <v>45212</v>
      </c>
      <c r="D4962" t="inlineStr">
        <is>
          <t>VÄSTRA GÖTALANDS LÄN</t>
        </is>
      </c>
      <c r="E4962" t="inlineStr">
        <is>
          <t>UDDEVALLA</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32518-2020</t>
        </is>
      </c>
      <c r="B4963" s="1" t="n">
        <v>44018</v>
      </c>
      <c r="C4963" s="1" t="n">
        <v>45212</v>
      </c>
      <c r="D4963" t="inlineStr">
        <is>
          <t>VÄSTRA GÖTALANDS LÄN</t>
        </is>
      </c>
      <c r="E4963" t="inlineStr">
        <is>
          <t>MARK</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32609-2020</t>
        </is>
      </c>
      <c r="B4964" s="1" t="n">
        <v>44019</v>
      </c>
      <c r="C4964" s="1" t="n">
        <v>45212</v>
      </c>
      <c r="D4964" t="inlineStr">
        <is>
          <t>VÄSTRA GÖTALANDS LÄN</t>
        </is>
      </c>
      <c r="E4964" t="inlineStr">
        <is>
          <t>STRÖMSTAD</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33037-2020</t>
        </is>
      </c>
      <c r="B4965" s="1" t="n">
        <v>44019</v>
      </c>
      <c r="C4965" s="1" t="n">
        <v>45212</v>
      </c>
      <c r="D4965" t="inlineStr">
        <is>
          <t>VÄSTRA GÖTALANDS LÄN</t>
        </is>
      </c>
      <c r="E4965" t="inlineStr">
        <is>
          <t>MARK</t>
        </is>
      </c>
      <c r="F4965" t="inlineStr">
        <is>
          <t>Kyrkan</t>
        </is>
      </c>
      <c r="G4965" t="n">
        <v>2.9</v>
      </c>
      <c r="H4965" t="n">
        <v>0</v>
      </c>
      <c r="I4965" t="n">
        <v>0</v>
      </c>
      <c r="J4965" t="n">
        <v>0</v>
      </c>
      <c r="K4965" t="n">
        <v>0</v>
      </c>
      <c r="L4965" t="n">
        <v>0</v>
      </c>
      <c r="M4965" t="n">
        <v>0</v>
      </c>
      <c r="N4965" t="n">
        <v>0</v>
      </c>
      <c r="O4965" t="n">
        <v>0</v>
      </c>
      <c r="P4965" t="n">
        <v>0</v>
      </c>
      <c r="Q4965" t="n">
        <v>0</v>
      </c>
      <c r="R4965" s="2" t="inlineStr"/>
    </row>
    <row r="4966" ht="15" customHeight="1">
      <c r="A4966" t="inlineStr">
        <is>
          <t>A 32624-2020</t>
        </is>
      </c>
      <c r="B4966" s="1" t="n">
        <v>44019</v>
      </c>
      <c r="C4966" s="1" t="n">
        <v>45212</v>
      </c>
      <c r="D4966" t="inlineStr">
        <is>
          <t>VÄSTRA GÖTALANDS LÄN</t>
        </is>
      </c>
      <c r="E4966" t="inlineStr">
        <is>
          <t>FÄRGELANDA</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32640-2020</t>
        </is>
      </c>
      <c r="B4967" s="1" t="n">
        <v>44019</v>
      </c>
      <c r="C4967" s="1" t="n">
        <v>45212</v>
      </c>
      <c r="D4967" t="inlineStr">
        <is>
          <t>VÄSTRA GÖTALANDS LÄN</t>
        </is>
      </c>
      <c r="E4967" t="inlineStr">
        <is>
          <t>FÄRGELANDA</t>
        </is>
      </c>
      <c r="G4967" t="n">
        <v>5.3</v>
      </c>
      <c r="H4967" t="n">
        <v>0</v>
      </c>
      <c r="I4967" t="n">
        <v>0</v>
      </c>
      <c r="J4967" t="n">
        <v>0</v>
      </c>
      <c r="K4967" t="n">
        <v>0</v>
      </c>
      <c r="L4967" t="n">
        <v>0</v>
      </c>
      <c r="M4967" t="n">
        <v>0</v>
      </c>
      <c r="N4967" t="n">
        <v>0</v>
      </c>
      <c r="O4967" t="n">
        <v>0</v>
      </c>
      <c r="P4967" t="n">
        <v>0</v>
      </c>
      <c r="Q4967" t="n">
        <v>0</v>
      </c>
      <c r="R4967" s="2" t="inlineStr"/>
    </row>
    <row r="4968" ht="15" customHeight="1">
      <c r="A4968" t="inlineStr">
        <is>
          <t>A 33041-2020</t>
        </is>
      </c>
      <c r="B4968" s="1" t="n">
        <v>44019</v>
      </c>
      <c r="C4968" s="1" t="n">
        <v>45212</v>
      </c>
      <c r="D4968" t="inlineStr">
        <is>
          <t>VÄSTRA GÖTALANDS LÄN</t>
        </is>
      </c>
      <c r="E4968" t="inlineStr">
        <is>
          <t>MARK</t>
        </is>
      </c>
      <c r="F4968" t="inlineStr">
        <is>
          <t>Kyrkan</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32621-2020</t>
        </is>
      </c>
      <c r="B4969" s="1" t="n">
        <v>44019</v>
      </c>
      <c r="C4969" s="1" t="n">
        <v>45212</v>
      </c>
      <c r="D4969" t="inlineStr">
        <is>
          <t>VÄSTRA GÖTALANDS LÄN</t>
        </is>
      </c>
      <c r="E4969" t="inlineStr">
        <is>
          <t>FÄRGELANDA</t>
        </is>
      </c>
      <c r="G4969" t="n">
        <v>9.800000000000001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32617-2020</t>
        </is>
      </c>
      <c r="B4970" s="1" t="n">
        <v>44019</v>
      </c>
      <c r="C4970" s="1" t="n">
        <v>45212</v>
      </c>
      <c r="D4970" t="inlineStr">
        <is>
          <t>VÄSTRA GÖTALANDS LÄN</t>
        </is>
      </c>
      <c r="E4970" t="inlineStr">
        <is>
          <t>STENUNGSUND</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33015-2020</t>
        </is>
      </c>
      <c r="B4971" s="1" t="n">
        <v>44020</v>
      </c>
      <c r="C4971" s="1" t="n">
        <v>45212</v>
      </c>
      <c r="D4971" t="inlineStr">
        <is>
          <t>VÄSTRA GÖTALANDS LÄN</t>
        </is>
      </c>
      <c r="E4971" t="inlineStr">
        <is>
          <t>MARK</t>
        </is>
      </c>
      <c r="F4971" t="inlineStr">
        <is>
          <t>Sveaskog</t>
        </is>
      </c>
      <c r="G4971" t="n">
        <v>5.8</v>
      </c>
      <c r="H4971" t="n">
        <v>0</v>
      </c>
      <c r="I4971" t="n">
        <v>0</v>
      </c>
      <c r="J4971" t="n">
        <v>0</v>
      </c>
      <c r="K4971" t="n">
        <v>0</v>
      </c>
      <c r="L4971" t="n">
        <v>0</v>
      </c>
      <c r="M4971" t="n">
        <v>0</v>
      </c>
      <c r="N4971" t="n">
        <v>0</v>
      </c>
      <c r="O4971" t="n">
        <v>0</v>
      </c>
      <c r="P4971" t="n">
        <v>0</v>
      </c>
      <c r="Q4971" t="n">
        <v>0</v>
      </c>
      <c r="R4971" s="2" t="inlineStr"/>
    </row>
    <row r="4972" ht="15" customHeight="1">
      <c r="A4972" t="inlineStr">
        <is>
          <t>A 33016-2020</t>
        </is>
      </c>
      <c r="B4972" s="1" t="n">
        <v>44020</v>
      </c>
      <c r="C4972" s="1" t="n">
        <v>45212</v>
      </c>
      <c r="D4972" t="inlineStr">
        <is>
          <t>VÄSTRA GÖTALANDS LÄN</t>
        </is>
      </c>
      <c r="E4972" t="inlineStr">
        <is>
          <t>MARK</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32868-2020</t>
        </is>
      </c>
      <c r="B4973" s="1" t="n">
        <v>44020</v>
      </c>
      <c r="C4973" s="1" t="n">
        <v>45212</v>
      </c>
      <c r="D4973" t="inlineStr">
        <is>
          <t>VÄSTRA GÖTALANDS LÄN</t>
        </is>
      </c>
      <c r="E4973" t="inlineStr">
        <is>
          <t>TROLLHÄTTAN</t>
        </is>
      </c>
      <c r="G4973" t="n">
        <v>14</v>
      </c>
      <c r="H4973" t="n">
        <v>0</v>
      </c>
      <c r="I4973" t="n">
        <v>0</v>
      </c>
      <c r="J4973" t="n">
        <v>0</v>
      </c>
      <c r="K4973" t="n">
        <v>0</v>
      </c>
      <c r="L4973" t="n">
        <v>0</v>
      </c>
      <c r="M4973" t="n">
        <v>0</v>
      </c>
      <c r="N4973" t="n">
        <v>0</v>
      </c>
      <c r="O4973" t="n">
        <v>0</v>
      </c>
      <c r="P4973" t="n">
        <v>0</v>
      </c>
      <c r="Q4973" t="n">
        <v>0</v>
      </c>
      <c r="R4973" s="2" t="inlineStr"/>
    </row>
    <row r="4974" ht="15" customHeight="1">
      <c r="A4974" t="inlineStr">
        <is>
          <t>A 32788-2020</t>
        </is>
      </c>
      <c r="B4974" s="1" t="n">
        <v>44020</v>
      </c>
      <c r="C4974" s="1" t="n">
        <v>45212</v>
      </c>
      <c r="D4974" t="inlineStr">
        <is>
          <t>VÄSTRA GÖTALANDS LÄN</t>
        </is>
      </c>
      <c r="E4974" t="inlineStr">
        <is>
          <t>ESSUNGA</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32865-2020</t>
        </is>
      </c>
      <c r="B4975" s="1" t="n">
        <v>44020</v>
      </c>
      <c r="C4975" s="1" t="n">
        <v>45212</v>
      </c>
      <c r="D4975" t="inlineStr">
        <is>
          <t>VÄSTRA GÖTALANDS LÄN</t>
        </is>
      </c>
      <c r="E4975" t="inlineStr">
        <is>
          <t>FALKÖPING</t>
        </is>
      </c>
      <c r="G4975" t="n">
        <v>0.1</v>
      </c>
      <c r="H4975" t="n">
        <v>0</v>
      </c>
      <c r="I4975" t="n">
        <v>0</v>
      </c>
      <c r="J4975" t="n">
        <v>0</v>
      </c>
      <c r="K4975" t="n">
        <v>0</v>
      </c>
      <c r="L4975" t="n">
        <v>0</v>
      </c>
      <c r="M4975" t="n">
        <v>0</v>
      </c>
      <c r="N4975" t="n">
        <v>0</v>
      </c>
      <c r="O4975" t="n">
        <v>0</v>
      </c>
      <c r="P4975" t="n">
        <v>0</v>
      </c>
      <c r="Q4975" t="n">
        <v>0</v>
      </c>
      <c r="R4975" s="2" t="inlineStr"/>
    </row>
    <row r="4976" ht="15" customHeight="1">
      <c r="A4976" t="inlineStr">
        <is>
          <t>A 33132-2020</t>
        </is>
      </c>
      <c r="B4976" s="1" t="n">
        <v>44021</v>
      </c>
      <c r="C4976" s="1" t="n">
        <v>45212</v>
      </c>
      <c r="D4976" t="inlineStr">
        <is>
          <t>VÄSTRA GÖTALANDS LÄN</t>
        </is>
      </c>
      <c r="E4976" t="inlineStr">
        <is>
          <t>TIBRO</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33377-2020</t>
        </is>
      </c>
      <c r="B4977" s="1" t="n">
        <v>44021</v>
      </c>
      <c r="C4977" s="1" t="n">
        <v>45212</v>
      </c>
      <c r="D4977" t="inlineStr">
        <is>
          <t>VÄSTRA GÖTALANDS LÄN</t>
        </is>
      </c>
      <c r="E4977" t="inlineStr">
        <is>
          <t>DALS-ED</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33421-2020</t>
        </is>
      </c>
      <c r="B4978" s="1" t="n">
        <v>44021</v>
      </c>
      <c r="C4978" s="1" t="n">
        <v>45212</v>
      </c>
      <c r="D4978" t="inlineStr">
        <is>
          <t>VÄSTRA GÖTALANDS LÄN</t>
        </is>
      </c>
      <c r="E4978" t="inlineStr">
        <is>
          <t>SKÖVDE</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33084-2020</t>
        </is>
      </c>
      <c r="B4979" s="1" t="n">
        <v>44021</v>
      </c>
      <c r="C4979" s="1" t="n">
        <v>45212</v>
      </c>
      <c r="D4979" t="inlineStr">
        <is>
          <t>VÄSTRA GÖTALANDS LÄN</t>
        </is>
      </c>
      <c r="E4979" t="inlineStr">
        <is>
          <t>VÄNERSBORG</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33134-2020</t>
        </is>
      </c>
      <c r="B4980" s="1" t="n">
        <v>44021</v>
      </c>
      <c r="C4980" s="1" t="n">
        <v>45212</v>
      </c>
      <c r="D4980" t="inlineStr">
        <is>
          <t>VÄSTRA GÖTALANDS LÄN</t>
        </is>
      </c>
      <c r="E4980" t="inlineStr">
        <is>
          <t>ESSUNGA</t>
        </is>
      </c>
      <c r="G4980" t="n">
        <v>1.2</v>
      </c>
      <c r="H4980" t="n">
        <v>0</v>
      </c>
      <c r="I4980" t="n">
        <v>0</v>
      </c>
      <c r="J4980" t="n">
        <v>0</v>
      </c>
      <c r="K4980" t="n">
        <v>0</v>
      </c>
      <c r="L4980" t="n">
        <v>0</v>
      </c>
      <c r="M4980" t="n">
        <v>0</v>
      </c>
      <c r="N4980" t="n">
        <v>0</v>
      </c>
      <c r="O4980" t="n">
        <v>0</v>
      </c>
      <c r="P4980" t="n">
        <v>0</v>
      </c>
      <c r="Q4980" t="n">
        <v>0</v>
      </c>
      <c r="R4980" s="2" t="inlineStr"/>
    </row>
    <row r="4981" ht="15" customHeight="1">
      <c r="A4981" t="inlineStr">
        <is>
          <t>A 33420-2020</t>
        </is>
      </c>
      <c r="B4981" s="1" t="n">
        <v>44021</v>
      </c>
      <c r="C4981" s="1" t="n">
        <v>45212</v>
      </c>
      <c r="D4981" t="inlineStr">
        <is>
          <t>VÄSTRA GÖTALANDS LÄN</t>
        </is>
      </c>
      <c r="E4981" t="inlineStr">
        <is>
          <t>SKÖVDE</t>
        </is>
      </c>
      <c r="F4981" t="inlineStr">
        <is>
          <t>Kommuner</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33546-2020</t>
        </is>
      </c>
      <c r="B4982" s="1" t="n">
        <v>44021</v>
      </c>
      <c r="C4982" s="1" t="n">
        <v>45212</v>
      </c>
      <c r="D4982" t="inlineStr">
        <is>
          <t>VÄSTRA GÖTALANDS LÄN</t>
        </is>
      </c>
      <c r="E4982" t="inlineStr">
        <is>
          <t>GRÄSTORP</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33573-2020</t>
        </is>
      </c>
      <c r="B4983" s="1" t="n">
        <v>44021</v>
      </c>
      <c r="C4983" s="1" t="n">
        <v>45212</v>
      </c>
      <c r="D4983" t="inlineStr">
        <is>
          <t>VÄSTRA GÖTALANDS LÄN</t>
        </is>
      </c>
      <c r="E4983" t="inlineStr">
        <is>
          <t>SKÖVDE</t>
        </is>
      </c>
      <c r="F4983" t="inlineStr">
        <is>
          <t>Kommuner</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33394-2020</t>
        </is>
      </c>
      <c r="B4984" s="1" t="n">
        <v>44022</v>
      </c>
      <c r="C4984" s="1" t="n">
        <v>45212</v>
      </c>
      <c r="D4984" t="inlineStr">
        <is>
          <t>VÄSTRA GÖTALANDS LÄN</t>
        </is>
      </c>
      <c r="E4984" t="inlineStr">
        <is>
          <t>SKARA</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33436-2020</t>
        </is>
      </c>
      <c r="B4985" s="1" t="n">
        <v>44022</v>
      </c>
      <c r="C4985" s="1" t="n">
        <v>45212</v>
      </c>
      <c r="D4985" t="inlineStr">
        <is>
          <t>VÄSTRA GÖTALANDS LÄN</t>
        </is>
      </c>
      <c r="E4985" t="inlineStr">
        <is>
          <t>STENUNGSUND</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33706-2020</t>
        </is>
      </c>
      <c r="B4986" s="1" t="n">
        <v>44022</v>
      </c>
      <c r="C4986" s="1" t="n">
        <v>45212</v>
      </c>
      <c r="D4986" t="inlineStr">
        <is>
          <t>VÄSTRA GÖTALANDS LÄN</t>
        </is>
      </c>
      <c r="E4986" t="inlineStr">
        <is>
          <t>DALS-ED</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33692-2020</t>
        </is>
      </c>
      <c r="B4987" s="1" t="n">
        <v>44022</v>
      </c>
      <c r="C4987" s="1" t="n">
        <v>45212</v>
      </c>
      <c r="D4987" t="inlineStr">
        <is>
          <t>VÄSTRA GÖTALANDS LÄN</t>
        </is>
      </c>
      <c r="E4987" t="inlineStr">
        <is>
          <t>GRÄSTORP</t>
        </is>
      </c>
      <c r="G4987" t="n">
        <v>10.3</v>
      </c>
      <c r="H4987" t="n">
        <v>0</v>
      </c>
      <c r="I4987" t="n">
        <v>0</v>
      </c>
      <c r="J4987" t="n">
        <v>0</v>
      </c>
      <c r="K4987" t="n">
        <v>0</v>
      </c>
      <c r="L4987" t="n">
        <v>0</v>
      </c>
      <c r="M4987" t="n">
        <v>0</v>
      </c>
      <c r="N4987" t="n">
        <v>0</v>
      </c>
      <c r="O4987" t="n">
        <v>0</v>
      </c>
      <c r="P4987" t="n">
        <v>0</v>
      </c>
      <c r="Q4987" t="n">
        <v>0</v>
      </c>
      <c r="R4987" s="2" t="inlineStr"/>
    </row>
    <row r="4988" ht="15" customHeight="1">
      <c r="A4988" t="inlineStr">
        <is>
          <t>A 33409-2020</t>
        </is>
      </c>
      <c r="B4988" s="1" t="n">
        <v>44022</v>
      </c>
      <c r="C4988" s="1" t="n">
        <v>45212</v>
      </c>
      <c r="D4988" t="inlineStr">
        <is>
          <t>VÄSTRA GÖTALANDS LÄN</t>
        </is>
      </c>
      <c r="E4988" t="inlineStr">
        <is>
          <t>BOLLEBYGD</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33698-2020</t>
        </is>
      </c>
      <c r="B4989" s="1" t="n">
        <v>44022</v>
      </c>
      <c r="C4989" s="1" t="n">
        <v>45212</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33262-2020</t>
        </is>
      </c>
      <c r="B4990" s="1" t="n">
        <v>44022</v>
      </c>
      <c r="C4990" s="1" t="n">
        <v>45212</v>
      </c>
      <c r="D4990" t="inlineStr">
        <is>
          <t>VÄSTRA GÖTALANDS LÄN</t>
        </is>
      </c>
      <c r="E4990" t="inlineStr">
        <is>
          <t>HÄRRYDA</t>
        </is>
      </c>
      <c r="G4990" t="n">
        <v>3.1</v>
      </c>
      <c r="H4990" t="n">
        <v>0</v>
      </c>
      <c r="I4990" t="n">
        <v>0</v>
      </c>
      <c r="J4990" t="n">
        <v>0</v>
      </c>
      <c r="K4990" t="n">
        <v>0</v>
      </c>
      <c r="L4990" t="n">
        <v>0</v>
      </c>
      <c r="M4990" t="n">
        <v>0</v>
      </c>
      <c r="N4990" t="n">
        <v>0</v>
      </c>
      <c r="O4990" t="n">
        <v>0</v>
      </c>
      <c r="P4990" t="n">
        <v>0</v>
      </c>
      <c r="Q4990" t="n">
        <v>0</v>
      </c>
      <c r="R4990" s="2" t="inlineStr"/>
    </row>
    <row r="4991" ht="15" customHeight="1">
      <c r="A4991" t="inlineStr">
        <is>
          <t>A 33388-2020</t>
        </is>
      </c>
      <c r="B4991" s="1" t="n">
        <v>44022</v>
      </c>
      <c r="C4991" s="1" t="n">
        <v>45212</v>
      </c>
      <c r="D4991" t="inlineStr">
        <is>
          <t>VÄSTRA GÖTALANDS LÄN</t>
        </is>
      </c>
      <c r="E4991" t="inlineStr">
        <is>
          <t>SKARA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33404-2020</t>
        </is>
      </c>
      <c r="B4992" s="1" t="n">
        <v>44022</v>
      </c>
      <c r="C4992" s="1" t="n">
        <v>45212</v>
      </c>
      <c r="D4992" t="inlineStr">
        <is>
          <t>VÄSTRA GÖTALANDS LÄN</t>
        </is>
      </c>
      <c r="E4992" t="inlineStr">
        <is>
          <t>MARK</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33651-2020</t>
        </is>
      </c>
      <c r="B4993" s="1" t="n">
        <v>44022</v>
      </c>
      <c r="C4993" s="1" t="n">
        <v>45212</v>
      </c>
      <c r="D4993" t="inlineStr">
        <is>
          <t>VÄSTRA GÖTALANDS LÄN</t>
        </is>
      </c>
      <c r="E4993" t="inlineStr">
        <is>
          <t>HJO</t>
        </is>
      </c>
      <c r="G4993" t="n">
        <v>0.9</v>
      </c>
      <c r="H4993" t="n">
        <v>0</v>
      </c>
      <c r="I4993" t="n">
        <v>0</v>
      </c>
      <c r="J4993" t="n">
        <v>0</v>
      </c>
      <c r="K4993" t="n">
        <v>0</v>
      </c>
      <c r="L4993" t="n">
        <v>0</v>
      </c>
      <c r="M4993" t="n">
        <v>0</v>
      </c>
      <c r="N4993" t="n">
        <v>0</v>
      </c>
      <c r="O4993" t="n">
        <v>0</v>
      </c>
      <c r="P4993" t="n">
        <v>0</v>
      </c>
      <c r="Q4993" t="n">
        <v>0</v>
      </c>
      <c r="R4993" s="2" t="inlineStr"/>
    </row>
    <row r="4994" ht="15" customHeight="1">
      <c r="A4994" t="inlineStr">
        <is>
          <t>A 33491-2020</t>
        </is>
      </c>
      <c r="B4994" s="1" t="n">
        <v>44024</v>
      </c>
      <c r="C4994" s="1" t="n">
        <v>45212</v>
      </c>
      <c r="D4994" t="inlineStr">
        <is>
          <t>VÄSTRA GÖTALANDS LÄN</t>
        </is>
      </c>
      <c r="E4994" t="inlineStr">
        <is>
          <t>STENUNGSUND</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33481-2020</t>
        </is>
      </c>
      <c r="B4995" s="1" t="n">
        <v>44024</v>
      </c>
      <c r="C4995" s="1" t="n">
        <v>45212</v>
      </c>
      <c r="D4995" t="inlineStr">
        <is>
          <t>VÄSTRA GÖTALANDS LÄN</t>
        </is>
      </c>
      <c r="E4995" t="inlineStr">
        <is>
          <t>HERRLJUNGA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33483-2020</t>
        </is>
      </c>
      <c r="B4996" s="1" t="n">
        <v>44024</v>
      </c>
      <c r="C4996" s="1" t="n">
        <v>45212</v>
      </c>
      <c r="D4996" t="inlineStr">
        <is>
          <t>VÄSTRA GÖTALANDS LÄN</t>
        </is>
      </c>
      <c r="E4996" t="inlineStr">
        <is>
          <t>MARIESTAD</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33490-2020</t>
        </is>
      </c>
      <c r="B4997" s="1" t="n">
        <v>44024</v>
      </c>
      <c r="C4997" s="1" t="n">
        <v>45212</v>
      </c>
      <c r="D4997" t="inlineStr">
        <is>
          <t>VÄSTRA GÖTALANDS LÄN</t>
        </is>
      </c>
      <c r="E4997" t="inlineStr">
        <is>
          <t>FALKÖPING</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33521-2020</t>
        </is>
      </c>
      <c r="B4998" s="1" t="n">
        <v>44025</v>
      </c>
      <c r="C4998" s="1" t="n">
        <v>45212</v>
      </c>
      <c r="D4998" t="inlineStr">
        <is>
          <t>VÄSTRA GÖTALANDS LÄN</t>
        </is>
      </c>
      <c r="E4998" t="inlineStr">
        <is>
          <t>ALINGSÅS</t>
        </is>
      </c>
      <c r="G4998" t="n">
        <v>3.9</v>
      </c>
      <c r="H4998" t="n">
        <v>0</v>
      </c>
      <c r="I4998" t="n">
        <v>0</v>
      </c>
      <c r="J4998" t="n">
        <v>0</v>
      </c>
      <c r="K4998" t="n">
        <v>0</v>
      </c>
      <c r="L4998" t="n">
        <v>0</v>
      </c>
      <c r="M4998" t="n">
        <v>0</v>
      </c>
      <c r="N4998" t="n">
        <v>0</v>
      </c>
      <c r="O4998" t="n">
        <v>0</v>
      </c>
      <c r="P4998" t="n">
        <v>0</v>
      </c>
      <c r="Q4998" t="n">
        <v>0</v>
      </c>
      <c r="R4998" s="2" t="inlineStr"/>
    </row>
    <row r="4999" ht="15" customHeight="1">
      <c r="A4999" t="inlineStr">
        <is>
          <t>A 33674-2020</t>
        </is>
      </c>
      <c r="B4999" s="1" t="n">
        <v>44026</v>
      </c>
      <c r="C4999" s="1" t="n">
        <v>45212</v>
      </c>
      <c r="D4999" t="inlineStr">
        <is>
          <t>VÄSTRA GÖTALANDS LÄN</t>
        </is>
      </c>
      <c r="E4999" t="inlineStr">
        <is>
          <t>VÄNERSBORG</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33656-2020</t>
        </is>
      </c>
      <c r="B5000" s="1" t="n">
        <v>44026</v>
      </c>
      <c r="C5000" s="1" t="n">
        <v>45212</v>
      </c>
      <c r="D5000" t="inlineStr">
        <is>
          <t>VÄSTRA GÖTALANDS LÄN</t>
        </is>
      </c>
      <c r="E5000" t="inlineStr">
        <is>
          <t>GÖTENE</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33700-2020</t>
        </is>
      </c>
      <c r="B5001" s="1" t="n">
        <v>44026</v>
      </c>
      <c r="C5001" s="1" t="n">
        <v>45212</v>
      </c>
      <c r="D5001" t="inlineStr">
        <is>
          <t>VÄSTRA GÖTALANDS LÄN</t>
        </is>
      </c>
      <c r="E5001" t="inlineStr">
        <is>
          <t>VÅRGÅRDA</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34041-2020</t>
        </is>
      </c>
      <c r="B5002" s="1" t="n">
        <v>44028</v>
      </c>
      <c r="C5002" s="1" t="n">
        <v>45212</v>
      </c>
      <c r="D5002" t="inlineStr">
        <is>
          <t>VÄSTRA GÖTALANDS LÄN</t>
        </is>
      </c>
      <c r="E5002" t="inlineStr">
        <is>
          <t>TIBRO</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34358-2020</t>
        </is>
      </c>
      <c r="B5003" s="1" t="n">
        <v>44028</v>
      </c>
      <c r="C5003" s="1" t="n">
        <v>45212</v>
      </c>
      <c r="D5003" t="inlineStr">
        <is>
          <t>VÄSTRA GÖTALANDS LÄN</t>
        </is>
      </c>
      <c r="E5003" t="inlineStr">
        <is>
          <t>MUNKEDAL</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33974-2020</t>
        </is>
      </c>
      <c r="B5004" s="1" t="n">
        <v>44028</v>
      </c>
      <c r="C5004" s="1" t="n">
        <v>45212</v>
      </c>
      <c r="D5004" t="inlineStr">
        <is>
          <t>VÄSTRA GÖTALANDS LÄN</t>
        </is>
      </c>
      <c r="E5004" t="inlineStr">
        <is>
          <t>GRÄSTORP</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34222-2020</t>
        </is>
      </c>
      <c r="B5005" s="1" t="n">
        <v>44029</v>
      </c>
      <c r="C5005" s="1" t="n">
        <v>45212</v>
      </c>
      <c r="D5005" t="inlineStr">
        <is>
          <t>VÄSTRA GÖTALANDS LÄN</t>
        </is>
      </c>
      <c r="E5005" t="inlineStr">
        <is>
          <t>MARIESTAD</t>
        </is>
      </c>
      <c r="F5005" t="inlineStr">
        <is>
          <t>Sveaskog</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34123-2020</t>
        </is>
      </c>
      <c r="B5006" s="1" t="n">
        <v>44029</v>
      </c>
      <c r="C5006" s="1" t="n">
        <v>45212</v>
      </c>
      <c r="D5006" t="inlineStr">
        <is>
          <t>VÄSTRA GÖTALANDS LÄN</t>
        </is>
      </c>
      <c r="E5006" t="inlineStr">
        <is>
          <t>TANUM</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34148-2020</t>
        </is>
      </c>
      <c r="B5007" s="1" t="n">
        <v>44029</v>
      </c>
      <c r="C5007" s="1" t="n">
        <v>45212</v>
      </c>
      <c r="D5007" t="inlineStr">
        <is>
          <t>VÄSTRA GÖTALANDS LÄN</t>
        </is>
      </c>
      <c r="E5007" t="inlineStr">
        <is>
          <t>ÅMÅL</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34145-2020</t>
        </is>
      </c>
      <c r="B5008" s="1" t="n">
        <v>44029</v>
      </c>
      <c r="C5008" s="1" t="n">
        <v>45212</v>
      </c>
      <c r="D5008" t="inlineStr">
        <is>
          <t>VÄSTRA GÖTALANDS LÄN</t>
        </is>
      </c>
      <c r="E5008" t="inlineStr">
        <is>
          <t>ÅMÅL</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34301-2020</t>
        </is>
      </c>
      <c r="B5009" s="1" t="n">
        <v>44031</v>
      </c>
      <c r="C5009" s="1" t="n">
        <v>45212</v>
      </c>
      <c r="D5009" t="inlineStr">
        <is>
          <t>VÄSTRA GÖTALANDS LÄN</t>
        </is>
      </c>
      <c r="E5009" t="inlineStr">
        <is>
          <t>BENGTSFORS</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34540-2020</t>
        </is>
      </c>
      <c r="B5010" s="1" t="n">
        <v>44032</v>
      </c>
      <c r="C5010" s="1" t="n">
        <v>45212</v>
      </c>
      <c r="D5010" t="inlineStr">
        <is>
          <t>VÄSTRA GÖTALANDS LÄN</t>
        </is>
      </c>
      <c r="E5010" t="inlineStr">
        <is>
          <t>FÄRGELANDA</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34556-2020</t>
        </is>
      </c>
      <c r="B5011" s="1" t="n">
        <v>44033</v>
      </c>
      <c r="C5011" s="1" t="n">
        <v>45212</v>
      </c>
      <c r="D5011" t="inlineStr">
        <is>
          <t>VÄSTRA GÖTALANDS LÄN</t>
        </is>
      </c>
      <c r="E5011" t="inlineStr">
        <is>
          <t>BORÅS</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34624-2020</t>
        </is>
      </c>
      <c r="B5012" s="1" t="n">
        <v>44034</v>
      </c>
      <c r="C5012" s="1" t="n">
        <v>45212</v>
      </c>
      <c r="D5012" t="inlineStr">
        <is>
          <t>VÄSTRA GÖTALANDS LÄN</t>
        </is>
      </c>
      <c r="E5012" t="inlineStr">
        <is>
          <t>KARLSBORG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34904-2020</t>
        </is>
      </c>
      <c r="B5013" s="1" t="n">
        <v>44034</v>
      </c>
      <c r="C5013" s="1" t="n">
        <v>45212</v>
      </c>
      <c r="D5013" t="inlineStr">
        <is>
          <t>VÄSTRA GÖTALANDS LÄN</t>
        </is>
      </c>
      <c r="E5013" t="inlineStr">
        <is>
          <t>VARA</t>
        </is>
      </c>
      <c r="G5013" t="n">
        <v>6.7</v>
      </c>
      <c r="H5013" t="n">
        <v>0</v>
      </c>
      <c r="I5013" t="n">
        <v>0</v>
      </c>
      <c r="J5013" t="n">
        <v>0</v>
      </c>
      <c r="K5013" t="n">
        <v>0</v>
      </c>
      <c r="L5013" t="n">
        <v>0</v>
      </c>
      <c r="M5013" t="n">
        <v>0</v>
      </c>
      <c r="N5013" t="n">
        <v>0</v>
      </c>
      <c r="O5013" t="n">
        <v>0</v>
      </c>
      <c r="P5013" t="n">
        <v>0</v>
      </c>
      <c r="Q5013" t="n">
        <v>0</v>
      </c>
      <c r="R5013" s="2" t="inlineStr"/>
    </row>
    <row r="5014" ht="15" customHeight="1">
      <c r="A5014" t="inlineStr">
        <is>
          <t>A 34642-2020</t>
        </is>
      </c>
      <c r="B5014" s="1" t="n">
        <v>44034</v>
      </c>
      <c r="C5014" s="1" t="n">
        <v>45212</v>
      </c>
      <c r="D5014" t="inlineStr">
        <is>
          <t>VÄSTRA GÖTALANDS LÄN</t>
        </is>
      </c>
      <c r="E5014" t="inlineStr">
        <is>
          <t>BENGTSFORS</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34614-2020</t>
        </is>
      </c>
      <c r="B5015" s="1" t="n">
        <v>44034</v>
      </c>
      <c r="C5015" s="1" t="n">
        <v>45212</v>
      </c>
      <c r="D5015" t="inlineStr">
        <is>
          <t>VÄSTRA GÖTALANDS LÄN</t>
        </is>
      </c>
      <c r="E5015" t="inlineStr">
        <is>
          <t>GRÄSTORP</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34671-2020</t>
        </is>
      </c>
      <c r="B5016" s="1" t="n">
        <v>44035</v>
      </c>
      <c r="C5016" s="1" t="n">
        <v>45212</v>
      </c>
      <c r="D5016" t="inlineStr">
        <is>
          <t>VÄSTRA GÖTALANDS LÄN</t>
        </is>
      </c>
      <c r="E5016" t="inlineStr">
        <is>
          <t>MARK</t>
        </is>
      </c>
      <c r="G5016" t="n">
        <v>0.8</v>
      </c>
      <c r="H5016" t="n">
        <v>0</v>
      </c>
      <c r="I5016" t="n">
        <v>0</v>
      </c>
      <c r="J5016" t="n">
        <v>0</v>
      </c>
      <c r="K5016" t="n">
        <v>0</v>
      </c>
      <c r="L5016" t="n">
        <v>0</v>
      </c>
      <c r="M5016" t="n">
        <v>0</v>
      </c>
      <c r="N5016" t="n">
        <v>0</v>
      </c>
      <c r="O5016" t="n">
        <v>0</v>
      </c>
      <c r="P5016" t="n">
        <v>0</v>
      </c>
      <c r="Q5016" t="n">
        <v>0</v>
      </c>
      <c r="R5016" s="2" t="inlineStr"/>
    </row>
    <row r="5017" ht="15" customHeight="1">
      <c r="A5017" t="inlineStr">
        <is>
          <t>A 34811-2020</t>
        </is>
      </c>
      <c r="B5017" s="1" t="n">
        <v>44035</v>
      </c>
      <c r="C5017" s="1" t="n">
        <v>45212</v>
      </c>
      <c r="D5017" t="inlineStr">
        <is>
          <t>VÄSTRA GÖTALANDS LÄN</t>
        </is>
      </c>
      <c r="E5017" t="inlineStr">
        <is>
          <t>SKÖVDE</t>
        </is>
      </c>
      <c r="G5017" t="n">
        <v>1</v>
      </c>
      <c r="H5017" t="n">
        <v>0</v>
      </c>
      <c r="I5017" t="n">
        <v>0</v>
      </c>
      <c r="J5017" t="n">
        <v>0</v>
      </c>
      <c r="K5017" t="n">
        <v>0</v>
      </c>
      <c r="L5017" t="n">
        <v>0</v>
      </c>
      <c r="M5017" t="n">
        <v>0</v>
      </c>
      <c r="N5017" t="n">
        <v>0</v>
      </c>
      <c r="O5017" t="n">
        <v>0</v>
      </c>
      <c r="P5017" t="n">
        <v>0</v>
      </c>
      <c r="Q5017" t="n">
        <v>0</v>
      </c>
      <c r="R5017" s="2" t="inlineStr"/>
    </row>
    <row r="5018" ht="15" customHeight="1">
      <c r="A5018" t="inlineStr">
        <is>
          <t>A 34841-2020</t>
        </is>
      </c>
      <c r="B5018" s="1" t="n">
        <v>44036</v>
      </c>
      <c r="C5018" s="1" t="n">
        <v>45212</v>
      </c>
      <c r="D5018" t="inlineStr">
        <is>
          <t>VÄSTRA GÖTALANDS LÄN</t>
        </is>
      </c>
      <c r="E5018" t="inlineStr">
        <is>
          <t>SVENLJUNGA</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34862-2020</t>
        </is>
      </c>
      <c r="B5019" s="1" t="n">
        <v>44036</v>
      </c>
      <c r="C5019" s="1" t="n">
        <v>45212</v>
      </c>
      <c r="D5019" t="inlineStr">
        <is>
          <t>VÄSTRA GÖTALANDS LÄN</t>
        </is>
      </c>
      <c r="E5019" t="inlineStr">
        <is>
          <t>VÅRGÅRDA</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34905-2020</t>
        </is>
      </c>
      <c r="B5020" s="1" t="n">
        <v>44036</v>
      </c>
      <c r="C5020" s="1" t="n">
        <v>45212</v>
      </c>
      <c r="D5020" t="inlineStr">
        <is>
          <t>VÄSTRA GÖTALANDS LÄN</t>
        </is>
      </c>
      <c r="E5020" t="inlineStr">
        <is>
          <t>SKÖVDE</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34911-2020</t>
        </is>
      </c>
      <c r="B5021" s="1" t="n">
        <v>44036</v>
      </c>
      <c r="C5021" s="1" t="n">
        <v>45212</v>
      </c>
      <c r="D5021" t="inlineStr">
        <is>
          <t>VÄSTRA GÖTALANDS LÄN</t>
        </is>
      </c>
      <c r="E5021" t="inlineStr">
        <is>
          <t>SKÖVDE</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34867-2020</t>
        </is>
      </c>
      <c r="B5022" s="1" t="n">
        <v>44036</v>
      </c>
      <c r="C5022" s="1" t="n">
        <v>45212</v>
      </c>
      <c r="D5022" t="inlineStr">
        <is>
          <t>VÄSTRA GÖTALANDS LÄN</t>
        </is>
      </c>
      <c r="E5022" t="inlineStr">
        <is>
          <t>MÖLNDAL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34824-2020</t>
        </is>
      </c>
      <c r="B5023" s="1" t="n">
        <v>44036</v>
      </c>
      <c r="C5023" s="1" t="n">
        <v>45212</v>
      </c>
      <c r="D5023" t="inlineStr">
        <is>
          <t>VÄSTRA GÖTALANDS LÄN</t>
        </is>
      </c>
      <c r="E5023" t="inlineStr">
        <is>
          <t>UDDEVALLA</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34843-2020</t>
        </is>
      </c>
      <c r="B5024" s="1" t="n">
        <v>44036</v>
      </c>
      <c r="C5024" s="1" t="n">
        <v>45212</v>
      </c>
      <c r="D5024" t="inlineStr">
        <is>
          <t>VÄSTRA GÖTALANDS LÄN</t>
        </is>
      </c>
      <c r="E5024" t="inlineStr">
        <is>
          <t>SVENLJUNGA</t>
        </is>
      </c>
      <c r="G5024" t="n">
        <v>0.6</v>
      </c>
      <c r="H5024" t="n">
        <v>0</v>
      </c>
      <c r="I5024" t="n">
        <v>0</v>
      </c>
      <c r="J5024" t="n">
        <v>0</v>
      </c>
      <c r="K5024" t="n">
        <v>0</v>
      </c>
      <c r="L5024" t="n">
        <v>0</v>
      </c>
      <c r="M5024" t="n">
        <v>0</v>
      </c>
      <c r="N5024" t="n">
        <v>0</v>
      </c>
      <c r="O5024" t="n">
        <v>0</v>
      </c>
      <c r="P5024" t="n">
        <v>0</v>
      </c>
      <c r="Q5024" t="n">
        <v>0</v>
      </c>
      <c r="R5024" s="2" t="inlineStr"/>
    </row>
    <row r="5025" ht="15" customHeight="1">
      <c r="A5025" t="inlineStr">
        <is>
          <t>A 34937-2020</t>
        </is>
      </c>
      <c r="B5025" s="1" t="n">
        <v>44037</v>
      </c>
      <c r="C5025" s="1" t="n">
        <v>45212</v>
      </c>
      <c r="D5025" t="inlineStr">
        <is>
          <t>VÄSTRA GÖTALANDS LÄN</t>
        </is>
      </c>
      <c r="E5025" t="inlineStr">
        <is>
          <t>TIBRO</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34938-2020</t>
        </is>
      </c>
      <c r="B5026" s="1" t="n">
        <v>44037</v>
      </c>
      <c r="C5026" s="1" t="n">
        <v>45212</v>
      </c>
      <c r="D5026" t="inlineStr">
        <is>
          <t>VÄSTRA GÖTALANDS LÄN</t>
        </is>
      </c>
      <c r="E5026" t="inlineStr">
        <is>
          <t>TIBRO</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35108-2020</t>
        </is>
      </c>
      <c r="B5027" s="1" t="n">
        <v>44040</v>
      </c>
      <c r="C5027" s="1" t="n">
        <v>45212</v>
      </c>
      <c r="D5027" t="inlineStr">
        <is>
          <t>VÄSTRA GÖTALANDS LÄN</t>
        </is>
      </c>
      <c r="E5027" t="inlineStr">
        <is>
          <t>MARIESTAD</t>
        </is>
      </c>
      <c r="G5027" t="n">
        <v>4.5</v>
      </c>
      <c r="H5027" t="n">
        <v>0</v>
      </c>
      <c r="I5027" t="n">
        <v>0</v>
      </c>
      <c r="J5027" t="n">
        <v>0</v>
      </c>
      <c r="K5027" t="n">
        <v>0</v>
      </c>
      <c r="L5027" t="n">
        <v>0</v>
      </c>
      <c r="M5027" t="n">
        <v>0</v>
      </c>
      <c r="N5027" t="n">
        <v>0</v>
      </c>
      <c r="O5027" t="n">
        <v>0</v>
      </c>
      <c r="P5027" t="n">
        <v>0</v>
      </c>
      <c r="Q5027" t="n">
        <v>0</v>
      </c>
      <c r="R5027" s="2" t="inlineStr"/>
    </row>
    <row r="5028" ht="15" customHeight="1">
      <c r="A5028" t="inlineStr">
        <is>
          <t>A 35171-2020</t>
        </is>
      </c>
      <c r="B5028" s="1" t="n">
        <v>44040</v>
      </c>
      <c r="C5028" s="1" t="n">
        <v>45212</v>
      </c>
      <c r="D5028" t="inlineStr">
        <is>
          <t>VÄSTRA GÖTALANDS LÄN</t>
        </is>
      </c>
      <c r="E5028" t="inlineStr">
        <is>
          <t>SKÖVDE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35101-2020</t>
        </is>
      </c>
      <c r="B5029" s="1" t="n">
        <v>44040</v>
      </c>
      <c r="C5029" s="1" t="n">
        <v>45212</v>
      </c>
      <c r="D5029" t="inlineStr">
        <is>
          <t>VÄSTRA GÖTALANDS LÄN</t>
        </is>
      </c>
      <c r="E5029" t="inlineStr">
        <is>
          <t>MELLERUD</t>
        </is>
      </c>
      <c r="G5029" t="n">
        <v>2.5</v>
      </c>
      <c r="H5029" t="n">
        <v>0</v>
      </c>
      <c r="I5029" t="n">
        <v>0</v>
      </c>
      <c r="J5029" t="n">
        <v>0</v>
      </c>
      <c r="K5029" t="n">
        <v>0</v>
      </c>
      <c r="L5029" t="n">
        <v>0</v>
      </c>
      <c r="M5029" t="n">
        <v>0</v>
      </c>
      <c r="N5029" t="n">
        <v>0</v>
      </c>
      <c r="O5029" t="n">
        <v>0</v>
      </c>
      <c r="P5029" t="n">
        <v>0</v>
      </c>
      <c r="Q5029" t="n">
        <v>0</v>
      </c>
      <c r="R5029" s="2" t="inlineStr"/>
    </row>
    <row r="5030" ht="15" customHeight="1">
      <c r="A5030" t="inlineStr">
        <is>
          <t>A 35115-2020</t>
        </is>
      </c>
      <c r="B5030" s="1" t="n">
        <v>44040</v>
      </c>
      <c r="C5030" s="1" t="n">
        <v>45212</v>
      </c>
      <c r="D5030" t="inlineStr">
        <is>
          <t>VÄSTRA GÖTALANDS LÄN</t>
        </is>
      </c>
      <c r="E5030" t="inlineStr">
        <is>
          <t>ULRICEHAMN</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35130-2020</t>
        </is>
      </c>
      <c r="B5031" s="1" t="n">
        <v>44040</v>
      </c>
      <c r="C5031" s="1" t="n">
        <v>45212</v>
      </c>
      <c r="D5031" t="inlineStr">
        <is>
          <t>VÄSTRA GÖTALANDS LÄN</t>
        </is>
      </c>
      <c r="E5031" t="inlineStr">
        <is>
          <t>VARA</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35099-2020</t>
        </is>
      </c>
      <c r="B5032" s="1" t="n">
        <v>44040</v>
      </c>
      <c r="C5032" s="1" t="n">
        <v>45212</v>
      </c>
      <c r="D5032" t="inlineStr">
        <is>
          <t>VÄSTRA GÖTALANDS LÄN</t>
        </is>
      </c>
      <c r="E5032" t="inlineStr">
        <is>
          <t>BENGTSFORS</t>
        </is>
      </c>
      <c r="G5032" t="n">
        <v>5.1</v>
      </c>
      <c r="H5032" t="n">
        <v>0</v>
      </c>
      <c r="I5032" t="n">
        <v>0</v>
      </c>
      <c r="J5032" t="n">
        <v>0</v>
      </c>
      <c r="K5032" t="n">
        <v>0</v>
      </c>
      <c r="L5032" t="n">
        <v>0</v>
      </c>
      <c r="M5032" t="n">
        <v>0</v>
      </c>
      <c r="N5032" t="n">
        <v>0</v>
      </c>
      <c r="O5032" t="n">
        <v>0</v>
      </c>
      <c r="P5032" t="n">
        <v>0</v>
      </c>
      <c r="Q5032" t="n">
        <v>0</v>
      </c>
      <c r="R5032" s="2" t="inlineStr"/>
    </row>
    <row r="5033" ht="15" customHeight="1">
      <c r="A5033" t="inlineStr">
        <is>
          <t>A 35313-2020</t>
        </is>
      </c>
      <c r="B5033" s="1" t="n">
        <v>44041</v>
      </c>
      <c r="C5033" s="1" t="n">
        <v>45212</v>
      </c>
      <c r="D5033" t="inlineStr">
        <is>
          <t>VÄSTRA GÖTALANDS LÄN</t>
        </is>
      </c>
      <c r="E5033" t="inlineStr">
        <is>
          <t>BENGTSFORS</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35351-2020</t>
        </is>
      </c>
      <c r="B5034" s="1" t="n">
        <v>44041</v>
      </c>
      <c r="C5034" s="1" t="n">
        <v>45212</v>
      </c>
      <c r="D5034" t="inlineStr">
        <is>
          <t>VÄSTRA GÖTALANDS LÄN</t>
        </is>
      </c>
      <c r="E5034" t="inlineStr">
        <is>
          <t>LIDKÖPING</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35262-2020</t>
        </is>
      </c>
      <c r="B5035" s="1" t="n">
        <v>44041</v>
      </c>
      <c r="C5035" s="1" t="n">
        <v>45212</v>
      </c>
      <c r="D5035" t="inlineStr">
        <is>
          <t>VÄSTRA GÖTALANDS LÄN</t>
        </is>
      </c>
      <c r="E5035" t="inlineStr">
        <is>
          <t>SKÖVDE</t>
        </is>
      </c>
      <c r="G5035" t="n">
        <v>3</v>
      </c>
      <c r="H5035" t="n">
        <v>0</v>
      </c>
      <c r="I5035" t="n">
        <v>0</v>
      </c>
      <c r="J5035" t="n">
        <v>0</v>
      </c>
      <c r="K5035" t="n">
        <v>0</v>
      </c>
      <c r="L5035" t="n">
        <v>0</v>
      </c>
      <c r="M5035" t="n">
        <v>0</v>
      </c>
      <c r="N5035" t="n">
        <v>0</v>
      </c>
      <c r="O5035" t="n">
        <v>0</v>
      </c>
      <c r="P5035" t="n">
        <v>0</v>
      </c>
      <c r="Q5035" t="n">
        <v>0</v>
      </c>
      <c r="R5035" s="2" t="inlineStr"/>
    </row>
    <row r="5036" ht="15" customHeight="1">
      <c r="A5036" t="inlineStr">
        <is>
          <t>A 35430-2020</t>
        </is>
      </c>
      <c r="B5036" s="1" t="n">
        <v>44042</v>
      </c>
      <c r="C5036" s="1" t="n">
        <v>45212</v>
      </c>
      <c r="D5036" t="inlineStr">
        <is>
          <t>VÄSTRA GÖTALANDS LÄN</t>
        </is>
      </c>
      <c r="E5036" t="inlineStr">
        <is>
          <t>TIBRO</t>
        </is>
      </c>
      <c r="G5036" t="n">
        <v>9.5</v>
      </c>
      <c r="H5036" t="n">
        <v>0</v>
      </c>
      <c r="I5036" t="n">
        <v>0</v>
      </c>
      <c r="J5036" t="n">
        <v>0</v>
      </c>
      <c r="K5036" t="n">
        <v>0</v>
      </c>
      <c r="L5036" t="n">
        <v>0</v>
      </c>
      <c r="M5036" t="n">
        <v>0</v>
      </c>
      <c r="N5036" t="n">
        <v>0</v>
      </c>
      <c r="O5036" t="n">
        <v>0</v>
      </c>
      <c r="P5036" t="n">
        <v>0</v>
      </c>
      <c r="Q5036" t="n">
        <v>0</v>
      </c>
      <c r="R5036" s="2" t="inlineStr"/>
    </row>
    <row r="5037" ht="15" customHeight="1">
      <c r="A5037" t="inlineStr">
        <is>
          <t>A 35449-2020</t>
        </is>
      </c>
      <c r="B5037" s="1" t="n">
        <v>44042</v>
      </c>
      <c r="C5037" s="1" t="n">
        <v>45212</v>
      </c>
      <c r="D5037" t="inlineStr">
        <is>
          <t>VÄSTRA GÖTALANDS LÄN</t>
        </is>
      </c>
      <c r="E5037" t="inlineStr">
        <is>
          <t>HERRLJUNGA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35403-2020</t>
        </is>
      </c>
      <c r="B5038" s="1" t="n">
        <v>44042</v>
      </c>
      <c r="C5038" s="1" t="n">
        <v>45212</v>
      </c>
      <c r="D5038" t="inlineStr">
        <is>
          <t>VÄSTRA GÖTALANDS LÄN</t>
        </is>
      </c>
      <c r="E5038" t="inlineStr">
        <is>
          <t>ULRICEHAMN</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35446-2020</t>
        </is>
      </c>
      <c r="B5039" s="1" t="n">
        <v>44042</v>
      </c>
      <c r="C5039" s="1" t="n">
        <v>45212</v>
      </c>
      <c r="D5039" t="inlineStr">
        <is>
          <t>VÄSTRA GÖTALANDS LÄN</t>
        </is>
      </c>
      <c r="E5039" t="inlineStr">
        <is>
          <t>BORÅS</t>
        </is>
      </c>
      <c r="G5039" t="n">
        <v>1.4</v>
      </c>
      <c r="H5039" t="n">
        <v>0</v>
      </c>
      <c r="I5039" t="n">
        <v>0</v>
      </c>
      <c r="J5039" t="n">
        <v>0</v>
      </c>
      <c r="K5039" t="n">
        <v>0</v>
      </c>
      <c r="L5039" t="n">
        <v>0</v>
      </c>
      <c r="M5039" t="n">
        <v>0</v>
      </c>
      <c r="N5039" t="n">
        <v>0</v>
      </c>
      <c r="O5039" t="n">
        <v>0</v>
      </c>
      <c r="P5039" t="n">
        <v>0</v>
      </c>
      <c r="Q5039" t="n">
        <v>0</v>
      </c>
      <c r="R5039" s="2" t="inlineStr"/>
    </row>
    <row r="5040" ht="15" customHeight="1">
      <c r="A5040" t="inlineStr">
        <is>
          <t>A 35508-2020</t>
        </is>
      </c>
      <c r="B5040" s="1" t="n">
        <v>44043</v>
      </c>
      <c r="C5040" s="1" t="n">
        <v>45212</v>
      </c>
      <c r="D5040" t="inlineStr">
        <is>
          <t>VÄSTRA GÖTALANDS LÄN</t>
        </is>
      </c>
      <c r="E5040" t="inlineStr">
        <is>
          <t>GÖTENE</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35499-2020</t>
        </is>
      </c>
      <c r="B5041" s="1" t="n">
        <v>44043</v>
      </c>
      <c r="C5041" s="1" t="n">
        <v>45212</v>
      </c>
      <c r="D5041" t="inlineStr">
        <is>
          <t>VÄSTRA GÖTALANDS LÄN</t>
        </is>
      </c>
      <c r="E5041" t="inlineStr">
        <is>
          <t>TIBRO</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35750-2020</t>
        </is>
      </c>
      <c r="B5042" s="1" t="n">
        <v>44046</v>
      </c>
      <c r="C5042" s="1" t="n">
        <v>45212</v>
      </c>
      <c r="D5042" t="inlineStr">
        <is>
          <t>VÄSTRA GÖTALANDS LÄN</t>
        </is>
      </c>
      <c r="E5042" t="inlineStr">
        <is>
          <t>MUNKEDAL</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35779-2020</t>
        </is>
      </c>
      <c r="B5043" s="1" t="n">
        <v>44046</v>
      </c>
      <c r="C5043" s="1" t="n">
        <v>45212</v>
      </c>
      <c r="D5043" t="inlineStr">
        <is>
          <t>VÄSTRA GÖTALANDS LÄN</t>
        </is>
      </c>
      <c r="E5043" t="inlineStr">
        <is>
          <t>TANUM</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35662-2020</t>
        </is>
      </c>
      <c r="B5044" s="1" t="n">
        <v>44046</v>
      </c>
      <c r="C5044" s="1" t="n">
        <v>45212</v>
      </c>
      <c r="D5044" t="inlineStr">
        <is>
          <t>VÄSTRA GÖTALANDS LÄN</t>
        </is>
      </c>
      <c r="E5044" t="inlineStr">
        <is>
          <t>TROLLHÄTTAN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35756-2020</t>
        </is>
      </c>
      <c r="B5045" s="1" t="n">
        <v>44046</v>
      </c>
      <c r="C5045" s="1" t="n">
        <v>45212</v>
      </c>
      <c r="D5045" t="inlineStr">
        <is>
          <t>VÄSTRA GÖTALANDS LÄN</t>
        </is>
      </c>
      <c r="E5045" t="inlineStr">
        <is>
          <t>LILLA EDET</t>
        </is>
      </c>
      <c r="G5045" t="n">
        <v>0.6</v>
      </c>
      <c r="H5045" t="n">
        <v>0</v>
      </c>
      <c r="I5045" t="n">
        <v>0</v>
      </c>
      <c r="J5045" t="n">
        <v>0</v>
      </c>
      <c r="K5045" t="n">
        <v>0</v>
      </c>
      <c r="L5045" t="n">
        <v>0</v>
      </c>
      <c r="M5045" t="n">
        <v>0</v>
      </c>
      <c r="N5045" t="n">
        <v>0</v>
      </c>
      <c r="O5045" t="n">
        <v>0</v>
      </c>
      <c r="P5045" t="n">
        <v>0</v>
      </c>
      <c r="Q5045" t="n">
        <v>0</v>
      </c>
      <c r="R5045" s="2" t="inlineStr"/>
    </row>
    <row r="5046" ht="15" customHeight="1">
      <c r="A5046" t="inlineStr">
        <is>
          <t>A 35772-2020</t>
        </is>
      </c>
      <c r="B5046" s="1" t="n">
        <v>44046</v>
      </c>
      <c r="C5046" s="1" t="n">
        <v>45212</v>
      </c>
      <c r="D5046" t="inlineStr">
        <is>
          <t>VÄSTRA GÖTALANDS LÄN</t>
        </is>
      </c>
      <c r="E5046" t="inlineStr">
        <is>
          <t>GRÄSTORP</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35631-2020</t>
        </is>
      </c>
      <c r="B5047" s="1" t="n">
        <v>44046</v>
      </c>
      <c r="C5047" s="1" t="n">
        <v>45212</v>
      </c>
      <c r="D5047" t="inlineStr">
        <is>
          <t>VÄSTRA GÖTALANDS LÄN</t>
        </is>
      </c>
      <c r="E5047" t="inlineStr">
        <is>
          <t>UDDEVALLA</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35652-2020</t>
        </is>
      </c>
      <c r="B5048" s="1" t="n">
        <v>44046</v>
      </c>
      <c r="C5048" s="1" t="n">
        <v>45212</v>
      </c>
      <c r="D5048" t="inlineStr">
        <is>
          <t>VÄSTRA GÖTALANDS LÄN</t>
        </is>
      </c>
      <c r="E5048" t="inlineStr">
        <is>
          <t>ULRICEHAMN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35724-2020</t>
        </is>
      </c>
      <c r="B5049" s="1" t="n">
        <v>44046</v>
      </c>
      <c r="C5049" s="1" t="n">
        <v>45212</v>
      </c>
      <c r="D5049" t="inlineStr">
        <is>
          <t>VÄSTRA GÖTALANDS LÄN</t>
        </is>
      </c>
      <c r="E5049" t="inlineStr">
        <is>
          <t>FÄRGELANDA</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35767-2020</t>
        </is>
      </c>
      <c r="B5050" s="1" t="n">
        <v>44046</v>
      </c>
      <c r="C5050" s="1" t="n">
        <v>45212</v>
      </c>
      <c r="D5050" t="inlineStr">
        <is>
          <t>VÄSTRA GÖTALANDS LÄN</t>
        </is>
      </c>
      <c r="E5050" t="inlineStr">
        <is>
          <t>FÄRGELANDA</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35885-2020</t>
        </is>
      </c>
      <c r="B5051" s="1" t="n">
        <v>44047</v>
      </c>
      <c r="C5051" s="1" t="n">
        <v>45212</v>
      </c>
      <c r="D5051" t="inlineStr">
        <is>
          <t>VÄSTRA GÖTALANDS LÄN</t>
        </is>
      </c>
      <c r="E5051" t="inlineStr">
        <is>
          <t>DALS-ED</t>
        </is>
      </c>
      <c r="F5051" t="inlineStr">
        <is>
          <t>Kommuner</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35896-2020</t>
        </is>
      </c>
      <c r="B5052" s="1" t="n">
        <v>44047</v>
      </c>
      <c r="C5052" s="1" t="n">
        <v>45212</v>
      </c>
      <c r="D5052" t="inlineStr">
        <is>
          <t>VÄSTRA GÖTALANDS LÄN</t>
        </is>
      </c>
      <c r="E5052" t="inlineStr">
        <is>
          <t>SKARA</t>
        </is>
      </c>
      <c r="F5052" t="inlineStr">
        <is>
          <t>Sveaskog</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35899-2020</t>
        </is>
      </c>
      <c r="B5053" s="1" t="n">
        <v>44047</v>
      </c>
      <c r="C5053" s="1" t="n">
        <v>45212</v>
      </c>
      <c r="D5053" t="inlineStr">
        <is>
          <t>VÄSTRA GÖTALANDS LÄN</t>
        </is>
      </c>
      <c r="E5053" t="inlineStr">
        <is>
          <t>KUNGÄLV</t>
        </is>
      </c>
      <c r="G5053" t="n">
        <v>3.8</v>
      </c>
      <c r="H5053" t="n">
        <v>0</v>
      </c>
      <c r="I5053" t="n">
        <v>0</v>
      </c>
      <c r="J5053" t="n">
        <v>0</v>
      </c>
      <c r="K5053" t="n">
        <v>0</v>
      </c>
      <c r="L5053" t="n">
        <v>0</v>
      </c>
      <c r="M5053" t="n">
        <v>0</v>
      </c>
      <c r="N5053" t="n">
        <v>0</v>
      </c>
      <c r="O5053" t="n">
        <v>0</v>
      </c>
      <c r="P5053" t="n">
        <v>0</v>
      </c>
      <c r="Q5053" t="n">
        <v>0</v>
      </c>
      <c r="R5053" s="2" t="inlineStr"/>
    </row>
    <row r="5054" ht="15" customHeight="1">
      <c r="A5054" t="inlineStr">
        <is>
          <t>A 35969-2020</t>
        </is>
      </c>
      <c r="B5054" s="1" t="n">
        <v>44047</v>
      </c>
      <c r="C5054" s="1" t="n">
        <v>45212</v>
      </c>
      <c r="D5054" t="inlineStr">
        <is>
          <t>VÄSTRA GÖTALANDS LÄN</t>
        </is>
      </c>
      <c r="E5054" t="inlineStr">
        <is>
          <t>TÖREBODA</t>
        </is>
      </c>
      <c r="F5054" t="inlineStr">
        <is>
          <t>Övriga statliga verk och myndigheter</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35953-2020</t>
        </is>
      </c>
      <c r="B5055" s="1" t="n">
        <v>44047</v>
      </c>
      <c r="C5055" s="1" t="n">
        <v>45212</v>
      </c>
      <c r="D5055" t="inlineStr">
        <is>
          <t>VÄSTRA GÖTALANDS LÄN</t>
        </is>
      </c>
      <c r="E5055" t="inlineStr">
        <is>
          <t>TIBRO</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35897-2020</t>
        </is>
      </c>
      <c r="B5056" s="1" t="n">
        <v>44047</v>
      </c>
      <c r="C5056" s="1" t="n">
        <v>45212</v>
      </c>
      <c r="D5056" t="inlineStr">
        <is>
          <t>VÄSTRA GÖTALANDS LÄN</t>
        </is>
      </c>
      <c r="E5056" t="inlineStr">
        <is>
          <t>SKARA</t>
        </is>
      </c>
      <c r="F5056" t="inlineStr">
        <is>
          <t>Sveaskog</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35907-2020</t>
        </is>
      </c>
      <c r="B5057" s="1" t="n">
        <v>44047</v>
      </c>
      <c r="C5057" s="1" t="n">
        <v>45212</v>
      </c>
      <c r="D5057" t="inlineStr">
        <is>
          <t>VÄSTRA GÖTALANDS LÄN</t>
        </is>
      </c>
      <c r="E5057" t="inlineStr">
        <is>
          <t>KUNGÄLV</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36133-2020</t>
        </is>
      </c>
      <c r="B5058" s="1" t="n">
        <v>44048</v>
      </c>
      <c r="C5058" s="1" t="n">
        <v>45212</v>
      </c>
      <c r="D5058" t="inlineStr">
        <is>
          <t>VÄSTRA GÖTALANDS LÄN</t>
        </is>
      </c>
      <c r="E5058" t="inlineStr">
        <is>
          <t>ULRICEHAMN</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36103-2020</t>
        </is>
      </c>
      <c r="B5059" s="1" t="n">
        <v>44048</v>
      </c>
      <c r="C5059" s="1" t="n">
        <v>45212</v>
      </c>
      <c r="D5059" t="inlineStr">
        <is>
          <t>VÄSTRA GÖTALANDS LÄN</t>
        </is>
      </c>
      <c r="E5059" t="inlineStr">
        <is>
          <t>SKARA</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36140-2020</t>
        </is>
      </c>
      <c r="B5060" s="1" t="n">
        <v>44048</v>
      </c>
      <c r="C5060" s="1" t="n">
        <v>45212</v>
      </c>
      <c r="D5060" t="inlineStr">
        <is>
          <t>VÄSTRA GÖTALANDS LÄN</t>
        </is>
      </c>
      <c r="E5060" t="inlineStr">
        <is>
          <t>GÖTENE</t>
        </is>
      </c>
      <c r="G5060" t="n">
        <v>0.5</v>
      </c>
      <c r="H5060" t="n">
        <v>0</v>
      </c>
      <c r="I5060" t="n">
        <v>0</v>
      </c>
      <c r="J5060" t="n">
        <v>0</v>
      </c>
      <c r="K5060" t="n">
        <v>0</v>
      </c>
      <c r="L5060" t="n">
        <v>0</v>
      </c>
      <c r="M5060" t="n">
        <v>0</v>
      </c>
      <c r="N5060" t="n">
        <v>0</v>
      </c>
      <c r="O5060" t="n">
        <v>0</v>
      </c>
      <c r="P5060" t="n">
        <v>0</v>
      </c>
      <c r="Q5060" t="n">
        <v>0</v>
      </c>
      <c r="R5060" s="2" t="inlineStr"/>
    </row>
    <row r="5061" ht="15" customHeight="1">
      <c r="A5061" t="inlineStr">
        <is>
          <t>A 36189-2020</t>
        </is>
      </c>
      <c r="B5061" s="1" t="n">
        <v>44048</v>
      </c>
      <c r="C5061" s="1" t="n">
        <v>45212</v>
      </c>
      <c r="D5061" t="inlineStr">
        <is>
          <t>VÄSTRA GÖTALANDS LÄN</t>
        </is>
      </c>
      <c r="E5061" t="inlineStr">
        <is>
          <t>ULRICEHAMN</t>
        </is>
      </c>
      <c r="G5061" t="n">
        <v>3.7</v>
      </c>
      <c r="H5061" t="n">
        <v>0</v>
      </c>
      <c r="I5061" t="n">
        <v>0</v>
      </c>
      <c r="J5061" t="n">
        <v>0</v>
      </c>
      <c r="K5061" t="n">
        <v>0</v>
      </c>
      <c r="L5061" t="n">
        <v>0</v>
      </c>
      <c r="M5061" t="n">
        <v>0</v>
      </c>
      <c r="N5061" t="n">
        <v>0</v>
      </c>
      <c r="O5061" t="n">
        <v>0</v>
      </c>
      <c r="P5061" t="n">
        <v>0</v>
      </c>
      <c r="Q5061" t="n">
        <v>0</v>
      </c>
      <c r="R5061" s="2" t="inlineStr"/>
    </row>
    <row r="5062" ht="15" customHeight="1">
      <c r="A5062" t="inlineStr">
        <is>
          <t>A 36190-2020</t>
        </is>
      </c>
      <c r="B5062" s="1" t="n">
        <v>44048</v>
      </c>
      <c r="C5062" s="1" t="n">
        <v>45212</v>
      </c>
      <c r="D5062" t="inlineStr">
        <is>
          <t>VÄSTRA GÖTALANDS LÄN</t>
        </is>
      </c>
      <c r="E5062" t="inlineStr">
        <is>
          <t>ULRICEHAMN</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36107-2020</t>
        </is>
      </c>
      <c r="B5063" s="1" t="n">
        <v>44048</v>
      </c>
      <c r="C5063" s="1" t="n">
        <v>45212</v>
      </c>
      <c r="D5063" t="inlineStr">
        <is>
          <t>VÄSTRA GÖTALANDS LÄN</t>
        </is>
      </c>
      <c r="E5063" t="inlineStr">
        <is>
          <t>VÅRGÅRDA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36130-2020</t>
        </is>
      </c>
      <c r="B5064" s="1" t="n">
        <v>44048</v>
      </c>
      <c r="C5064" s="1" t="n">
        <v>45212</v>
      </c>
      <c r="D5064" t="inlineStr">
        <is>
          <t>VÄSTRA GÖTALANDS LÄN</t>
        </is>
      </c>
      <c r="E5064" t="inlineStr">
        <is>
          <t>TÖREBODA</t>
        </is>
      </c>
      <c r="F5064" t="inlineStr">
        <is>
          <t>Övriga statliga verk och myndigheter</t>
        </is>
      </c>
      <c r="G5064" t="n">
        <v>4.5</v>
      </c>
      <c r="H5064" t="n">
        <v>0</v>
      </c>
      <c r="I5064" t="n">
        <v>0</v>
      </c>
      <c r="J5064" t="n">
        <v>0</v>
      </c>
      <c r="K5064" t="n">
        <v>0</v>
      </c>
      <c r="L5064" t="n">
        <v>0</v>
      </c>
      <c r="M5064" t="n">
        <v>0</v>
      </c>
      <c r="N5064" t="n">
        <v>0</v>
      </c>
      <c r="O5064" t="n">
        <v>0</v>
      </c>
      <c r="P5064" t="n">
        <v>0</v>
      </c>
      <c r="Q5064" t="n">
        <v>0</v>
      </c>
      <c r="R5064" s="2" t="inlineStr"/>
    </row>
    <row r="5065" ht="15" customHeight="1">
      <c r="A5065" t="inlineStr">
        <is>
          <t>A 36203-2020</t>
        </is>
      </c>
      <c r="B5065" s="1" t="n">
        <v>44048</v>
      </c>
      <c r="C5065" s="1" t="n">
        <v>45212</v>
      </c>
      <c r="D5065" t="inlineStr">
        <is>
          <t>VÄSTRA GÖTALANDS LÄN</t>
        </is>
      </c>
      <c r="E5065" t="inlineStr">
        <is>
          <t>BORÅS</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36260-2020</t>
        </is>
      </c>
      <c r="B5066" s="1" t="n">
        <v>44049</v>
      </c>
      <c r="C5066" s="1" t="n">
        <v>45212</v>
      </c>
      <c r="D5066" t="inlineStr">
        <is>
          <t>VÄSTRA GÖTALANDS LÄN</t>
        </is>
      </c>
      <c r="E5066" t="inlineStr">
        <is>
          <t>DALS-ED</t>
        </is>
      </c>
      <c r="G5066" t="n">
        <v>13.6</v>
      </c>
      <c r="H5066" t="n">
        <v>0</v>
      </c>
      <c r="I5066" t="n">
        <v>0</v>
      </c>
      <c r="J5066" t="n">
        <v>0</v>
      </c>
      <c r="K5066" t="n">
        <v>0</v>
      </c>
      <c r="L5066" t="n">
        <v>0</v>
      </c>
      <c r="M5066" t="n">
        <v>0</v>
      </c>
      <c r="N5066" t="n">
        <v>0</v>
      </c>
      <c r="O5066" t="n">
        <v>0</v>
      </c>
      <c r="P5066" t="n">
        <v>0</v>
      </c>
      <c r="Q5066" t="n">
        <v>0</v>
      </c>
      <c r="R5066" s="2" t="inlineStr"/>
    </row>
    <row r="5067" ht="15" customHeight="1">
      <c r="A5067" t="inlineStr">
        <is>
          <t>A 36295-2020</t>
        </is>
      </c>
      <c r="B5067" s="1" t="n">
        <v>44049</v>
      </c>
      <c r="C5067" s="1" t="n">
        <v>45212</v>
      </c>
      <c r="D5067" t="inlineStr">
        <is>
          <t>VÄSTRA GÖTALANDS LÄN</t>
        </is>
      </c>
      <c r="E5067" t="inlineStr">
        <is>
          <t>ÅMÅL</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36305-2020</t>
        </is>
      </c>
      <c r="B5068" s="1" t="n">
        <v>44049</v>
      </c>
      <c r="C5068" s="1" t="n">
        <v>45212</v>
      </c>
      <c r="D5068" t="inlineStr">
        <is>
          <t>VÄSTRA GÖTALANDS LÄN</t>
        </is>
      </c>
      <c r="E5068" t="inlineStr">
        <is>
          <t>TANUM</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36266-2020</t>
        </is>
      </c>
      <c r="B5069" s="1" t="n">
        <v>44049</v>
      </c>
      <c r="C5069" s="1" t="n">
        <v>45212</v>
      </c>
      <c r="D5069" t="inlineStr">
        <is>
          <t>VÄSTRA GÖTALANDS LÄN</t>
        </is>
      </c>
      <c r="E5069" t="inlineStr">
        <is>
          <t>DALS-ED</t>
        </is>
      </c>
      <c r="G5069" t="n">
        <v>5.7</v>
      </c>
      <c r="H5069" t="n">
        <v>0</v>
      </c>
      <c r="I5069" t="n">
        <v>0</v>
      </c>
      <c r="J5069" t="n">
        <v>0</v>
      </c>
      <c r="K5069" t="n">
        <v>0</v>
      </c>
      <c r="L5069" t="n">
        <v>0</v>
      </c>
      <c r="M5069" t="n">
        <v>0</v>
      </c>
      <c r="N5069" t="n">
        <v>0</v>
      </c>
      <c r="O5069" t="n">
        <v>0</v>
      </c>
      <c r="P5069" t="n">
        <v>0</v>
      </c>
      <c r="Q5069" t="n">
        <v>0</v>
      </c>
      <c r="R5069" s="2" t="inlineStr"/>
    </row>
    <row r="5070" ht="15" customHeight="1">
      <c r="A5070" t="inlineStr">
        <is>
          <t>A 36381-2020</t>
        </is>
      </c>
      <c r="B5070" s="1" t="n">
        <v>44049</v>
      </c>
      <c r="C5070" s="1" t="n">
        <v>45212</v>
      </c>
      <c r="D5070" t="inlineStr">
        <is>
          <t>VÄSTRA GÖTALANDS LÄN</t>
        </is>
      </c>
      <c r="E5070" t="inlineStr">
        <is>
          <t>SKÖVDE</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36283-2020</t>
        </is>
      </c>
      <c r="B5071" s="1" t="n">
        <v>44049</v>
      </c>
      <c r="C5071" s="1" t="n">
        <v>45212</v>
      </c>
      <c r="D5071" t="inlineStr">
        <is>
          <t>VÄSTRA GÖTALANDS LÄN</t>
        </is>
      </c>
      <c r="E5071" t="inlineStr">
        <is>
          <t>TRANEMO</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36299-2020</t>
        </is>
      </c>
      <c r="B5072" s="1" t="n">
        <v>44049</v>
      </c>
      <c r="C5072" s="1" t="n">
        <v>45212</v>
      </c>
      <c r="D5072" t="inlineStr">
        <is>
          <t>VÄSTRA GÖTALANDS LÄN</t>
        </is>
      </c>
      <c r="E5072" t="inlineStr">
        <is>
          <t>GÖTENE</t>
        </is>
      </c>
      <c r="G5072" t="n">
        <v>0.6</v>
      </c>
      <c r="H5072" t="n">
        <v>0</v>
      </c>
      <c r="I5072" t="n">
        <v>0</v>
      </c>
      <c r="J5072" t="n">
        <v>0</v>
      </c>
      <c r="K5072" t="n">
        <v>0</v>
      </c>
      <c r="L5072" t="n">
        <v>0</v>
      </c>
      <c r="M5072" t="n">
        <v>0</v>
      </c>
      <c r="N5072" t="n">
        <v>0</v>
      </c>
      <c r="O5072" t="n">
        <v>0</v>
      </c>
      <c r="P5072" t="n">
        <v>0</v>
      </c>
      <c r="Q5072" t="n">
        <v>0</v>
      </c>
      <c r="R5072" s="2" t="inlineStr"/>
    </row>
    <row r="5073" ht="15" customHeight="1">
      <c r="A5073" t="inlineStr">
        <is>
          <t>A 36395-2020</t>
        </is>
      </c>
      <c r="B5073" s="1" t="n">
        <v>44049</v>
      </c>
      <c r="C5073" s="1" t="n">
        <v>45212</v>
      </c>
      <c r="D5073" t="inlineStr">
        <is>
          <t>VÄSTRA GÖTALANDS LÄN</t>
        </is>
      </c>
      <c r="E5073" t="inlineStr">
        <is>
          <t>LILLA EDET</t>
        </is>
      </c>
      <c r="G5073" t="n">
        <v>4.4</v>
      </c>
      <c r="H5073" t="n">
        <v>0</v>
      </c>
      <c r="I5073" t="n">
        <v>0</v>
      </c>
      <c r="J5073" t="n">
        <v>0</v>
      </c>
      <c r="K5073" t="n">
        <v>0</v>
      </c>
      <c r="L5073" t="n">
        <v>0</v>
      </c>
      <c r="M5073" t="n">
        <v>0</v>
      </c>
      <c r="N5073" t="n">
        <v>0</v>
      </c>
      <c r="O5073" t="n">
        <v>0</v>
      </c>
      <c r="P5073" t="n">
        <v>0</v>
      </c>
      <c r="Q5073" t="n">
        <v>0</v>
      </c>
      <c r="R5073" s="2" t="inlineStr"/>
    </row>
    <row r="5074" ht="15" customHeight="1">
      <c r="A5074" t="inlineStr">
        <is>
          <t>A 36481-2020</t>
        </is>
      </c>
      <c r="B5074" s="1" t="n">
        <v>44050</v>
      </c>
      <c r="C5074" s="1" t="n">
        <v>45212</v>
      </c>
      <c r="D5074" t="inlineStr">
        <is>
          <t>VÄSTRA GÖTALANDS LÄN</t>
        </is>
      </c>
      <c r="E5074" t="inlineStr">
        <is>
          <t>FÄRGELANDA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36625-2020</t>
        </is>
      </c>
      <c r="B5075" s="1" t="n">
        <v>44050</v>
      </c>
      <c r="C5075" s="1" t="n">
        <v>45212</v>
      </c>
      <c r="D5075" t="inlineStr">
        <is>
          <t>VÄSTRA GÖTALANDS LÄN</t>
        </is>
      </c>
      <c r="E5075" t="inlineStr">
        <is>
          <t>SKÖVDE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36470-2020</t>
        </is>
      </c>
      <c r="B5076" s="1" t="n">
        <v>44050</v>
      </c>
      <c r="C5076" s="1" t="n">
        <v>45212</v>
      </c>
      <c r="D5076" t="inlineStr">
        <is>
          <t>VÄSTRA GÖTALANDS LÄN</t>
        </is>
      </c>
      <c r="E5076" t="inlineStr">
        <is>
          <t>SVENLJUNGA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36519-2020</t>
        </is>
      </c>
      <c r="B5077" s="1" t="n">
        <v>44050</v>
      </c>
      <c r="C5077" s="1" t="n">
        <v>45212</v>
      </c>
      <c r="D5077" t="inlineStr">
        <is>
          <t>VÄSTRA GÖTALANDS LÄN</t>
        </is>
      </c>
      <c r="E5077" t="inlineStr">
        <is>
          <t>BOLLEBYGD</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36583-2020</t>
        </is>
      </c>
      <c r="B5078" s="1" t="n">
        <v>44050</v>
      </c>
      <c r="C5078" s="1" t="n">
        <v>45212</v>
      </c>
      <c r="D5078" t="inlineStr">
        <is>
          <t>VÄSTRA GÖTALANDS LÄN</t>
        </is>
      </c>
      <c r="E5078" t="inlineStr">
        <is>
          <t>LILLA EDET</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36681-2020</t>
        </is>
      </c>
      <c r="B5079" s="1" t="n">
        <v>44051</v>
      </c>
      <c r="C5079" s="1" t="n">
        <v>45212</v>
      </c>
      <c r="D5079" t="inlineStr">
        <is>
          <t>VÄSTRA GÖTALANDS LÄN</t>
        </is>
      </c>
      <c r="E5079" t="inlineStr">
        <is>
          <t>VARA</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36675-2020</t>
        </is>
      </c>
      <c r="B5080" s="1" t="n">
        <v>44051</v>
      </c>
      <c r="C5080" s="1" t="n">
        <v>45212</v>
      </c>
      <c r="D5080" t="inlineStr">
        <is>
          <t>VÄSTRA GÖTALANDS LÄN</t>
        </is>
      </c>
      <c r="E5080" t="inlineStr">
        <is>
          <t>SKARA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36707-2020</t>
        </is>
      </c>
      <c r="B5081" s="1" t="n">
        <v>44051</v>
      </c>
      <c r="C5081" s="1" t="n">
        <v>45212</v>
      </c>
      <c r="D5081" t="inlineStr">
        <is>
          <t>VÄSTRA GÖTALANDS LÄN</t>
        </is>
      </c>
      <c r="E5081" t="inlineStr">
        <is>
          <t>SKÖVDE</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36714-2020</t>
        </is>
      </c>
      <c r="B5082" s="1" t="n">
        <v>44052</v>
      </c>
      <c r="C5082" s="1" t="n">
        <v>45212</v>
      </c>
      <c r="D5082" t="inlineStr">
        <is>
          <t>VÄSTRA GÖTALANDS LÄN</t>
        </is>
      </c>
      <c r="E5082" t="inlineStr">
        <is>
          <t>MARIESTAD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36716-2020</t>
        </is>
      </c>
      <c r="B5083" s="1" t="n">
        <v>44053</v>
      </c>
      <c r="C5083" s="1" t="n">
        <v>45212</v>
      </c>
      <c r="D5083" t="inlineStr">
        <is>
          <t>VÄSTRA GÖTALANDS LÄN</t>
        </is>
      </c>
      <c r="E5083" t="inlineStr">
        <is>
          <t>SKÖVDE</t>
        </is>
      </c>
      <c r="G5083" t="n">
        <v>6.2</v>
      </c>
      <c r="H5083" t="n">
        <v>0</v>
      </c>
      <c r="I5083" t="n">
        <v>0</v>
      </c>
      <c r="J5083" t="n">
        <v>0</v>
      </c>
      <c r="K5083" t="n">
        <v>0</v>
      </c>
      <c r="L5083" t="n">
        <v>0</v>
      </c>
      <c r="M5083" t="n">
        <v>0</v>
      </c>
      <c r="N5083" t="n">
        <v>0</v>
      </c>
      <c r="O5083" t="n">
        <v>0</v>
      </c>
      <c r="P5083" t="n">
        <v>0</v>
      </c>
      <c r="Q5083" t="n">
        <v>0</v>
      </c>
      <c r="R5083" s="2" t="inlineStr"/>
    </row>
    <row r="5084" ht="15" customHeight="1">
      <c r="A5084" t="inlineStr">
        <is>
          <t>A 36764-2020</t>
        </is>
      </c>
      <c r="B5084" s="1" t="n">
        <v>44053</v>
      </c>
      <c r="C5084" s="1" t="n">
        <v>45212</v>
      </c>
      <c r="D5084" t="inlineStr">
        <is>
          <t>VÄSTRA GÖTALANDS LÄN</t>
        </is>
      </c>
      <c r="E5084" t="inlineStr">
        <is>
          <t>BENGTSFORS</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36952-2020</t>
        </is>
      </c>
      <c r="B5085" s="1" t="n">
        <v>44053</v>
      </c>
      <c r="C5085" s="1" t="n">
        <v>45212</v>
      </c>
      <c r="D5085" t="inlineStr">
        <is>
          <t>VÄSTRA GÖTALANDS LÄN</t>
        </is>
      </c>
      <c r="E5085" t="inlineStr">
        <is>
          <t>BENGTSFORS</t>
        </is>
      </c>
      <c r="G5085" t="n">
        <v>4</v>
      </c>
      <c r="H5085" t="n">
        <v>0</v>
      </c>
      <c r="I5085" t="n">
        <v>0</v>
      </c>
      <c r="J5085" t="n">
        <v>0</v>
      </c>
      <c r="K5085" t="n">
        <v>0</v>
      </c>
      <c r="L5085" t="n">
        <v>0</v>
      </c>
      <c r="M5085" t="n">
        <v>0</v>
      </c>
      <c r="N5085" t="n">
        <v>0</v>
      </c>
      <c r="O5085" t="n">
        <v>0</v>
      </c>
      <c r="P5085" t="n">
        <v>0</v>
      </c>
      <c r="Q5085" t="n">
        <v>0</v>
      </c>
      <c r="R5085" s="2" t="inlineStr"/>
    </row>
    <row r="5086" ht="15" customHeight="1">
      <c r="A5086" t="inlineStr">
        <is>
          <t>A 36761-2020</t>
        </is>
      </c>
      <c r="B5086" s="1" t="n">
        <v>44053</v>
      </c>
      <c r="C5086" s="1" t="n">
        <v>45212</v>
      </c>
      <c r="D5086" t="inlineStr">
        <is>
          <t>VÄSTRA GÖTALANDS LÄN</t>
        </is>
      </c>
      <c r="E5086" t="inlineStr">
        <is>
          <t>ALINGSÅS</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36902-2020</t>
        </is>
      </c>
      <c r="B5087" s="1" t="n">
        <v>44053</v>
      </c>
      <c r="C5087" s="1" t="n">
        <v>45212</v>
      </c>
      <c r="D5087" t="inlineStr">
        <is>
          <t>VÄSTRA GÖTALANDS LÄN</t>
        </is>
      </c>
      <c r="E5087" t="inlineStr">
        <is>
          <t>FÄRGELANDA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36718-2020</t>
        </is>
      </c>
      <c r="B5088" s="1" t="n">
        <v>44053</v>
      </c>
      <c r="C5088" s="1" t="n">
        <v>45212</v>
      </c>
      <c r="D5088" t="inlineStr">
        <is>
          <t>VÄSTRA GÖTALANDS LÄN</t>
        </is>
      </c>
      <c r="E5088" t="inlineStr">
        <is>
          <t>SKÖVDE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36804-2020</t>
        </is>
      </c>
      <c r="B5089" s="1" t="n">
        <v>44053</v>
      </c>
      <c r="C5089" s="1" t="n">
        <v>45212</v>
      </c>
      <c r="D5089" t="inlineStr">
        <is>
          <t>VÄSTRA GÖTALANDS LÄN</t>
        </is>
      </c>
      <c r="E5089" t="inlineStr">
        <is>
          <t>SVENLJUNGA</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36831-2020</t>
        </is>
      </c>
      <c r="B5090" s="1" t="n">
        <v>44053</v>
      </c>
      <c r="C5090" s="1" t="n">
        <v>45212</v>
      </c>
      <c r="D5090" t="inlineStr">
        <is>
          <t>VÄSTRA GÖTALANDS LÄN</t>
        </is>
      </c>
      <c r="E5090" t="inlineStr">
        <is>
          <t>ESSUNGA</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36950-2020</t>
        </is>
      </c>
      <c r="B5091" s="1" t="n">
        <v>44053</v>
      </c>
      <c r="C5091" s="1" t="n">
        <v>45212</v>
      </c>
      <c r="D5091" t="inlineStr">
        <is>
          <t>VÄSTRA GÖTALANDS LÄN</t>
        </is>
      </c>
      <c r="E5091" t="inlineStr">
        <is>
          <t>BOLLEBYGD</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37095-2020</t>
        </is>
      </c>
      <c r="B5092" s="1" t="n">
        <v>44054</v>
      </c>
      <c r="C5092" s="1" t="n">
        <v>45212</v>
      </c>
      <c r="D5092" t="inlineStr">
        <is>
          <t>VÄSTRA GÖTALANDS LÄN</t>
        </is>
      </c>
      <c r="E5092" t="inlineStr">
        <is>
          <t>TIBRO</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37112-2020</t>
        </is>
      </c>
      <c r="B5093" s="1" t="n">
        <v>44054</v>
      </c>
      <c r="C5093" s="1" t="n">
        <v>45212</v>
      </c>
      <c r="D5093" t="inlineStr">
        <is>
          <t>VÄSTRA GÖTALANDS LÄN</t>
        </is>
      </c>
      <c r="E5093" t="inlineStr">
        <is>
          <t>ULRICEHAMN</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37118-2020</t>
        </is>
      </c>
      <c r="B5094" s="1" t="n">
        <v>44054</v>
      </c>
      <c r="C5094" s="1" t="n">
        <v>45212</v>
      </c>
      <c r="D5094" t="inlineStr">
        <is>
          <t>VÄSTRA GÖTALANDS LÄN</t>
        </is>
      </c>
      <c r="E5094" t="inlineStr">
        <is>
          <t>ULRICEHAMN</t>
        </is>
      </c>
      <c r="G5094" t="n">
        <v>2.8</v>
      </c>
      <c r="H5094" t="n">
        <v>0</v>
      </c>
      <c r="I5094" t="n">
        <v>0</v>
      </c>
      <c r="J5094" t="n">
        <v>0</v>
      </c>
      <c r="K5094" t="n">
        <v>0</v>
      </c>
      <c r="L5094" t="n">
        <v>0</v>
      </c>
      <c r="M5094" t="n">
        <v>0</v>
      </c>
      <c r="N5094" t="n">
        <v>0</v>
      </c>
      <c r="O5094" t="n">
        <v>0</v>
      </c>
      <c r="P5094" t="n">
        <v>0</v>
      </c>
      <c r="Q5094" t="n">
        <v>0</v>
      </c>
      <c r="R5094" s="2" t="inlineStr"/>
    </row>
    <row r="5095" ht="15" customHeight="1">
      <c r="A5095" t="inlineStr">
        <is>
          <t>A 37171-2020</t>
        </is>
      </c>
      <c r="B5095" s="1" t="n">
        <v>44054</v>
      </c>
      <c r="C5095" s="1" t="n">
        <v>45212</v>
      </c>
      <c r="D5095" t="inlineStr">
        <is>
          <t>VÄSTRA GÖTALANDS LÄN</t>
        </is>
      </c>
      <c r="E5095" t="inlineStr">
        <is>
          <t>ULRICEHAMN</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37053-2020</t>
        </is>
      </c>
      <c r="B5096" s="1" t="n">
        <v>44054</v>
      </c>
      <c r="C5096" s="1" t="n">
        <v>45212</v>
      </c>
      <c r="D5096" t="inlineStr">
        <is>
          <t>VÄSTRA GÖTALANDS LÄN</t>
        </is>
      </c>
      <c r="E5096" t="inlineStr">
        <is>
          <t>ULRICEHAMN</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37197-2020</t>
        </is>
      </c>
      <c r="B5097" s="1" t="n">
        <v>44054</v>
      </c>
      <c r="C5097" s="1" t="n">
        <v>45212</v>
      </c>
      <c r="D5097" t="inlineStr">
        <is>
          <t>VÄSTRA GÖTALANDS LÄN</t>
        </is>
      </c>
      <c r="E5097" t="inlineStr">
        <is>
          <t>VARA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37279-2020</t>
        </is>
      </c>
      <c r="B5098" s="1" t="n">
        <v>44054</v>
      </c>
      <c r="C5098" s="1" t="n">
        <v>45212</v>
      </c>
      <c r="D5098" t="inlineStr">
        <is>
          <t>VÄSTRA GÖTALANDS LÄN</t>
        </is>
      </c>
      <c r="E5098" t="inlineStr">
        <is>
          <t>BENGTSFORS</t>
        </is>
      </c>
      <c r="F5098" t="inlineStr">
        <is>
          <t>Kyrkan</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37386-2020</t>
        </is>
      </c>
      <c r="B5099" s="1" t="n">
        <v>44055</v>
      </c>
      <c r="C5099" s="1" t="n">
        <v>45212</v>
      </c>
      <c r="D5099" t="inlineStr">
        <is>
          <t>VÄSTRA GÖTALANDS LÄN</t>
        </is>
      </c>
      <c r="E5099" t="inlineStr">
        <is>
          <t>ULRICEHAMN</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37347-2020</t>
        </is>
      </c>
      <c r="B5100" s="1" t="n">
        <v>44055</v>
      </c>
      <c r="C5100" s="1" t="n">
        <v>45212</v>
      </c>
      <c r="D5100" t="inlineStr">
        <is>
          <t>VÄSTRA GÖTALANDS LÄN</t>
        </is>
      </c>
      <c r="E5100" t="inlineStr">
        <is>
          <t>ÅMÅL</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37418-2020</t>
        </is>
      </c>
      <c r="B5101" s="1" t="n">
        <v>44055</v>
      </c>
      <c r="C5101" s="1" t="n">
        <v>45212</v>
      </c>
      <c r="D5101" t="inlineStr">
        <is>
          <t>VÄSTRA GÖTALANDS LÄN</t>
        </is>
      </c>
      <c r="E5101" t="inlineStr">
        <is>
          <t>BENGTSFORS</t>
        </is>
      </c>
      <c r="F5101" t="inlineStr">
        <is>
          <t>Kyrkan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37254-2020</t>
        </is>
      </c>
      <c r="B5102" s="1" t="n">
        <v>44055</v>
      </c>
      <c r="C5102" s="1" t="n">
        <v>45212</v>
      </c>
      <c r="D5102" t="inlineStr">
        <is>
          <t>VÄSTRA GÖTALANDS LÄN</t>
        </is>
      </c>
      <c r="E5102" t="inlineStr">
        <is>
          <t>HJO</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37315-2020</t>
        </is>
      </c>
      <c r="B5103" s="1" t="n">
        <v>44055</v>
      </c>
      <c r="C5103" s="1" t="n">
        <v>45212</v>
      </c>
      <c r="D5103" t="inlineStr">
        <is>
          <t>VÄSTRA GÖTALANDS LÄN</t>
        </is>
      </c>
      <c r="E5103" t="inlineStr">
        <is>
          <t>BORÅS</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37388-2020</t>
        </is>
      </c>
      <c r="B5104" s="1" t="n">
        <v>44055</v>
      </c>
      <c r="C5104" s="1" t="n">
        <v>45212</v>
      </c>
      <c r="D5104" t="inlineStr">
        <is>
          <t>VÄSTRA GÖTALANDS LÄN</t>
        </is>
      </c>
      <c r="E5104" t="inlineStr">
        <is>
          <t>SKÖVDE</t>
        </is>
      </c>
      <c r="F5104" t="inlineStr">
        <is>
          <t>Kommuner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37479-2020</t>
        </is>
      </c>
      <c r="B5105" s="1" t="n">
        <v>44055</v>
      </c>
      <c r="C5105" s="1" t="n">
        <v>45212</v>
      </c>
      <c r="D5105" t="inlineStr">
        <is>
          <t>VÄSTRA GÖTALANDS LÄN</t>
        </is>
      </c>
      <c r="E5105" t="inlineStr">
        <is>
          <t>TANUM</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37439-2020</t>
        </is>
      </c>
      <c r="B5106" s="1" t="n">
        <v>44055</v>
      </c>
      <c r="C5106" s="1" t="n">
        <v>45212</v>
      </c>
      <c r="D5106" t="inlineStr">
        <is>
          <t>VÄSTRA GÖTALANDS LÄN</t>
        </is>
      </c>
      <c r="E5106" t="inlineStr">
        <is>
          <t>SKARA</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37575-2020</t>
        </is>
      </c>
      <c r="B5107" s="1" t="n">
        <v>44056</v>
      </c>
      <c r="C5107" s="1" t="n">
        <v>45212</v>
      </c>
      <c r="D5107" t="inlineStr">
        <is>
          <t>VÄSTRA GÖTALANDS LÄN</t>
        </is>
      </c>
      <c r="E5107" t="inlineStr">
        <is>
          <t>BENGTSFORS</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37550-2020</t>
        </is>
      </c>
      <c r="B5108" s="1" t="n">
        <v>44056</v>
      </c>
      <c r="C5108" s="1" t="n">
        <v>45212</v>
      </c>
      <c r="D5108" t="inlineStr">
        <is>
          <t>VÄSTRA GÖTALANDS LÄN</t>
        </is>
      </c>
      <c r="E5108" t="inlineStr">
        <is>
          <t>MARIESTAD</t>
        </is>
      </c>
      <c r="F5108" t="inlineStr">
        <is>
          <t>Sveaskog</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37628-2020</t>
        </is>
      </c>
      <c r="B5109" s="1" t="n">
        <v>44056</v>
      </c>
      <c r="C5109" s="1" t="n">
        <v>45212</v>
      </c>
      <c r="D5109" t="inlineStr">
        <is>
          <t>VÄSTRA GÖTALANDS LÄN</t>
        </is>
      </c>
      <c r="E5109" t="inlineStr">
        <is>
          <t>SVENLJUNGA</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37942-2020</t>
        </is>
      </c>
      <c r="B5110" s="1" t="n">
        <v>44057</v>
      </c>
      <c r="C5110" s="1" t="n">
        <v>45212</v>
      </c>
      <c r="D5110" t="inlineStr">
        <is>
          <t>VÄSTRA GÖTALANDS LÄN</t>
        </is>
      </c>
      <c r="E5110" t="inlineStr">
        <is>
          <t>HERRLJUNGA</t>
        </is>
      </c>
      <c r="F5110" t="inlineStr">
        <is>
          <t>Sveaskog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38006-2020</t>
        </is>
      </c>
      <c r="B5111" s="1" t="n">
        <v>44057</v>
      </c>
      <c r="C5111" s="1" t="n">
        <v>45212</v>
      </c>
      <c r="D5111" t="inlineStr">
        <is>
          <t>VÄSTRA GÖTALANDS LÄN</t>
        </is>
      </c>
      <c r="E5111" t="inlineStr">
        <is>
          <t>BORÅS</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38036-2020</t>
        </is>
      </c>
      <c r="B5112" s="1" t="n">
        <v>44057</v>
      </c>
      <c r="C5112" s="1" t="n">
        <v>45212</v>
      </c>
      <c r="D5112" t="inlineStr">
        <is>
          <t>VÄSTRA GÖTALANDS LÄN</t>
        </is>
      </c>
      <c r="E5112" t="inlineStr">
        <is>
          <t>SKÖVDE</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38057-2020</t>
        </is>
      </c>
      <c r="B5113" s="1" t="n">
        <v>44057</v>
      </c>
      <c r="C5113" s="1" t="n">
        <v>45212</v>
      </c>
      <c r="D5113" t="inlineStr">
        <is>
          <t>VÄSTRA GÖTALANDS LÄN</t>
        </is>
      </c>
      <c r="E5113" t="inlineStr">
        <is>
          <t>GÖTENE</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37913-2020</t>
        </is>
      </c>
      <c r="B5114" s="1" t="n">
        <v>44057</v>
      </c>
      <c r="C5114" s="1" t="n">
        <v>45212</v>
      </c>
      <c r="D5114" t="inlineStr">
        <is>
          <t>VÄSTRA GÖTALANDS LÄN</t>
        </is>
      </c>
      <c r="E5114" t="inlineStr">
        <is>
          <t>TROLLHÄTTAN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37940-2020</t>
        </is>
      </c>
      <c r="B5115" s="1" t="n">
        <v>44057</v>
      </c>
      <c r="C5115" s="1" t="n">
        <v>45212</v>
      </c>
      <c r="D5115" t="inlineStr">
        <is>
          <t>VÄSTRA GÖTALANDS LÄN</t>
        </is>
      </c>
      <c r="E5115" t="inlineStr">
        <is>
          <t>HERRLJUNGA</t>
        </is>
      </c>
      <c r="F5115" t="inlineStr">
        <is>
          <t>Sveaskog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37989-2020</t>
        </is>
      </c>
      <c r="B5116" s="1" t="n">
        <v>44057</v>
      </c>
      <c r="C5116" s="1" t="n">
        <v>45212</v>
      </c>
      <c r="D5116" t="inlineStr">
        <is>
          <t>VÄSTRA GÖTALANDS LÄN</t>
        </is>
      </c>
      <c r="E5116" t="inlineStr">
        <is>
          <t>HÄRRYDA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38003-2020</t>
        </is>
      </c>
      <c r="B5117" s="1" t="n">
        <v>44057</v>
      </c>
      <c r="C5117" s="1" t="n">
        <v>45212</v>
      </c>
      <c r="D5117" t="inlineStr">
        <is>
          <t>VÄSTRA GÖTALANDS LÄN</t>
        </is>
      </c>
      <c r="E5117" t="inlineStr">
        <is>
          <t>BORÅS</t>
        </is>
      </c>
      <c r="G5117" t="n">
        <v>9.199999999999999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37907-2020</t>
        </is>
      </c>
      <c r="B5118" s="1" t="n">
        <v>44057</v>
      </c>
      <c r="C5118" s="1" t="n">
        <v>45212</v>
      </c>
      <c r="D5118" t="inlineStr">
        <is>
          <t>VÄSTRA GÖTALANDS LÄN</t>
        </is>
      </c>
      <c r="E5118" t="inlineStr">
        <is>
          <t>ESSUNGA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37941-2020</t>
        </is>
      </c>
      <c r="B5119" s="1" t="n">
        <v>44057</v>
      </c>
      <c r="C5119" s="1" t="n">
        <v>45212</v>
      </c>
      <c r="D5119" t="inlineStr">
        <is>
          <t>VÄSTRA GÖTALANDS LÄN</t>
        </is>
      </c>
      <c r="E5119" t="inlineStr">
        <is>
          <t>HERRLJUNGA</t>
        </is>
      </c>
      <c r="F5119" t="inlineStr">
        <is>
          <t>Sveaskog</t>
        </is>
      </c>
      <c r="G5119" t="n">
        <v>3.7</v>
      </c>
      <c r="H5119" t="n">
        <v>0</v>
      </c>
      <c r="I5119" t="n">
        <v>0</v>
      </c>
      <c r="J5119" t="n">
        <v>0</v>
      </c>
      <c r="K5119" t="n">
        <v>0</v>
      </c>
      <c r="L5119" t="n">
        <v>0</v>
      </c>
      <c r="M5119" t="n">
        <v>0</v>
      </c>
      <c r="N5119" t="n">
        <v>0</v>
      </c>
      <c r="O5119" t="n">
        <v>0</v>
      </c>
      <c r="P5119" t="n">
        <v>0</v>
      </c>
      <c r="Q5119" t="n">
        <v>0</v>
      </c>
      <c r="R5119" s="2" t="inlineStr"/>
    </row>
    <row r="5120" ht="15" customHeight="1">
      <c r="A5120" t="inlineStr">
        <is>
          <t>A 37992-2020</t>
        </is>
      </c>
      <c r="B5120" s="1" t="n">
        <v>44057</v>
      </c>
      <c r="C5120" s="1" t="n">
        <v>45212</v>
      </c>
      <c r="D5120" t="inlineStr">
        <is>
          <t>VÄSTRA GÖTALANDS LÄN</t>
        </is>
      </c>
      <c r="E5120" t="inlineStr">
        <is>
          <t>BORÅS</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38043-2020</t>
        </is>
      </c>
      <c r="B5121" s="1" t="n">
        <v>44057</v>
      </c>
      <c r="C5121" s="1" t="n">
        <v>45212</v>
      </c>
      <c r="D5121" t="inlineStr">
        <is>
          <t>VÄSTRA GÖTALANDS LÄN</t>
        </is>
      </c>
      <c r="E5121" t="inlineStr">
        <is>
          <t>TIDAHOLM</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37987-2020</t>
        </is>
      </c>
      <c r="B5122" s="1" t="n">
        <v>44057</v>
      </c>
      <c r="C5122" s="1" t="n">
        <v>45212</v>
      </c>
      <c r="D5122" t="inlineStr">
        <is>
          <t>VÄSTRA GÖTALANDS LÄN</t>
        </is>
      </c>
      <c r="E5122" t="inlineStr">
        <is>
          <t>HÄRRYDA</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38039-2020</t>
        </is>
      </c>
      <c r="B5123" s="1" t="n">
        <v>44057</v>
      </c>
      <c r="C5123" s="1" t="n">
        <v>45212</v>
      </c>
      <c r="D5123" t="inlineStr">
        <is>
          <t>VÄSTRA GÖTALANDS LÄN</t>
        </is>
      </c>
      <c r="E5123" t="inlineStr">
        <is>
          <t>SKÖVDE</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38116-2020</t>
        </is>
      </c>
      <c r="B5124" s="1" t="n">
        <v>44058</v>
      </c>
      <c r="C5124" s="1" t="n">
        <v>45212</v>
      </c>
      <c r="D5124" t="inlineStr">
        <is>
          <t>VÄSTRA GÖTALANDS LÄN</t>
        </is>
      </c>
      <c r="E5124" t="inlineStr">
        <is>
          <t>ÅMÅL</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38202-2020</t>
        </is>
      </c>
      <c r="B5125" s="1" t="n">
        <v>44060</v>
      </c>
      <c r="C5125" s="1" t="n">
        <v>45212</v>
      </c>
      <c r="D5125" t="inlineStr">
        <is>
          <t>VÄSTRA GÖTALANDS LÄN</t>
        </is>
      </c>
      <c r="E5125" t="inlineStr">
        <is>
          <t>BORÅS</t>
        </is>
      </c>
      <c r="G5125" t="n">
        <v>11.7</v>
      </c>
      <c r="H5125" t="n">
        <v>0</v>
      </c>
      <c r="I5125" t="n">
        <v>0</v>
      </c>
      <c r="J5125" t="n">
        <v>0</v>
      </c>
      <c r="K5125" t="n">
        <v>0</v>
      </c>
      <c r="L5125" t="n">
        <v>0</v>
      </c>
      <c r="M5125" t="n">
        <v>0</v>
      </c>
      <c r="N5125" t="n">
        <v>0</v>
      </c>
      <c r="O5125" t="n">
        <v>0</v>
      </c>
      <c r="P5125" t="n">
        <v>0</v>
      </c>
      <c r="Q5125" t="n">
        <v>0</v>
      </c>
      <c r="R5125" s="2" t="inlineStr"/>
    </row>
    <row r="5126" ht="15" customHeight="1">
      <c r="A5126" t="inlineStr">
        <is>
          <t>A 38213-2020</t>
        </is>
      </c>
      <c r="B5126" s="1" t="n">
        <v>44060</v>
      </c>
      <c r="C5126" s="1" t="n">
        <v>45212</v>
      </c>
      <c r="D5126" t="inlineStr">
        <is>
          <t>VÄSTRA GÖTALANDS LÄN</t>
        </is>
      </c>
      <c r="E5126" t="inlineStr">
        <is>
          <t>ULRICEHAMN</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38271-2020</t>
        </is>
      </c>
      <c r="B5127" s="1" t="n">
        <v>44060</v>
      </c>
      <c r="C5127" s="1" t="n">
        <v>45212</v>
      </c>
      <c r="D5127" t="inlineStr">
        <is>
          <t>VÄSTRA GÖTALANDS LÄN</t>
        </is>
      </c>
      <c r="E5127" t="inlineStr">
        <is>
          <t>BORÅS</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38320-2020</t>
        </is>
      </c>
      <c r="B5128" s="1" t="n">
        <v>44060</v>
      </c>
      <c r="C5128" s="1" t="n">
        <v>45212</v>
      </c>
      <c r="D5128" t="inlineStr">
        <is>
          <t>VÄSTRA GÖTALANDS LÄN</t>
        </is>
      </c>
      <c r="E5128" t="inlineStr">
        <is>
          <t>VÄNERSBORG</t>
        </is>
      </c>
      <c r="G5128" t="n">
        <v>0.8</v>
      </c>
      <c r="H5128" t="n">
        <v>0</v>
      </c>
      <c r="I5128" t="n">
        <v>0</v>
      </c>
      <c r="J5128" t="n">
        <v>0</v>
      </c>
      <c r="K5128" t="n">
        <v>0</v>
      </c>
      <c r="L5128" t="n">
        <v>0</v>
      </c>
      <c r="M5128" t="n">
        <v>0</v>
      </c>
      <c r="N5128" t="n">
        <v>0</v>
      </c>
      <c r="O5128" t="n">
        <v>0</v>
      </c>
      <c r="P5128" t="n">
        <v>0</v>
      </c>
      <c r="Q5128" t="n">
        <v>0</v>
      </c>
      <c r="R5128" s="2" t="inlineStr"/>
    </row>
    <row r="5129" ht="15" customHeight="1">
      <c r="A5129" t="inlineStr">
        <is>
          <t>A 38205-2020</t>
        </is>
      </c>
      <c r="B5129" s="1" t="n">
        <v>44060</v>
      </c>
      <c r="C5129" s="1" t="n">
        <v>45212</v>
      </c>
      <c r="D5129" t="inlineStr">
        <is>
          <t>VÄSTRA GÖTALANDS LÄN</t>
        </is>
      </c>
      <c r="E5129" t="inlineStr">
        <is>
          <t>BORÅS</t>
        </is>
      </c>
      <c r="G5129" t="n">
        <v>13.1</v>
      </c>
      <c r="H5129" t="n">
        <v>0</v>
      </c>
      <c r="I5129" t="n">
        <v>0</v>
      </c>
      <c r="J5129" t="n">
        <v>0</v>
      </c>
      <c r="K5129" t="n">
        <v>0</v>
      </c>
      <c r="L5129" t="n">
        <v>0</v>
      </c>
      <c r="M5129" t="n">
        <v>0</v>
      </c>
      <c r="N5129" t="n">
        <v>0</v>
      </c>
      <c r="O5129" t="n">
        <v>0</v>
      </c>
      <c r="P5129" t="n">
        <v>0</v>
      </c>
      <c r="Q5129" t="n">
        <v>0</v>
      </c>
      <c r="R5129" s="2" t="inlineStr"/>
    </row>
    <row r="5130" ht="15" customHeight="1">
      <c r="A5130" t="inlineStr">
        <is>
          <t>A 38216-2020</t>
        </is>
      </c>
      <c r="B5130" s="1" t="n">
        <v>44060</v>
      </c>
      <c r="C5130" s="1" t="n">
        <v>45212</v>
      </c>
      <c r="D5130" t="inlineStr">
        <is>
          <t>VÄSTRA GÖTALANDS LÄN</t>
        </is>
      </c>
      <c r="E5130" t="inlineStr">
        <is>
          <t>UDDEVALLA</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38220-2020</t>
        </is>
      </c>
      <c r="B5131" s="1" t="n">
        <v>44060</v>
      </c>
      <c r="C5131" s="1" t="n">
        <v>45212</v>
      </c>
      <c r="D5131" t="inlineStr">
        <is>
          <t>VÄSTRA GÖTALANDS LÄN</t>
        </is>
      </c>
      <c r="E5131" t="inlineStr">
        <is>
          <t>BORÅS</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38229-2020</t>
        </is>
      </c>
      <c r="B5132" s="1" t="n">
        <v>44060</v>
      </c>
      <c r="C5132" s="1" t="n">
        <v>45212</v>
      </c>
      <c r="D5132" t="inlineStr">
        <is>
          <t>VÄSTRA GÖTALANDS LÄN</t>
        </is>
      </c>
      <c r="E5132" t="inlineStr">
        <is>
          <t>BORÅS</t>
        </is>
      </c>
      <c r="G5132" t="n">
        <v>8.1</v>
      </c>
      <c r="H5132" t="n">
        <v>0</v>
      </c>
      <c r="I5132" t="n">
        <v>0</v>
      </c>
      <c r="J5132" t="n">
        <v>0</v>
      </c>
      <c r="K5132" t="n">
        <v>0</v>
      </c>
      <c r="L5132" t="n">
        <v>0</v>
      </c>
      <c r="M5132" t="n">
        <v>0</v>
      </c>
      <c r="N5132" t="n">
        <v>0</v>
      </c>
      <c r="O5132" t="n">
        <v>0</v>
      </c>
      <c r="P5132" t="n">
        <v>0</v>
      </c>
      <c r="Q5132" t="n">
        <v>0</v>
      </c>
      <c r="R5132" s="2" t="inlineStr"/>
    </row>
    <row r="5133" ht="15" customHeight="1">
      <c r="A5133" t="inlineStr">
        <is>
          <t>A 38242-2020</t>
        </is>
      </c>
      <c r="B5133" s="1" t="n">
        <v>44060</v>
      </c>
      <c r="C5133" s="1" t="n">
        <v>45212</v>
      </c>
      <c r="D5133" t="inlineStr">
        <is>
          <t>VÄSTRA GÖTALANDS LÄN</t>
        </is>
      </c>
      <c r="E5133" t="inlineStr">
        <is>
          <t>BORÅS</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38233-2020</t>
        </is>
      </c>
      <c r="B5134" s="1" t="n">
        <v>44060</v>
      </c>
      <c r="C5134" s="1" t="n">
        <v>45212</v>
      </c>
      <c r="D5134" t="inlineStr">
        <is>
          <t>VÄSTRA GÖTALANDS LÄN</t>
        </is>
      </c>
      <c r="E5134" t="inlineStr">
        <is>
          <t>BORÅS</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38262-2020</t>
        </is>
      </c>
      <c r="B5135" s="1" t="n">
        <v>44060</v>
      </c>
      <c r="C5135" s="1" t="n">
        <v>45212</v>
      </c>
      <c r="D5135" t="inlineStr">
        <is>
          <t>VÄSTRA GÖTALANDS LÄN</t>
        </is>
      </c>
      <c r="E5135" t="inlineStr">
        <is>
          <t>ULRICEHAMN</t>
        </is>
      </c>
      <c r="G5135" t="n">
        <v>1.7</v>
      </c>
      <c r="H5135" t="n">
        <v>0</v>
      </c>
      <c r="I5135" t="n">
        <v>0</v>
      </c>
      <c r="J5135" t="n">
        <v>0</v>
      </c>
      <c r="K5135" t="n">
        <v>0</v>
      </c>
      <c r="L5135" t="n">
        <v>0</v>
      </c>
      <c r="M5135" t="n">
        <v>0</v>
      </c>
      <c r="N5135" t="n">
        <v>0</v>
      </c>
      <c r="O5135" t="n">
        <v>0</v>
      </c>
      <c r="P5135" t="n">
        <v>0</v>
      </c>
      <c r="Q5135" t="n">
        <v>0</v>
      </c>
      <c r="R5135" s="2" t="inlineStr"/>
    </row>
    <row r="5136" ht="15" customHeight="1">
      <c r="A5136" t="inlineStr">
        <is>
          <t>A 38270-2020</t>
        </is>
      </c>
      <c r="B5136" s="1" t="n">
        <v>44060</v>
      </c>
      <c r="C5136" s="1" t="n">
        <v>45212</v>
      </c>
      <c r="D5136" t="inlineStr">
        <is>
          <t>VÄSTRA GÖTALANDS LÄN</t>
        </is>
      </c>
      <c r="E5136" t="inlineStr">
        <is>
          <t>BORÅS</t>
        </is>
      </c>
      <c r="G5136" t="n">
        <v>3.6</v>
      </c>
      <c r="H5136" t="n">
        <v>0</v>
      </c>
      <c r="I5136" t="n">
        <v>0</v>
      </c>
      <c r="J5136" t="n">
        <v>0</v>
      </c>
      <c r="K5136" t="n">
        <v>0</v>
      </c>
      <c r="L5136" t="n">
        <v>0</v>
      </c>
      <c r="M5136" t="n">
        <v>0</v>
      </c>
      <c r="N5136" t="n">
        <v>0</v>
      </c>
      <c r="O5136" t="n">
        <v>0</v>
      </c>
      <c r="P5136" t="n">
        <v>0</v>
      </c>
      <c r="Q5136" t="n">
        <v>0</v>
      </c>
      <c r="R5136" s="2" t="inlineStr"/>
    </row>
    <row r="5137" ht="15" customHeight="1">
      <c r="A5137" t="inlineStr">
        <is>
          <t>A 38487-2020</t>
        </is>
      </c>
      <c r="B5137" s="1" t="n">
        <v>44061</v>
      </c>
      <c r="C5137" s="1" t="n">
        <v>45212</v>
      </c>
      <c r="D5137" t="inlineStr">
        <is>
          <t>VÄSTRA GÖTALANDS LÄN</t>
        </is>
      </c>
      <c r="E5137" t="inlineStr">
        <is>
          <t>ÅMÅL</t>
        </is>
      </c>
      <c r="G5137" t="n">
        <v>0.4</v>
      </c>
      <c r="H5137" t="n">
        <v>0</v>
      </c>
      <c r="I5137" t="n">
        <v>0</v>
      </c>
      <c r="J5137" t="n">
        <v>0</v>
      </c>
      <c r="K5137" t="n">
        <v>0</v>
      </c>
      <c r="L5137" t="n">
        <v>0</v>
      </c>
      <c r="M5137" t="n">
        <v>0</v>
      </c>
      <c r="N5137" t="n">
        <v>0</v>
      </c>
      <c r="O5137" t="n">
        <v>0</v>
      </c>
      <c r="P5137" t="n">
        <v>0</v>
      </c>
      <c r="Q5137" t="n">
        <v>0</v>
      </c>
      <c r="R5137" s="2" t="inlineStr"/>
    </row>
    <row r="5138" ht="15" customHeight="1">
      <c r="A5138" t="inlineStr">
        <is>
          <t>A 38652-2020</t>
        </is>
      </c>
      <c r="B5138" s="1" t="n">
        <v>44061</v>
      </c>
      <c r="C5138" s="1" t="n">
        <v>45212</v>
      </c>
      <c r="D5138" t="inlineStr">
        <is>
          <t>VÄSTRA GÖTALANDS LÄN</t>
        </is>
      </c>
      <c r="E5138" t="inlineStr">
        <is>
          <t>LIDKÖPING</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38716-2020</t>
        </is>
      </c>
      <c r="B5139" s="1" t="n">
        <v>44061</v>
      </c>
      <c r="C5139" s="1" t="n">
        <v>45212</v>
      </c>
      <c r="D5139" t="inlineStr">
        <is>
          <t>VÄSTRA GÖTALANDS LÄN</t>
        </is>
      </c>
      <c r="E5139" t="inlineStr">
        <is>
          <t>BORÅS</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38488-2020</t>
        </is>
      </c>
      <c r="B5140" s="1" t="n">
        <v>44061</v>
      </c>
      <c r="C5140" s="1" t="n">
        <v>45212</v>
      </c>
      <c r="D5140" t="inlineStr">
        <is>
          <t>VÄSTRA GÖTALANDS LÄN</t>
        </is>
      </c>
      <c r="E5140" t="inlineStr">
        <is>
          <t>ÅMÅL</t>
        </is>
      </c>
      <c r="G5140" t="n">
        <v>0.2</v>
      </c>
      <c r="H5140" t="n">
        <v>0</v>
      </c>
      <c r="I5140" t="n">
        <v>0</v>
      </c>
      <c r="J5140" t="n">
        <v>0</v>
      </c>
      <c r="K5140" t="n">
        <v>0</v>
      </c>
      <c r="L5140" t="n">
        <v>0</v>
      </c>
      <c r="M5140" t="n">
        <v>0</v>
      </c>
      <c r="N5140" t="n">
        <v>0</v>
      </c>
      <c r="O5140" t="n">
        <v>0</v>
      </c>
      <c r="P5140" t="n">
        <v>0</v>
      </c>
      <c r="Q5140" t="n">
        <v>0</v>
      </c>
      <c r="R5140" s="2" t="inlineStr"/>
    </row>
    <row r="5141" ht="15" customHeight="1">
      <c r="A5141" t="inlineStr">
        <is>
          <t>A 38718-2020</t>
        </is>
      </c>
      <c r="B5141" s="1" t="n">
        <v>44061</v>
      </c>
      <c r="C5141" s="1" t="n">
        <v>45212</v>
      </c>
      <c r="D5141" t="inlineStr">
        <is>
          <t>VÄSTRA GÖTALANDS LÄN</t>
        </is>
      </c>
      <c r="E5141" t="inlineStr">
        <is>
          <t>VÅRGÅRDA</t>
        </is>
      </c>
      <c r="F5141" t="inlineStr">
        <is>
          <t>Allmännings- och besparingsskogar</t>
        </is>
      </c>
      <c r="G5141" t="n">
        <v>5.3</v>
      </c>
      <c r="H5141" t="n">
        <v>0</v>
      </c>
      <c r="I5141" t="n">
        <v>0</v>
      </c>
      <c r="J5141" t="n">
        <v>0</v>
      </c>
      <c r="K5141" t="n">
        <v>0</v>
      </c>
      <c r="L5141" t="n">
        <v>0</v>
      </c>
      <c r="M5141" t="n">
        <v>0</v>
      </c>
      <c r="N5141" t="n">
        <v>0</v>
      </c>
      <c r="O5141" t="n">
        <v>0</v>
      </c>
      <c r="P5141" t="n">
        <v>0</v>
      </c>
      <c r="Q5141" t="n">
        <v>0</v>
      </c>
      <c r="R5141" s="2" t="inlineStr"/>
    </row>
    <row r="5142" ht="15" customHeight="1">
      <c r="A5142" t="inlineStr">
        <is>
          <t>A 38724-2020</t>
        </is>
      </c>
      <c r="B5142" s="1" t="n">
        <v>44061</v>
      </c>
      <c r="C5142" s="1" t="n">
        <v>45212</v>
      </c>
      <c r="D5142" t="inlineStr">
        <is>
          <t>VÄSTRA GÖTALANDS LÄN</t>
        </is>
      </c>
      <c r="E5142" t="inlineStr">
        <is>
          <t>BOLLEBYGD</t>
        </is>
      </c>
      <c r="G5142" t="n">
        <v>3.2</v>
      </c>
      <c r="H5142" t="n">
        <v>0</v>
      </c>
      <c r="I5142" t="n">
        <v>0</v>
      </c>
      <c r="J5142" t="n">
        <v>0</v>
      </c>
      <c r="K5142" t="n">
        <v>0</v>
      </c>
      <c r="L5142" t="n">
        <v>0</v>
      </c>
      <c r="M5142" t="n">
        <v>0</v>
      </c>
      <c r="N5142" t="n">
        <v>0</v>
      </c>
      <c r="O5142" t="n">
        <v>0</v>
      </c>
      <c r="P5142" t="n">
        <v>0</v>
      </c>
      <c r="Q5142" t="n">
        <v>0</v>
      </c>
      <c r="R5142" s="2" t="inlineStr"/>
    </row>
    <row r="5143" ht="15" customHeight="1">
      <c r="A5143" t="inlineStr">
        <is>
          <t>A 38489-2020</t>
        </is>
      </c>
      <c r="B5143" s="1" t="n">
        <v>44061</v>
      </c>
      <c r="C5143" s="1" t="n">
        <v>45212</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38526-2020</t>
        </is>
      </c>
      <c r="B5144" s="1" t="n">
        <v>44061</v>
      </c>
      <c r="C5144" s="1" t="n">
        <v>45212</v>
      </c>
      <c r="D5144" t="inlineStr">
        <is>
          <t>VÄSTRA GÖTALANDS LÄN</t>
        </is>
      </c>
      <c r="E5144" t="inlineStr">
        <is>
          <t>MÖLNDAL</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38702-2020</t>
        </is>
      </c>
      <c r="B5145" s="1" t="n">
        <v>44061</v>
      </c>
      <c r="C5145" s="1" t="n">
        <v>45212</v>
      </c>
      <c r="D5145" t="inlineStr">
        <is>
          <t>VÄSTRA GÖTALANDS LÄN</t>
        </is>
      </c>
      <c r="E5145" t="inlineStr">
        <is>
          <t>VÅRGÅRDA</t>
        </is>
      </c>
      <c r="F5145" t="inlineStr">
        <is>
          <t>Allmännings- och besparingsskogar</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38624-2020</t>
        </is>
      </c>
      <c r="B5146" s="1" t="n">
        <v>44061</v>
      </c>
      <c r="C5146" s="1" t="n">
        <v>45212</v>
      </c>
      <c r="D5146" t="inlineStr">
        <is>
          <t>VÄSTRA GÖTALANDS LÄN</t>
        </is>
      </c>
      <c r="E5146" t="inlineStr">
        <is>
          <t>SVENLJUNGA</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38650-2020</t>
        </is>
      </c>
      <c r="B5147" s="1" t="n">
        <v>44061</v>
      </c>
      <c r="C5147" s="1" t="n">
        <v>45212</v>
      </c>
      <c r="D5147" t="inlineStr">
        <is>
          <t>VÄSTRA GÖTALANDS LÄN</t>
        </is>
      </c>
      <c r="E5147" t="inlineStr">
        <is>
          <t>TÖREBODA</t>
        </is>
      </c>
      <c r="G5147" t="n">
        <v>2.3</v>
      </c>
      <c r="H5147" t="n">
        <v>0</v>
      </c>
      <c r="I5147" t="n">
        <v>0</v>
      </c>
      <c r="J5147" t="n">
        <v>0</v>
      </c>
      <c r="K5147" t="n">
        <v>0</v>
      </c>
      <c r="L5147" t="n">
        <v>0</v>
      </c>
      <c r="M5147" t="n">
        <v>0</v>
      </c>
      <c r="N5147" t="n">
        <v>0</v>
      </c>
      <c r="O5147" t="n">
        <v>0</v>
      </c>
      <c r="P5147" t="n">
        <v>0</v>
      </c>
      <c r="Q5147" t="n">
        <v>0</v>
      </c>
      <c r="R5147" s="2" t="inlineStr"/>
    </row>
    <row r="5148" ht="15" customHeight="1">
      <c r="A5148" t="inlineStr">
        <is>
          <t>A 38862-2020</t>
        </is>
      </c>
      <c r="B5148" s="1" t="n">
        <v>44062</v>
      </c>
      <c r="C5148" s="1" t="n">
        <v>45212</v>
      </c>
      <c r="D5148" t="inlineStr">
        <is>
          <t>VÄSTRA GÖTALANDS LÄN</t>
        </is>
      </c>
      <c r="E5148" t="inlineStr">
        <is>
          <t>FÄRGELANDA</t>
        </is>
      </c>
      <c r="G5148" t="n">
        <v>1.6</v>
      </c>
      <c r="H5148" t="n">
        <v>0</v>
      </c>
      <c r="I5148" t="n">
        <v>0</v>
      </c>
      <c r="J5148" t="n">
        <v>0</v>
      </c>
      <c r="K5148" t="n">
        <v>0</v>
      </c>
      <c r="L5148" t="n">
        <v>0</v>
      </c>
      <c r="M5148" t="n">
        <v>0</v>
      </c>
      <c r="N5148" t="n">
        <v>0</v>
      </c>
      <c r="O5148" t="n">
        <v>0</v>
      </c>
      <c r="P5148" t="n">
        <v>0</v>
      </c>
      <c r="Q5148" t="n">
        <v>0</v>
      </c>
      <c r="R5148" s="2" t="inlineStr"/>
    </row>
    <row r="5149" ht="15" customHeight="1">
      <c r="A5149" t="inlineStr">
        <is>
          <t>A 38893-2020</t>
        </is>
      </c>
      <c r="B5149" s="1" t="n">
        <v>44062</v>
      </c>
      <c r="C5149" s="1" t="n">
        <v>45212</v>
      </c>
      <c r="D5149" t="inlineStr">
        <is>
          <t>VÄSTRA GÖTALANDS LÄN</t>
        </is>
      </c>
      <c r="E5149" t="inlineStr">
        <is>
          <t>ULRICEHAMN</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38927-2020</t>
        </is>
      </c>
      <c r="B5150" s="1" t="n">
        <v>44062</v>
      </c>
      <c r="C5150" s="1" t="n">
        <v>45212</v>
      </c>
      <c r="D5150" t="inlineStr">
        <is>
          <t>VÄSTRA GÖTALANDS LÄN</t>
        </is>
      </c>
      <c r="E5150" t="inlineStr">
        <is>
          <t>MUNKEDAL</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38949-2020</t>
        </is>
      </c>
      <c r="B5151" s="1" t="n">
        <v>44062</v>
      </c>
      <c r="C5151" s="1" t="n">
        <v>45212</v>
      </c>
      <c r="D5151" t="inlineStr">
        <is>
          <t>VÄSTRA GÖTALANDS LÄN</t>
        </is>
      </c>
      <c r="E5151" t="inlineStr">
        <is>
          <t>MUNKEDAL</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38915-2020</t>
        </is>
      </c>
      <c r="B5152" s="1" t="n">
        <v>44062</v>
      </c>
      <c r="C5152" s="1" t="n">
        <v>45212</v>
      </c>
      <c r="D5152" t="inlineStr">
        <is>
          <t>VÄSTRA GÖTALANDS LÄN</t>
        </is>
      </c>
      <c r="E5152" t="inlineStr">
        <is>
          <t>TANUM</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39013-2020</t>
        </is>
      </c>
      <c r="B5153" s="1" t="n">
        <v>44062</v>
      </c>
      <c r="C5153" s="1" t="n">
        <v>45212</v>
      </c>
      <c r="D5153" t="inlineStr">
        <is>
          <t>VÄSTRA GÖTALANDS LÄN</t>
        </is>
      </c>
      <c r="E5153" t="inlineStr">
        <is>
          <t>HJO</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38834-2020</t>
        </is>
      </c>
      <c r="B5154" s="1" t="n">
        <v>44062</v>
      </c>
      <c r="C5154" s="1" t="n">
        <v>45212</v>
      </c>
      <c r="D5154" t="inlineStr">
        <is>
          <t>VÄSTRA GÖTALANDS LÄN</t>
        </is>
      </c>
      <c r="E5154" t="inlineStr">
        <is>
          <t>BENGTSFORS</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38892-2020</t>
        </is>
      </c>
      <c r="B5155" s="1" t="n">
        <v>44062</v>
      </c>
      <c r="C5155" s="1" t="n">
        <v>45212</v>
      </c>
      <c r="D5155" t="inlineStr">
        <is>
          <t>VÄSTRA GÖTALANDS LÄN</t>
        </is>
      </c>
      <c r="E5155" t="inlineStr">
        <is>
          <t>DALS-ED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39182-2020</t>
        </is>
      </c>
      <c r="B5156" s="1" t="n">
        <v>44063</v>
      </c>
      <c r="C5156" s="1" t="n">
        <v>45212</v>
      </c>
      <c r="D5156" t="inlineStr">
        <is>
          <t>VÄSTRA GÖTALANDS LÄN</t>
        </is>
      </c>
      <c r="E5156" t="inlineStr">
        <is>
          <t>MARIESTAD</t>
        </is>
      </c>
      <c r="F5156" t="inlineStr">
        <is>
          <t>Sveaskog</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39211-2020</t>
        </is>
      </c>
      <c r="B5157" s="1" t="n">
        <v>44063</v>
      </c>
      <c r="C5157" s="1" t="n">
        <v>45212</v>
      </c>
      <c r="D5157" t="inlineStr">
        <is>
          <t>VÄSTRA GÖTALANDS LÄN</t>
        </is>
      </c>
      <c r="E5157" t="inlineStr">
        <is>
          <t>MARIESTAD</t>
        </is>
      </c>
      <c r="G5157" t="n">
        <v>6.4</v>
      </c>
      <c r="H5157" t="n">
        <v>0</v>
      </c>
      <c r="I5157" t="n">
        <v>0</v>
      </c>
      <c r="J5157" t="n">
        <v>0</v>
      </c>
      <c r="K5157" t="n">
        <v>0</v>
      </c>
      <c r="L5157" t="n">
        <v>0</v>
      </c>
      <c r="M5157" t="n">
        <v>0</v>
      </c>
      <c r="N5157" t="n">
        <v>0</v>
      </c>
      <c r="O5157" t="n">
        <v>0</v>
      </c>
      <c r="P5157" t="n">
        <v>0</v>
      </c>
      <c r="Q5157" t="n">
        <v>0</v>
      </c>
      <c r="R5157" s="2" t="inlineStr"/>
    </row>
    <row r="5158" ht="15" customHeight="1">
      <c r="A5158" t="inlineStr">
        <is>
          <t>A 39587-2020</t>
        </is>
      </c>
      <c r="B5158" s="1" t="n">
        <v>44063</v>
      </c>
      <c r="C5158" s="1" t="n">
        <v>45212</v>
      </c>
      <c r="D5158" t="inlineStr">
        <is>
          <t>VÄSTRA GÖTALANDS LÄN</t>
        </is>
      </c>
      <c r="E5158" t="inlineStr">
        <is>
          <t>MUNKEDAL</t>
        </is>
      </c>
      <c r="G5158" t="n">
        <v>7.5</v>
      </c>
      <c r="H5158" t="n">
        <v>0</v>
      </c>
      <c r="I5158" t="n">
        <v>0</v>
      </c>
      <c r="J5158" t="n">
        <v>0</v>
      </c>
      <c r="K5158" t="n">
        <v>0</v>
      </c>
      <c r="L5158" t="n">
        <v>0</v>
      </c>
      <c r="M5158" t="n">
        <v>0</v>
      </c>
      <c r="N5158" t="n">
        <v>0</v>
      </c>
      <c r="O5158" t="n">
        <v>0</v>
      </c>
      <c r="P5158" t="n">
        <v>0</v>
      </c>
      <c r="Q5158" t="n">
        <v>0</v>
      </c>
      <c r="R5158" s="2" t="inlineStr"/>
    </row>
    <row r="5159" ht="15" customHeight="1">
      <c r="A5159" t="inlineStr">
        <is>
          <t>A 39124-2020</t>
        </is>
      </c>
      <c r="B5159" s="1" t="n">
        <v>44063</v>
      </c>
      <c r="C5159" s="1" t="n">
        <v>45212</v>
      </c>
      <c r="D5159" t="inlineStr">
        <is>
          <t>VÄSTRA GÖTALANDS LÄN</t>
        </is>
      </c>
      <c r="E5159" t="inlineStr">
        <is>
          <t>HERRLJUNGA</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39253-2020</t>
        </is>
      </c>
      <c r="B5160" s="1" t="n">
        <v>44063</v>
      </c>
      <c r="C5160" s="1" t="n">
        <v>45212</v>
      </c>
      <c r="D5160" t="inlineStr">
        <is>
          <t>VÄSTRA GÖTALANDS LÄN</t>
        </is>
      </c>
      <c r="E5160" t="inlineStr">
        <is>
          <t>TIBRO</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39276-2020</t>
        </is>
      </c>
      <c r="B5161" s="1" t="n">
        <v>44063</v>
      </c>
      <c r="C5161" s="1" t="n">
        <v>45212</v>
      </c>
      <c r="D5161" t="inlineStr">
        <is>
          <t>VÄSTRA GÖTALANDS LÄN</t>
        </is>
      </c>
      <c r="E5161" t="inlineStr">
        <is>
          <t>MARIESTAD</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39142-2020</t>
        </is>
      </c>
      <c r="B5162" s="1" t="n">
        <v>44063</v>
      </c>
      <c r="C5162" s="1" t="n">
        <v>45212</v>
      </c>
      <c r="D5162" t="inlineStr">
        <is>
          <t>VÄSTRA GÖTALANDS LÄN</t>
        </is>
      </c>
      <c r="E5162" t="inlineStr">
        <is>
          <t>MUNKEDAL</t>
        </is>
      </c>
      <c r="G5162" t="n">
        <v>3.6</v>
      </c>
      <c r="H5162" t="n">
        <v>0</v>
      </c>
      <c r="I5162" t="n">
        <v>0</v>
      </c>
      <c r="J5162" t="n">
        <v>0</v>
      </c>
      <c r="K5162" t="n">
        <v>0</v>
      </c>
      <c r="L5162" t="n">
        <v>0</v>
      </c>
      <c r="M5162" t="n">
        <v>0</v>
      </c>
      <c r="N5162" t="n">
        <v>0</v>
      </c>
      <c r="O5162" t="n">
        <v>0</v>
      </c>
      <c r="P5162" t="n">
        <v>0</v>
      </c>
      <c r="Q5162" t="n">
        <v>0</v>
      </c>
      <c r="R5162" s="2" t="inlineStr"/>
    </row>
    <row r="5163" ht="15" customHeight="1">
      <c r="A5163" t="inlineStr">
        <is>
          <t>A 39222-2020</t>
        </is>
      </c>
      <c r="B5163" s="1" t="n">
        <v>44063</v>
      </c>
      <c r="C5163" s="1" t="n">
        <v>45212</v>
      </c>
      <c r="D5163" t="inlineStr">
        <is>
          <t>VÄSTRA GÖTALANDS LÄN</t>
        </is>
      </c>
      <c r="E5163" t="inlineStr">
        <is>
          <t>SVENLJUNGA</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39257-2020</t>
        </is>
      </c>
      <c r="B5164" s="1" t="n">
        <v>44063</v>
      </c>
      <c r="C5164" s="1" t="n">
        <v>45212</v>
      </c>
      <c r="D5164" t="inlineStr">
        <is>
          <t>VÄSTRA GÖTALANDS LÄN</t>
        </is>
      </c>
      <c r="E5164" t="inlineStr">
        <is>
          <t>HERRLJUNGA</t>
        </is>
      </c>
      <c r="F5164" t="inlineStr">
        <is>
          <t>Sveaskog</t>
        </is>
      </c>
      <c r="G5164" t="n">
        <v>2</v>
      </c>
      <c r="H5164" t="n">
        <v>0</v>
      </c>
      <c r="I5164" t="n">
        <v>0</v>
      </c>
      <c r="J5164" t="n">
        <v>0</v>
      </c>
      <c r="K5164" t="n">
        <v>0</v>
      </c>
      <c r="L5164" t="n">
        <v>0</v>
      </c>
      <c r="M5164" t="n">
        <v>0</v>
      </c>
      <c r="N5164" t="n">
        <v>0</v>
      </c>
      <c r="O5164" t="n">
        <v>0</v>
      </c>
      <c r="P5164" t="n">
        <v>0</v>
      </c>
      <c r="Q5164" t="n">
        <v>0</v>
      </c>
      <c r="R5164" s="2" t="inlineStr"/>
    </row>
    <row r="5165" ht="15" customHeight="1">
      <c r="A5165" t="inlineStr">
        <is>
          <t>A 39321-2020</t>
        </is>
      </c>
      <c r="B5165" s="1" t="n">
        <v>44063</v>
      </c>
      <c r="C5165" s="1" t="n">
        <v>45212</v>
      </c>
      <c r="D5165" t="inlineStr">
        <is>
          <t>VÄSTRA GÖTALANDS LÄN</t>
        </is>
      </c>
      <c r="E5165" t="inlineStr">
        <is>
          <t>LIDKÖPING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39179-2020</t>
        </is>
      </c>
      <c r="B5166" s="1" t="n">
        <v>44063</v>
      </c>
      <c r="C5166" s="1" t="n">
        <v>45212</v>
      </c>
      <c r="D5166" t="inlineStr">
        <is>
          <t>VÄSTRA GÖTALANDS LÄN</t>
        </is>
      </c>
      <c r="E5166" t="inlineStr">
        <is>
          <t>MARIESTAD</t>
        </is>
      </c>
      <c r="F5166" t="inlineStr">
        <is>
          <t>Sveaskog</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39219-2020</t>
        </is>
      </c>
      <c r="B5167" s="1" t="n">
        <v>44063</v>
      </c>
      <c r="C5167" s="1" t="n">
        <v>45212</v>
      </c>
      <c r="D5167" t="inlineStr">
        <is>
          <t>VÄSTRA GÖTALANDS LÄN</t>
        </is>
      </c>
      <c r="E5167" t="inlineStr">
        <is>
          <t>SVENLJUNGA</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39280-2020</t>
        </is>
      </c>
      <c r="B5168" s="1" t="n">
        <v>44063</v>
      </c>
      <c r="C5168" s="1" t="n">
        <v>45212</v>
      </c>
      <c r="D5168" t="inlineStr">
        <is>
          <t>VÄSTRA GÖTALANDS LÄN</t>
        </is>
      </c>
      <c r="E5168" t="inlineStr">
        <is>
          <t>GRÄSTORP</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39562-2020</t>
        </is>
      </c>
      <c r="B5169" s="1" t="n">
        <v>44063</v>
      </c>
      <c r="C5169" s="1" t="n">
        <v>45212</v>
      </c>
      <c r="D5169" t="inlineStr">
        <is>
          <t>VÄSTRA GÖTALANDS LÄN</t>
        </is>
      </c>
      <c r="E5169" t="inlineStr">
        <is>
          <t>GRÄSTORP</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39457-2020</t>
        </is>
      </c>
      <c r="B5170" s="1" t="n">
        <v>44064</v>
      </c>
      <c r="C5170" s="1" t="n">
        <v>45212</v>
      </c>
      <c r="D5170" t="inlineStr">
        <is>
          <t>VÄSTRA GÖTALANDS LÄN</t>
        </is>
      </c>
      <c r="E5170" t="inlineStr">
        <is>
          <t>MARIESTAD</t>
        </is>
      </c>
      <c r="G5170" t="n">
        <v>14.5</v>
      </c>
      <c r="H5170" t="n">
        <v>0</v>
      </c>
      <c r="I5170" t="n">
        <v>0</v>
      </c>
      <c r="J5170" t="n">
        <v>0</v>
      </c>
      <c r="K5170" t="n">
        <v>0</v>
      </c>
      <c r="L5170" t="n">
        <v>0</v>
      </c>
      <c r="M5170" t="n">
        <v>0</v>
      </c>
      <c r="N5170" t="n">
        <v>0</v>
      </c>
      <c r="O5170" t="n">
        <v>0</v>
      </c>
      <c r="P5170" t="n">
        <v>0</v>
      </c>
      <c r="Q5170" t="n">
        <v>0</v>
      </c>
      <c r="R5170" s="2" t="inlineStr"/>
    </row>
    <row r="5171" ht="15" customHeight="1">
      <c r="A5171" t="inlineStr">
        <is>
          <t>A 39424-2020</t>
        </is>
      </c>
      <c r="B5171" s="1" t="n">
        <v>44064</v>
      </c>
      <c r="C5171" s="1" t="n">
        <v>45212</v>
      </c>
      <c r="D5171" t="inlineStr">
        <is>
          <t>VÄSTRA GÖTALANDS LÄN</t>
        </is>
      </c>
      <c r="E5171" t="inlineStr">
        <is>
          <t>GULLSPÅNG</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39542-2020</t>
        </is>
      </c>
      <c r="B5172" s="1" t="n">
        <v>44064</v>
      </c>
      <c r="C5172" s="1" t="n">
        <v>45212</v>
      </c>
      <c r="D5172" t="inlineStr">
        <is>
          <t>VÄSTRA GÖTALANDS LÄN</t>
        </is>
      </c>
      <c r="E5172" t="inlineStr">
        <is>
          <t>GULLSPÅNG</t>
        </is>
      </c>
      <c r="G5172" t="n">
        <v>6</v>
      </c>
      <c r="H5172" t="n">
        <v>0</v>
      </c>
      <c r="I5172" t="n">
        <v>0</v>
      </c>
      <c r="J5172" t="n">
        <v>0</v>
      </c>
      <c r="K5172" t="n">
        <v>0</v>
      </c>
      <c r="L5172" t="n">
        <v>0</v>
      </c>
      <c r="M5172" t="n">
        <v>0</v>
      </c>
      <c r="N5172" t="n">
        <v>0</v>
      </c>
      <c r="O5172" t="n">
        <v>0</v>
      </c>
      <c r="P5172" t="n">
        <v>0</v>
      </c>
      <c r="Q5172" t="n">
        <v>0</v>
      </c>
      <c r="R5172" s="2" t="inlineStr"/>
    </row>
    <row r="5173" ht="15" customHeight="1">
      <c r="A5173" t="inlineStr">
        <is>
          <t>A 39555-2020</t>
        </is>
      </c>
      <c r="B5173" s="1" t="n">
        <v>44064</v>
      </c>
      <c r="C5173" s="1" t="n">
        <v>45212</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39550-2020</t>
        </is>
      </c>
      <c r="B5174" s="1" t="n">
        <v>44064</v>
      </c>
      <c r="C5174" s="1" t="n">
        <v>45212</v>
      </c>
      <c r="D5174" t="inlineStr">
        <is>
          <t>VÄSTRA GÖTALANDS LÄN</t>
        </is>
      </c>
      <c r="E5174" t="inlineStr">
        <is>
          <t>LYSEKIL</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39722-2020</t>
        </is>
      </c>
      <c r="B5175" s="1" t="n">
        <v>44067</v>
      </c>
      <c r="C5175" s="1" t="n">
        <v>45212</v>
      </c>
      <c r="D5175" t="inlineStr">
        <is>
          <t>VÄSTRA GÖTALANDS LÄN</t>
        </is>
      </c>
      <c r="E5175" t="inlineStr">
        <is>
          <t>MARIESTAD</t>
        </is>
      </c>
      <c r="F5175" t="inlineStr">
        <is>
          <t>Sveaskog</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40045-2020</t>
        </is>
      </c>
      <c r="B5176" s="1" t="n">
        <v>44067</v>
      </c>
      <c r="C5176" s="1" t="n">
        <v>45212</v>
      </c>
      <c r="D5176" t="inlineStr">
        <is>
          <t>VÄSTRA GÖTALANDS LÄN</t>
        </is>
      </c>
      <c r="E5176" t="inlineStr">
        <is>
          <t>SKARA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39750-2020</t>
        </is>
      </c>
      <c r="B5177" s="1" t="n">
        <v>44067</v>
      </c>
      <c r="C5177" s="1" t="n">
        <v>45212</v>
      </c>
      <c r="D5177" t="inlineStr">
        <is>
          <t>VÄSTRA GÖTALANDS LÄN</t>
        </is>
      </c>
      <c r="E5177" t="inlineStr">
        <is>
          <t>ÅMÅL</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40044-2020</t>
        </is>
      </c>
      <c r="B5178" s="1" t="n">
        <v>44067</v>
      </c>
      <c r="C5178" s="1" t="n">
        <v>45212</v>
      </c>
      <c r="D5178" t="inlineStr">
        <is>
          <t>VÄSTRA GÖTALANDS LÄN</t>
        </is>
      </c>
      <c r="E5178" t="inlineStr">
        <is>
          <t>SKÖVDE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40115-2020</t>
        </is>
      </c>
      <c r="B5179" s="1" t="n">
        <v>44068</v>
      </c>
      <c r="C5179" s="1" t="n">
        <v>45212</v>
      </c>
      <c r="D5179" t="inlineStr">
        <is>
          <t>VÄSTRA GÖTALANDS LÄN</t>
        </is>
      </c>
      <c r="E5179" t="inlineStr">
        <is>
          <t>ULRICEHAMN</t>
        </is>
      </c>
      <c r="G5179" t="n">
        <v>7.6</v>
      </c>
      <c r="H5179" t="n">
        <v>0</v>
      </c>
      <c r="I5179" t="n">
        <v>0</v>
      </c>
      <c r="J5179" t="n">
        <v>0</v>
      </c>
      <c r="K5179" t="n">
        <v>0</v>
      </c>
      <c r="L5179" t="n">
        <v>0</v>
      </c>
      <c r="M5179" t="n">
        <v>0</v>
      </c>
      <c r="N5179" t="n">
        <v>0</v>
      </c>
      <c r="O5179" t="n">
        <v>0</v>
      </c>
      <c r="P5179" t="n">
        <v>0</v>
      </c>
      <c r="Q5179" t="n">
        <v>0</v>
      </c>
      <c r="R5179" s="2" t="inlineStr"/>
    </row>
    <row r="5180" ht="15" customHeight="1">
      <c r="A5180" t="inlineStr">
        <is>
          <t>A 40232-2020</t>
        </is>
      </c>
      <c r="B5180" s="1" t="n">
        <v>44068</v>
      </c>
      <c r="C5180" s="1" t="n">
        <v>45212</v>
      </c>
      <c r="D5180" t="inlineStr">
        <is>
          <t>VÄSTRA GÖTALANDS LÄN</t>
        </is>
      </c>
      <c r="E5180" t="inlineStr">
        <is>
          <t>MARIESTAD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40296-2020</t>
        </is>
      </c>
      <c r="B5181" s="1" t="n">
        <v>44068</v>
      </c>
      <c r="C5181" s="1" t="n">
        <v>45212</v>
      </c>
      <c r="D5181" t="inlineStr">
        <is>
          <t>VÄSTRA GÖTALANDS LÄN</t>
        </is>
      </c>
      <c r="E5181" t="inlineStr">
        <is>
          <t>ESSUNGA</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40250-2020</t>
        </is>
      </c>
      <c r="B5182" s="1" t="n">
        <v>44068</v>
      </c>
      <c r="C5182" s="1" t="n">
        <v>45212</v>
      </c>
      <c r="D5182" t="inlineStr">
        <is>
          <t>VÄSTRA GÖTALANDS LÄN</t>
        </is>
      </c>
      <c r="E5182" t="inlineStr">
        <is>
          <t>TIBRO</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40236-2020</t>
        </is>
      </c>
      <c r="B5183" s="1" t="n">
        <v>44068</v>
      </c>
      <c r="C5183" s="1" t="n">
        <v>45212</v>
      </c>
      <c r="D5183" t="inlineStr">
        <is>
          <t>VÄSTRA GÖTALANDS LÄN</t>
        </is>
      </c>
      <c r="E5183" t="inlineStr">
        <is>
          <t>MARIESTAD</t>
        </is>
      </c>
      <c r="G5183" t="n">
        <v>5</v>
      </c>
      <c r="H5183" t="n">
        <v>0</v>
      </c>
      <c r="I5183" t="n">
        <v>0</v>
      </c>
      <c r="J5183" t="n">
        <v>0</v>
      </c>
      <c r="K5183" t="n">
        <v>0</v>
      </c>
      <c r="L5183" t="n">
        <v>0</v>
      </c>
      <c r="M5183" t="n">
        <v>0</v>
      </c>
      <c r="N5183" t="n">
        <v>0</v>
      </c>
      <c r="O5183" t="n">
        <v>0</v>
      </c>
      <c r="P5183" t="n">
        <v>0</v>
      </c>
      <c r="Q5183" t="n">
        <v>0</v>
      </c>
      <c r="R5183" s="2" t="inlineStr"/>
    </row>
    <row r="5184" ht="15" customHeight="1">
      <c r="A5184" t="inlineStr">
        <is>
          <t>A 40258-2020</t>
        </is>
      </c>
      <c r="B5184" s="1" t="n">
        <v>44068</v>
      </c>
      <c r="C5184" s="1" t="n">
        <v>45212</v>
      </c>
      <c r="D5184" t="inlineStr">
        <is>
          <t>VÄSTRA GÖTALANDS LÄN</t>
        </is>
      </c>
      <c r="E5184" t="inlineStr">
        <is>
          <t>ESSUNGA</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40142-2020</t>
        </is>
      </c>
      <c r="B5185" s="1" t="n">
        <v>44068</v>
      </c>
      <c r="C5185" s="1" t="n">
        <v>45212</v>
      </c>
      <c r="D5185" t="inlineStr">
        <is>
          <t>VÄSTRA GÖTALANDS LÄN</t>
        </is>
      </c>
      <c r="E5185" t="inlineStr">
        <is>
          <t>HERRLJUNGA</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40293-2020</t>
        </is>
      </c>
      <c r="B5186" s="1" t="n">
        <v>44068</v>
      </c>
      <c r="C5186" s="1" t="n">
        <v>45212</v>
      </c>
      <c r="D5186" t="inlineStr">
        <is>
          <t>VÄSTRA GÖTALANDS LÄN</t>
        </is>
      </c>
      <c r="E5186" t="inlineStr">
        <is>
          <t>SVENLJUNGA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40456-2020</t>
        </is>
      </c>
      <c r="B5187" s="1" t="n">
        <v>44069</v>
      </c>
      <c r="C5187" s="1" t="n">
        <v>45212</v>
      </c>
      <c r="D5187" t="inlineStr">
        <is>
          <t>VÄSTRA GÖTALANDS LÄN</t>
        </is>
      </c>
      <c r="E5187" t="inlineStr">
        <is>
          <t>SKÖVDE</t>
        </is>
      </c>
      <c r="F5187" t="inlineStr">
        <is>
          <t>Sveaskog</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40568-2020</t>
        </is>
      </c>
      <c r="B5188" s="1" t="n">
        <v>44069</v>
      </c>
      <c r="C5188" s="1" t="n">
        <v>45212</v>
      </c>
      <c r="D5188" t="inlineStr">
        <is>
          <t>VÄSTRA GÖTALANDS LÄN</t>
        </is>
      </c>
      <c r="E5188" t="inlineStr">
        <is>
          <t>KUNGÄLV</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40580-2020</t>
        </is>
      </c>
      <c r="B5189" s="1" t="n">
        <v>44069</v>
      </c>
      <c r="C5189" s="1" t="n">
        <v>45212</v>
      </c>
      <c r="D5189" t="inlineStr">
        <is>
          <t>VÄSTRA GÖTALANDS LÄN</t>
        </is>
      </c>
      <c r="E5189" t="inlineStr">
        <is>
          <t>VÄNERSBORG</t>
        </is>
      </c>
      <c r="F5189" t="inlineStr">
        <is>
          <t>Sveaskog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40615-2020</t>
        </is>
      </c>
      <c r="B5190" s="1" t="n">
        <v>44069</v>
      </c>
      <c r="C5190" s="1" t="n">
        <v>45212</v>
      </c>
      <c r="D5190" t="inlineStr">
        <is>
          <t>VÄSTRA GÖTALANDS LÄN</t>
        </is>
      </c>
      <c r="E5190" t="inlineStr">
        <is>
          <t>GULLSPÅNG</t>
        </is>
      </c>
      <c r="F5190" t="inlineStr">
        <is>
          <t>Kyrkan</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40706-2020</t>
        </is>
      </c>
      <c r="B5191" s="1" t="n">
        <v>44069</v>
      </c>
      <c r="C5191" s="1" t="n">
        <v>45212</v>
      </c>
      <c r="D5191" t="inlineStr">
        <is>
          <t>VÄSTRA GÖTALANDS LÄN</t>
        </is>
      </c>
      <c r="E5191" t="inlineStr">
        <is>
          <t>DALS-ED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41215-2020</t>
        </is>
      </c>
      <c r="B5192" s="1" t="n">
        <v>44069</v>
      </c>
      <c r="C5192" s="1" t="n">
        <v>45212</v>
      </c>
      <c r="D5192" t="inlineStr">
        <is>
          <t>VÄSTRA GÖTALANDS LÄN</t>
        </is>
      </c>
      <c r="E5192" t="inlineStr">
        <is>
          <t>KARLSBORG</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40423-2020</t>
        </is>
      </c>
      <c r="B5193" s="1" t="n">
        <v>44069</v>
      </c>
      <c r="C5193" s="1" t="n">
        <v>45212</v>
      </c>
      <c r="D5193" t="inlineStr">
        <is>
          <t>VÄSTRA GÖTALANDS LÄN</t>
        </is>
      </c>
      <c r="E5193" t="inlineStr">
        <is>
          <t>SVENLJUNGA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40541-2020</t>
        </is>
      </c>
      <c r="B5194" s="1" t="n">
        <v>44069</v>
      </c>
      <c r="C5194" s="1" t="n">
        <v>45212</v>
      </c>
      <c r="D5194" t="inlineStr">
        <is>
          <t>VÄSTRA GÖTALANDS LÄN</t>
        </is>
      </c>
      <c r="E5194" t="inlineStr">
        <is>
          <t>TIDAHOLM</t>
        </is>
      </c>
      <c r="G5194" t="n">
        <v>1.6</v>
      </c>
      <c r="H5194" t="n">
        <v>0</v>
      </c>
      <c r="I5194" t="n">
        <v>0</v>
      </c>
      <c r="J5194" t="n">
        <v>0</v>
      </c>
      <c r="K5194" t="n">
        <v>0</v>
      </c>
      <c r="L5194" t="n">
        <v>0</v>
      </c>
      <c r="M5194" t="n">
        <v>0</v>
      </c>
      <c r="N5194" t="n">
        <v>0</v>
      </c>
      <c r="O5194" t="n">
        <v>0</v>
      </c>
      <c r="P5194" t="n">
        <v>0</v>
      </c>
      <c r="Q5194" t="n">
        <v>0</v>
      </c>
      <c r="R5194" s="2" t="inlineStr"/>
    </row>
    <row r="5195" ht="15" customHeight="1">
      <c r="A5195" t="inlineStr">
        <is>
          <t>A 40551-2020</t>
        </is>
      </c>
      <c r="B5195" s="1" t="n">
        <v>44069</v>
      </c>
      <c r="C5195" s="1" t="n">
        <v>45212</v>
      </c>
      <c r="D5195" t="inlineStr">
        <is>
          <t>VÄSTRA GÖTALANDS LÄN</t>
        </is>
      </c>
      <c r="E5195" t="inlineStr">
        <is>
          <t>BENGTSFORS</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40570-2020</t>
        </is>
      </c>
      <c r="B5196" s="1" t="n">
        <v>44069</v>
      </c>
      <c r="C5196" s="1" t="n">
        <v>45212</v>
      </c>
      <c r="D5196" t="inlineStr">
        <is>
          <t>VÄSTRA GÖTALANDS LÄN</t>
        </is>
      </c>
      <c r="E5196" t="inlineStr">
        <is>
          <t>HERRLJUNGA</t>
        </is>
      </c>
      <c r="F5196" t="inlineStr">
        <is>
          <t>Sveaskog</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40677-2020</t>
        </is>
      </c>
      <c r="B5197" s="1" t="n">
        <v>44069</v>
      </c>
      <c r="C5197" s="1" t="n">
        <v>45212</v>
      </c>
      <c r="D5197" t="inlineStr">
        <is>
          <t>VÄSTRA GÖTALANDS LÄN</t>
        </is>
      </c>
      <c r="E5197" t="inlineStr">
        <is>
          <t>SKARA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40704-2020</t>
        </is>
      </c>
      <c r="B5198" s="1" t="n">
        <v>44069</v>
      </c>
      <c r="C5198" s="1" t="n">
        <v>45212</v>
      </c>
      <c r="D5198" t="inlineStr">
        <is>
          <t>VÄSTRA GÖTALANDS LÄN</t>
        </is>
      </c>
      <c r="E5198" t="inlineStr">
        <is>
          <t>LIDKÖPING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40942-2020</t>
        </is>
      </c>
      <c r="B5199" s="1" t="n">
        <v>44070</v>
      </c>
      <c r="C5199" s="1" t="n">
        <v>45212</v>
      </c>
      <c r="D5199" t="inlineStr">
        <is>
          <t>VÄSTRA GÖTALANDS LÄN</t>
        </is>
      </c>
      <c r="E5199" t="inlineStr">
        <is>
          <t>ESSUNGA</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40991-2020</t>
        </is>
      </c>
      <c r="B5200" s="1" t="n">
        <v>44070</v>
      </c>
      <c r="C5200" s="1" t="n">
        <v>45212</v>
      </c>
      <c r="D5200" t="inlineStr">
        <is>
          <t>VÄSTRA GÖTALANDS LÄN</t>
        </is>
      </c>
      <c r="E5200" t="inlineStr">
        <is>
          <t>ÅMÅL</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40821-2020</t>
        </is>
      </c>
      <c r="B5201" s="1" t="n">
        <v>44070</v>
      </c>
      <c r="C5201" s="1" t="n">
        <v>45212</v>
      </c>
      <c r="D5201" t="inlineStr">
        <is>
          <t>VÄSTRA GÖTALANDS LÄN</t>
        </is>
      </c>
      <c r="E5201" t="inlineStr">
        <is>
          <t>TRANEMO</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41593-2020</t>
        </is>
      </c>
      <c r="B5202" s="1" t="n">
        <v>44070</v>
      </c>
      <c r="C5202" s="1" t="n">
        <v>45212</v>
      </c>
      <c r="D5202" t="inlineStr">
        <is>
          <t>VÄSTRA GÖTALANDS LÄN</t>
        </is>
      </c>
      <c r="E5202" t="inlineStr">
        <is>
          <t>MUNKEDAL</t>
        </is>
      </c>
      <c r="F5202" t="inlineStr">
        <is>
          <t>Övriga Aktiebolag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41691-2020</t>
        </is>
      </c>
      <c r="B5203" s="1" t="n">
        <v>44070</v>
      </c>
      <c r="C5203" s="1" t="n">
        <v>45212</v>
      </c>
      <c r="D5203" t="inlineStr">
        <is>
          <t>VÄSTRA GÖTALANDS LÄN</t>
        </is>
      </c>
      <c r="E5203" t="inlineStr">
        <is>
          <t>LIDKÖPING</t>
        </is>
      </c>
      <c r="G5203" t="n">
        <v>8</v>
      </c>
      <c r="H5203" t="n">
        <v>0</v>
      </c>
      <c r="I5203" t="n">
        <v>0</v>
      </c>
      <c r="J5203" t="n">
        <v>0</v>
      </c>
      <c r="K5203" t="n">
        <v>0</v>
      </c>
      <c r="L5203" t="n">
        <v>0</v>
      </c>
      <c r="M5203" t="n">
        <v>0</v>
      </c>
      <c r="N5203" t="n">
        <v>0</v>
      </c>
      <c r="O5203" t="n">
        <v>0</v>
      </c>
      <c r="P5203" t="n">
        <v>0</v>
      </c>
      <c r="Q5203" t="n">
        <v>0</v>
      </c>
      <c r="R5203" s="2" t="inlineStr"/>
    </row>
    <row r="5204" ht="15" customHeight="1">
      <c r="A5204" t="inlineStr">
        <is>
          <t>A 40849-2020</t>
        </is>
      </c>
      <c r="B5204" s="1" t="n">
        <v>44070</v>
      </c>
      <c r="C5204" s="1" t="n">
        <v>45212</v>
      </c>
      <c r="D5204" t="inlineStr">
        <is>
          <t>VÄSTRA GÖTALANDS LÄN</t>
        </is>
      </c>
      <c r="E5204" t="inlineStr">
        <is>
          <t>MUNKEDAL</t>
        </is>
      </c>
      <c r="G5204" t="n">
        <v>6.5</v>
      </c>
      <c r="H5204" t="n">
        <v>0</v>
      </c>
      <c r="I5204" t="n">
        <v>0</v>
      </c>
      <c r="J5204" t="n">
        <v>0</v>
      </c>
      <c r="K5204" t="n">
        <v>0</v>
      </c>
      <c r="L5204" t="n">
        <v>0</v>
      </c>
      <c r="M5204" t="n">
        <v>0</v>
      </c>
      <c r="N5204" t="n">
        <v>0</v>
      </c>
      <c r="O5204" t="n">
        <v>0</v>
      </c>
      <c r="P5204" t="n">
        <v>0</v>
      </c>
      <c r="Q5204" t="n">
        <v>0</v>
      </c>
      <c r="R5204" s="2" t="inlineStr"/>
    </row>
    <row r="5205" ht="15" customHeight="1">
      <c r="A5205" t="inlineStr">
        <is>
          <t>A 41225-2020</t>
        </is>
      </c>
      <c r="B5205" s="1" t="n">
        <v>44071</v>
      </c>
      <c r="C5205" s="1" t="n">
        <v>45212</v>
      </c>
      <c r="D5205" t="inlineStr">
        <is>
          <t>VÄSTRA GÖTALANDS LÄN</t>
        </is>
      </c>
      <c r="E5205" t="inlineStr">
        <is>
          <t>STRÖMSTAD</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42084-2020</t>
        </is>
      </c>
      <c r="B5206" s="1" t="n">
        <v>44071</v>
      </c>
      <c r="C5206" s="1" t="n">
        <v>45212</v>
      </c>
      <c r="D5206" t="inlineStr">
        <is>
          <t>VÄSTRA GÖTALANDS LÄN</t>
        </is>
      </c>
      <c r="E5206" t="inlineStr">
        <is>
          <t>TIDAHOLM</t>
        </is>
      </c>
      <c r="G5206" t="n">
        <v>4.6</v>
      </c>
      <c r="H5206" t="n">
        <v>0</v>
      </c>
      <c r="I5206" t="n">
        <v>0</v>
      </c>
      <c r="J5206" t="n">
        <v>0</v>
      </c>
      <c r="K5206" t="n">
        <v>0</v>
      </c>
      <c r="L5206" t="n">
        <v>0</v>
      </c>
      <c r="M5206" t="n">
        <v>0</v>
      </c>
      <c r="N5206" t="n">
        <v>0</v>
      </c>
      <c r="O5206" t="n">
        <v>0</v>
      </c>
      <c r="P5206" t="n">
        <v>0</v>
      </c>
      <c r="Q5206" t="n">
        <v>0</v>
      </c>
      <c r="R5206" s="2" t="inlineStr"/>
    </row>
    <row r="5207" ht="15" customHeight="1">
      <c r="A5207" t="inlineStr">
        <is>
          <t>A 41164-2020</t>
        </is>
      </c>
      <c r="B5207" s="1" t="n">
        <v>44071</v>
      </c>
      <c r="C5207" s="1" t="n">
        <v>45212</v>
      </c>
      <c r="D5207" t="inlineStr">
        <is>
          <t>VÄSTRA GÖTALANDS LÄN</t>
        </is>
      </c>
      <c r="E5207" t="inlineStr">
        <is>
          <t>FALKÖPING</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41190-2020</t>
        </is>
      </c>
      <c r="B5208" s="1" t="n">
        <v>44071</v>
      </c>
      <c r="C5208" s="1" t="n">
        <v>45212</v>
      </c>
      <c r="D5208" t="inlineStr">
        <is>
          <t>VÄSTRA GÖTALANDS LÄN</t>
        </is>
      </c>
      <c r="E5208" t="inlineStr">
        <is>
          <t>ÅMÅL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41205-2020</t>
        </is>
      </c>
      <c r="B5209" s="1" t="n">
        <v>44071</v>
      </c>
      <c r="C5209" s="1" t="n">
        <v>45212</v>
      </c>
      <c r="D5209" t="inlineStr">
        <is>
          <t>VÄSTRA GÖTALANDS LÄN</t>
        </is>
      </c>
      <c r="E5209" t="inlineStr">
        <is>
          <t>STRÖMSTAD</t>
        </is>
      </c>
      <c r="G5209" t="n">
        <v>4.3</v>
      </c>
      <c r="H5209" t="n">
        <v>0</v>
      </c>
      <c r="I5209" t="n">
        <v>0</v>
      </c>
      <c r="J5209" t="n">
        <v>0</v>
      </c>
      <c r="K5209" t="n">
        <v>0</v>
      </c>
      <c r="L5209" t="n">
        <v>0</v>
      </c>
      <c r="M5209" t="n">
        <v>0</v>
      </c>
      <c r="N5209" t="n">
        <v>0</v>
      </c>
      <c r="O5209" t="n">
        <v>0</v>
      </c>
      <c r="P5209" t="n">
        <v>0</v>
      </c>
      <c r="Q5209" t="n">
        <v>0</v>
      </c>
      <c r="R5209" s="2" t="inlineStr"/>
    </row>
    <row r="5210" ht="15" customHeight="1">
      <c r="A5210" t="inlineStr">
        <is>
          <t>A 41220-2020</t>
        </is>
      </c>
      <c r="B5210" s="1" t="n">
        <v>44071</v>
      </c>
      <c r="C5210" s="1" t="n">
        <v>45212</v>
      </c>
      <c r="D5210" t="inlineStr">
        <is>
          <t>VÄSTRA GÖTALANDS LÄN</t>
        </is>
      </c>
      <c r="E5210" t="inlineStr">
        <is>
          <t>STRÖMSTAD</t>
        </is>
      </c>
      <c r="G5210" t="n">
        <v>7.5</v>
      </c>
      <c r="H5210" t="n">
        <v>0</v>
      </c>
      <c r="I5210" t="n">
        <v>0</v>
      </c>
      <c r="J5210" t="n">
        <v>0</v>
      </c>
      <c r="K5210" t="n">
        <v>0</v>
      </c>
      <c r="L5210" t="n">
        <v>0</v>
      </c>
      <c r="M5210" t="n">
        <v>0</v>
      </c>
      <c r="N5210" t="n">
        <v>0</v>
      </c>
      <c r="O5210" t="n">
        <v>0</v>
      </c>
      <c r="P5210" t="n">
        <v>0</v>
      </c>
      <c r="Q5210" t="n">
        <v>0</v>
      </c>
      <c r="R5210" s="2" t="inlineStr"/>
    </row>
    <row r="5211" ht="15" customHeight="1">
      <c r="A5211" t="inlineStr">
        <is>
          <t>A 41253-2020</t>
        </is>
      </c>
      <c r="B5211" s="1" t="n">
        <v>44071</v>
      </c>
      <c r="C5211" s="1" t="n">
        <v>45212</v>
      </c>
      <c r="D5211" t="inlineStr">
        <is>
          <t>VÄSTRA GÖTALANDS LÄN</t>
        </is>
      </c>
      <c r="E5211" t="inlineStr">
        <is>
          <t>TANUM</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41329-2020</t>
        </is>
      </c>
      <c r="B5212" s="1" t="n">
        <v>44071</v>
      </c>
      <c r="C5212" s="1" t="n">
        <v>45212</v>
      </c>
      <c r="D5212" t="inlineStr">
        <is>
          <t>VÄSTRA GÖTALANDS LÄN</t>
        </is>
      </c>
      <c r="E5212" t="inlineStr">
        <is>
          <t>BENGTSFORS</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41154-2020</t>
        </is>
      </c>
      <c r="B5213" s="1" t="n">
        <v>44071</v>
      </c>
      <c r="C5213" s="1" t="n">
        <v>45212</v>
      </c>
      <c r="D5213" t="inlineStr">
        <is>
          <t>VÄSTRA GÖTALANDS LÄN</t>
        </is>
      </c>
      <c r="E5213" t="inlineStr">
        <is>
          <t>MUNKEDAL</t>
        </is>
      </c>
      <c r="G5213" t="n">
        <v>1</v>
      </c>
      <c r="H5213" t="n">
        <v>0</v>
      </c>
      <c r="I5213" t="n">
        <v>0</v>
      </c>
      <c r="J5213" t="n">
        <v>0</v>
      </c>
      <c r="K5213" t="n">
        <v>0</v>
      </c>
      <c r="L5213" t="n">
        <v>0</v>
      </c>
      <c r="M5213" t="n">
        <v>0</v>
      </c>
      <c r="N5213" t="n">
        <v>0</v>
      </c>
      <c r="O5213" t="n">
        <v>0</v>
      </c>
      <c r="P5213" t="n">
        <v>0</v>
      </c>
      <c r="Q5213" t="n">
        <v>0</v>
      </c>
      <c r="R5213" s="2" t="inlineStr"/>
    </row>
    <row r="5214" ht="15" customHeight="1">
      <c r="A5214" t="inlineStr">
        <is>
          <t>A 41323-2020</t>
        </is>
      </c>
      <c r="B5214" s="1" t="n">
        <v>44071</v>
      </c>
      <c r="C5214" s="1" t="n">
        <v>45212</v>
      </c>
      <c r="D5214" t="inlineStr">
        <is>
          <t>VÄSTRA GÖTALANDS LÄN</t>
        </is>
      </c>
      <c r="E5214" t="inlineStr">
        <is>
          <t>TANUM</t>
        </is>
      </c>
      <c r="G5214" t="n">
        <v>7.8</v>
      </c>
      <c r="H5214" t="n">
        <v>0</v>
      </c>
      <c r="I5214" t="n">
        <v>0</v>
      </c>
      <c r="J5214" t="n">
        <v>0</v>
      </c>
      <c r="K5214" t="n">
        <v>0</v>
      </c>
      <c r="L5214" t="n">
        <v>0</v>
      </c>
      <c r="M5214" t="n">
        <v>0</v>
      </c>
      <c r="N5214" t="n">
        <v>0</v>
      </c>
      <c r="O5214" t="n">
        <v>0</v>
      </c>
      <c r="P5214" t="n">
        <v>0</v>
      </c>
      <c r="Q5214" t="n">
        <v>0</v>
      </c>
      <c r="R5214" s="2" t="inlineStr"/>
    </row>
    <row r="5215" ht="15" customHeight="1">
      <c r="A5215" t="inlineStr">
        <is>
          <t>A 42091-2020</t>
        </is>
      </c>
      <c r="B5215" s="1" t="n">
        <v>44071</v>
      </c>
      <c r="C5215" s="1" t="n">
        <v>45212</v>
      </c>
      <c r="D5215" t="inlineStr">
        <is>
          <t>VÄSTRA GÖTALANDS LÄN</t>
        </is>
      </c>
      <c r="E5215" t="inlineStr">
        <is>
          <t>TIDAHOLM</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41385-2020</t>
        </is>
      </c>
      <c r="B5216" s="1" t="n">
        <v>44072</v>
      </c>
      <c r="C5216" s="1" t="n">
        <v>45212</v>
      </c>
      <c r="D5216" t="inlineStr">
        <is>
          <t>VÄSTRA GÖTALANDS LÄN</t>
        </is>
      </c>
      <c r="E5216" t="inlineStr">
        <is>
          <t>KARLSBORG</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41390-2020</t>
        </is>
      </c>
      <c r="B5217" s="1" t="n">
        <v>44072</v>
      </c>
      <c r="C5217" s="1" t="n">
        <v>45212</v>
      </c>
      <c r="D5217" t="inlineStr">
        <is>
          <t>VÄSTRA GÖTALANDS LÄN</t>
        </is>
      </c>
      <c r="E5217" t="inlineStr">
        <is>
          <t>MARK</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41393-2020</t>
        </is>
      </c>
      <c r="B5218" s="1" t="n">
        <v>44072</v>
      </c>
      <c r="C5218" s="1" t="n">
        <v>45212</v>
      </c>
      <c r="D5218" t="inlineStr">
        <is>
          <t>VÄSTRA GÖTALANDS LÄN</t>
        </is>
      </c>
      <c r="E5218" t="inlineStr">
        <is>
          <t>MARK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41858-2020</t>
        </is>
      </c>
      <c r="B5219" s="1" t="n">
        <v>44074</v>
      </c>
      <c r="C5219" s="1" t="n">
        <v>45212</v>
      </c>
      <c r="D5219" t="inlineStr">
        <is>
          <t>VÄSTRA GÖTALANDS LÄN</t>
        </is>
      </c>
      <c r="E5219" t="inlineStr">
        <is>
          <t>SKARA</t>
        </is>
      </c>
      <c r="G5219" t="n">
        <v>0.1</v>
      </c>
      <c r="H5219" t="n">
        <v>0</v>
      </c>
      <c r="I5219" t="n">
        <v>0</v>
      </c>
      <c r="J5219" t="n">
        <v>0</v>
      </c>
      <c r="K5219" t="n">
        <v>0</v>
      </c>
      <c r="L5219" t="n">
        <v>0</v>
      </c>
      <c r="M5219" t="n">
        <v>0</v>
      </c>
      <c r="N5219" t="n">
        <v>0</v>
      </c>
      <c r="O5219" t="n">
        <v>0</v>
      </c>
      <c r="P5219" t="n">
        <v>0</v>
      </c>
      <c r="Q5219" t="n">
        <v>0</v>
      </c>
      <c r="R5219" s="2" t="inlineStr"/>
    </row>
    <row r="5220" ht="15" customHeight="1">
      <c r="A5220" t="inlineStr">
        <is>
          <t>A 41627-2020</t>
        </is>
      </c>
      <c r="B5220" s="1" t="n">
        <v>44074</v>
      </c>
      <c r="C5220" s="1" t="n">
        <v>45212</v>
      </c>
      <c r="D5220" t="inlineStr">
        <is>
          <t>VÄSTRA GÖTALANDS LÄN</t>
        </is>
      </c>
      <c r="E5220" t="inlineStr">
        <is>
          <t>BENGTSFORS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41800-2020</t>
        </is>
      </c>
      <c r="B5221" s="1" t="n">
        <v>44074</v>
      </c>
      <c r="C5221" s="1" t="n">
        <v>45212</v>
      </c>
      <c r="D5221" t="inlineStr">
        <is>
          <t>VÄSTRA GÖTALANDS LÄN</t>
        </is>
      </c>
      <c r="E5221" t="inlineStr">
        <is>
          <t>TIDAHOLM</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41856-2020</t>
        </is>
      </c>
      <c r="B5222" s="1" t="n">
        <v>44074</v>
      </c>
      <c r="C5222" s="1" t="n">
        <v>45212</v>
      </c>
      <c r="D5222" t="inlineStr">
        <is>
          <t>VÄSTRA GÖTALANDS LÄN</t>
        </is>
      </c>
      <c r="E5222" t="inlineStr">
        <is>
          <t>SKARA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42108-2020</t>
        </is>
      </c>
      <c r="B5223" s="1" t="n">
        <v>44074</v>
      </c>
      <c r="C5223" s="1" t="n">
        <v>45212</v>
      </c>
      <c r="D5223" t="inlineStr">
        <is>
          <t>VÄSTRA GÖTALANDS LÄN</t>
        </is>
      </c>
      <c r="E5223" t="inlineStr">
        <is>
          <t>ULRICEHAMN</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41855-2020</t>
        </is>
      </c>
      <c r="B5224" s="1" t="n">
        <v>44074</v>
      </c>
      <c r="C5224" s="1" t="n">
        <v>45212</v>
      </c>
      <c r="D5224" t="inlineStr">
        <is>
          <t>VÄSTRA GÖTALANDS LÄN</t>
        </is>
      </c>
      <c r="E5224" t="inlineStr">
        <is>
          <t>SKARA</t>
        </is>
      </c>
      <c r="G5224" t="n">
        <v>0.2</v>
      </c>
      <c r="H5224" t="n">
        <v>0</v>
      </c>
      <c r="I5224" t="n">
        <v>0</v>
      </c>
      <c r="J5224" t="n">
        <v>0</v>
      </c>
      <c r="K5224" t="n">
        <v>0</v>
      </c>
      <c r="L5224" t="n">
        <v>0</v>
      </c>
      <c r="M5224" t="n">
        <v>0</v>
      </c>
      <c r="N5224" t="n">
        <v>0</v>
      </c>
      <c r="O5224" t="n">
        <v>0</v>
      </c>
      <c r="P5224" t="n">
        <v>0</v>
      </c>
      <c r="Q5224" t="n">
        <v>0</v>
      </c>
      <c r="R5224" s="2" t="inlineStr"/>
    </row>
    <row r="5225" ht="15" customHeight="1">
      <c r="A5225" t="inlineStr">
        <is>
          <t>A 41704-2020</t>
        </is>
      </c>
      <c r="B5225" s="1" t="n">
        <v>44074</v>
      </c>
      <c r="C5225" s="1" t="n">
        <v>45212</v>
      </c>
      <c r="D5225" t="inlineStr">
        <is>
          <t>VÄSTRA GÖTALANDS LÄN</t>
        </is>
      </c>
      <c r="E5225" t="inlineStr">
        <is>
          <t>TIDAHOLM</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41753-2020</t>
        </is>
      </c>
      <c r="B5226" s="1" t="n">
        <v>44074</v>
      </c>
      <c r="C5226" s="1" t="n">
        <v>45212</v>
      </c>
      <c r="D5226" t="inlineStr">
        <is>
          <t>VÄSTRA GÖTALANDS LÄN</t>
        </is>
      </c>
      <c r="E5226" t="inlineStr">
        <is>
          <t>TANUM</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41780-2020</t>
        </is>
      </c>
      <c r="B5227" s="1" t="n">
        <v>44074</v>
      </c>
      <c r="C5227" s="1" t="n">
        <v>45212</v>
      </c>
      <c r="D5227" t="inlineStr">
        <is>
          <t>VÄSTRA GÖTALANDS LÄN</t>
        </is>
      </c>
      <c r="E5227" t="inlineStr">
        <is>
          <t>UDDEVALLA</t>
        </is>
      </c>
      <c r="G5227" t="n">
        <v>7.8</v>
      </c>
      <c r="H5227" t="n">
        <v>0</v>
      </c>
      <c r="I5227" t="n">
        <v>0</v>
      </c>
      <c r="J5227" t="n">
        <v>0</v>
      </c>
      <c r="K5227" t="n">
        <v>0</v>
      </c>
      <c r="L5227" t="n">
        <v>0</v>
      </c>
      <c r="M5227" t="n">
        <v>0</v>
      </c>
      <c r="N5227" t="n">
        <v>0</v>
      </c>
      <c r="O5227" t="n">
        <v>0</v>
      </c>
      <c r="P5227" t="n">
        <v>0</v>
      </c>
      <c r="Q5227" t="n">
        <v>0</v>
      </c>
      <c r="R5227" s="2" t="inlineStr"/>
    </row>
    <row r="5228" ht="15" customHeight="1">
      <c r="A5228" t="inlineStr">
        <is>
          <t>A 41910-2020</t>
        </is>
      </c>
      <c r="B5228" s="1" t="n">
        <v>44075</v>
      </c>
      <c r="C5228" s="1" t="n">
        <v>45212</v>
      </c>
      <c r="D5228" t="inlineStr">
        <is>
          <t>VÄSTRA GÖTALANDS LÄN</t>
        </is>
      </c>
      <c r="E5228" t="inlineStr">
        <is>
          <t>ULRICEHAMN</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41946-2020</t>
        </is>
      </c>
      <c r="B5229" s="1" t="n">
        <v>44075</v>
      </c>
      <c r="C5229" s="1" t="n">
        <v>45212</v>
      </c>
      <c r="D5229" t="inlineStr">
        <is>
          <t>VÄSTRA GÖTALANDS LÄN</t>
        </is>
      </c>
      <c r="E5229" t="inlineStr">
        <is>
          <t>TIDAHOLM</t>
        </is>
      </c>
      <c r="F5229" t="inlineStr">
        <is>
          <t>Sveaskog</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42660-2020</t>
        </is>
      </c>
      <c r="B5230" s="1" t="n">
        <v>44075</v>
      </c>
      <c r="C5230" s="1" t="n">
        <v>45212</v>
      </c>
      <c r="D5230" t="inlineStr">
        <is>
          <t>VÄSTRA GÖTALANDS LÄN</t>
        </is>
      </c>
      <c r="E5230" t="inlineStr">
        <is>
          <t>LIDKÖPING</t>
        </is>
      </c>
      <c r="G5230" t="n">
        <v>3.1</v>
      </c>
      <c r="H5230" t="n">
        <v>0</v>
      </c>
      <c r="I5230" t="n">
        <v>0</v>
      </c>
      <c r="J5230" t="n">
        <v>0</v>
      </c>
      <c r="K5230" t="n">
        <v>0</v>
      </c>
      <c r="L5230" t="n">
        <v>0</v>
      </c>
      <c r="M5230" t="n">
        <v>0</v>
      </c>
      <c r="N5230" t="n">
        <v>0</v>
      </c>
      <c r="O5230" t="n">
        <v>0</v>
      </c>
      <c r="P5230" t="n">
        <v>0</v>
      </c>
      <c r="Q5230" t="n">
        <v>0</v>
      </c>
      <c r="R5230" s="2" t="inlineStr"/>
    </row>
    <row r="5231" ht="15" customHeight="1">
      <c r="A5231" t="inlineStr">
        <is>
          <t>A 42676-2020</t>
        </is>
      </c>
      <c r="B5231" s="1" t="n">
        <v>44075</v>
      </c>
      <c r="C5231" s="1" t="n">
        <v>45212</v>
      </c>
      <c r="D5231" t="inlineStr">
        <is>
          <t>VÄSTRA GÖTALANDS LÄN</t>
        </is>
      </c>
      <c r="E5231" t="inlineStr">
        <is>
          <t>VARA</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42160-2020</t>
        </is>
      </c>
      <c r="B5232" s="1" t="n">
        <v>44075</v>
      </c>
      <c r="C5232" s="1" t="n">
        <v>45212</v>
      </c>
      <c r="D5232" t="inlineStr">
        <is>
          <t>VÄSTRA GÖTALANDS LÄN</t>
        </is>
      </c>
      <c r="E5232" t="inlineStr">
        <is>
          <t>SKÖVDE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42407-2020</t>
        </is>
      </c>
      <c r="B5233" s="1" t="n">
        <v>44076</v>
      </c>
      <c r="C5233" s="1" t="n">
        <v>45212</v>
      </c>
      <c r="D5233" t="inlineStr">
        <is>
          <t>VÄSTRA GÖTALANDS LÄN</t>
        </is>
      </c>
      <c r="E5233" t="inlineStr">
        <is>
          <t>BORÅS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42419-2020</t>
        </is>
      </c>
      <c r="B5234" s="1" t="n">
        <v>44076</v>
      </c>
      <c r="C5234" s="1" t="n">
        <v>45212</v>
      </c>
      <c r="D5234" t="inlineStr">
        <is>
          <t>VÄSTRA GÖTALANDS LÄN</t>
        </is>
      </c>
      <c r="E5234" t="inlineStr">
        <is>
          <t>BENGTSFORS</t>
        </is>
      </c>
      <c r="F5234" t="inlineStr">
        <is>
          <t>Övriga Aktiebolag</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42424-2020</t>
        </is>
      </c>
      <c r="B5235" s="1" t="n">
        <v>44076</v>
      </c>
      <c r="C5235" s="1" t="n">
        <v>45212</v>
      </c>
      <c r="D5235" t="inlineStr">
        <is>
          <t>VÄSTRA GÖTALANDS LÄN</t>
        </is>
      </c>
      <c r="E5235" t="inlineStr">
        <is>
          <t>BENGTSFORS</t>
        </is>
      </c>
      <c r="F5235" t="inlineStr">
        <is>
          <t>Övriga Aktiebolag</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43345-2020</t>
        </is>
      </c>
      <c r="B5236" s="1" t="n">
        <v>44076</v>
      </c>
      <c r="C5236" s="1" t="n">
        <v>45212</v>
      </c>
      <c r="D5236" t="inlineStr">
        <is>
          <t>VÄSTRA GÖTALANDS LÄN</t>
        </is>
      </c>
      <c r="E5236" t="inlineStr">
        <is>
          <t>TANUM</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42370-2020</t>
        </is>
      </c>
      <c r="B5237" s="1" t="n">
        <v>44076</v>
      </c>
      <c r="C5237" s="1" t="n">
        <v>45212</v>
      </c>
      <c r="D5237" t="inlineStr">
        <is>
          <t>VÄSTRA GÖTALANDS LÄN</t>
        </is>
      </c>
      <c r="E5237" t="inlineStr">
        <is>
          <t>SVENLJUNGA</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42416-2020</t>
        </is>
      </c>
      <c r="B5238" s="1" t="n">
        <v>44076</v>
      </c>
      <c r="C5238" s="1" t="n">
        <v>45212</v>
      </c>
      <c r="D5238" t="inlineStr">
        <is>
          <t>VÄSTRA GÖTALANDS LÄN</t>
        </is>
      </c>
      <c r="E5238" t="inlineStr">
        <is>
          <t>BENGTSFORS</t>
        </is>
      </c>
      <c r="F5238" t="inlineStr">
        <is>
          <t>Övriga Aktiebolag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42497-2020</t>
        </is>
      </c>
      <c r="B5239" s="1" t="n">
        <v>44077</v>
      </c>
      <c r="C5239" s="1" t="n">
        <v>45212</v>
      </c>
      <c r="D5239" t="inlineStr">
        <is>
          <t>VÄSTRA GÖTALANDS LÄN</t>
        </is>
      </c>
      <c r="E5239" t="inlineStr">
        <is>
          <t>DALS-ED</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42573-2020</t>
        </is>
      </c>
      <c r="B5240" s="1" t="n">
        <v>44077</v>
      </c>
      <c r="C5240" s="1" t="n">
        <v>45212</v>
      </c>
      <c r="D5240" t="inlineStr">
        <is>
          <t>VÄSTRA GÖTALANDS LÄN</t>
        </is>
      </c>
      <c r="E5240" t="inlineStr">
        <is>
          <t>BENGTSFORS</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42579-2020</t>
        </is>
      </c>
      <c r="B5241" s="1" t="n">
        <v>44077</v>
      </c>
      <c r="C5241" s="1" t="n">
        <v>45212</v>
      </c>
      <c r="D5241" t="inlineStr">
        <is>
          <t>VÄSTRA GÖTALANDS LÄN</t>
        </is>
      </c>
      <c r="E5241" t="inlineStr">
        <is>
          <t>HERRLJUNGA</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42630-2020</t>
        </is>
      </c>
      <c r="B5242" s="1" t="n">
        <v>44077</v>
      </c>
      <c r="C5242" s="1" t="n">
        <v>45212</v>
      </c>
      <c r="D5242" t="inlineStr">
        <is>
          <t>VÄSTRA GÖTALANDS LÄN</t>
        </is>
      </c>
      <c r="E5242" t="inlineStr">
        <is>
          <t>BORÅS</t>
        </is>
      </c>
      <c r="G5242" t="n">
        <v>15.7</v>
      </c>
      <c r="H5242" t="n">
        <v>0</v>
      </c>
      <c r="I5242" t="n">
        <v>0</v>
      </c>
      <c r="J5242" t="n">
        <v>0</v>
      </c>
      <c r="K5242" t="n">
        <v>0</v>
      </c>
      <c r="L5242" t="n">
        <v>0</v>
      </c>
      <c r="M5242" t="n">
        <v>0</v>
      </c>
      <c r="N5242" t="n">
        <v>0</v>
      </c>
      <c r="O5242" t="n">
        <v>0</v>
      </c>
      <c r="P5242" t="n">
        <v>0</v>
      </c>
      <c r="Q5242" t="n">
        <v>0</v>
      </c>
      <c r="R5242" s="2" t="inlineStr"/>
    </row>
    <row r="5243" ht="15" customHeight="1">
      <c r="A5243" t="inlineStr">
        <is>
          <t>A 42645-2020</t>
        </is>
      </c>
      <c r="B5243" s="1" t="n">
        <v>44077</v>
      </c>
      <c r="C5243" s="1" t="n">
        <v>45212</v>
      </c>
      <c r="D5243" t="inlineStr">
        <is>
          <t>VÄSTRA GÖTALANDS LÄN</t>
        </is>
      </c>
      <c r="E5243" t="inlineStr">
        <is>
          <t>BORÅS</t>
        </is>
      </c>
      <c r="G5243" t="n">
        <v>15.2</v>
      </c>
      <c r="H5243" t="n">
        <v>0</v>
      </c>
      <c r="I5243" t="n">
        <v>0</v>
      </c>
      <c r="J5243" t="n">
        <v>0</v>
      </c>
      <c r="K5243" t="n">
        <v>0</v>
      </c>
      <c r="L5243" t="n">
        <v>0</v>
      </c>
      <c r="M5243" t="n">
        <v>0</v>
      </c>
      <c r="N5243" t="n">
        <v>0</v>
      </c>
      <c r="O5243" t="n">
        <v>0</v>
      </c>
      <c r="P5243" t="n">
        <v>0</v>
      </c>
      <c r="Q5243" t="n">
        <v>0</v>
      </c>
      <c r="R5243" s="2" t="inlineStr"/>
    </row>
    <row r="5244" ht="15" customHeight="1">
      <c r="A5244" t="inlineStr">
        <is>
          <t>A 43571-2020</t>
        </is>
      </c>
      <c r="B5244" s="1" t="n">
        <v>44077</v>
      </c>
      <c r="C5244" s="1" t="n">
        <v>45212</v>
      </c>
      <c r="D5244" t="inlineStr">
        <is>
          <t>VÄSTRA GÖTALANDS LÄN</t>
        </is>
      </c>
      <c r="E5244" t="inlineStr">
        <is>
          <t>GRÄSTORP</t>
        </is>
      </c>
      <c r="G5244" t="n">
        <v>3</v>
      </c>
      <c r="H5244" t="n">
        <v>0</v>
      </c>
      <c r="I5244" t="n">
        <v>0</v>
      </c>
      <c r="J5244" t="n">
        <v>0</v>
      </c>
      <c r="K5244" t="n">
        <v>0</v>
      </c>
      <c r="L5244" t="n">
        <v>0</v>
      </c>
      <c r="M5244" t="n">
        <v>0</v>
      </c>
      <c r="N5244" t="n">
        <v>0</v>
      </c>
      <c r="O5244" t="n">
        <v>0</v>
      </c>
      <c r="P5244" t="n">
        <v>0</v>
      </c>
      <c r="Q5244" t="n">
        <v>0</v>
      </c>
      <c r="R5244" s="2" t="inlineStr"/>
    </row>
    <row r="5245" ht="15" customHeight="1">
      <c r="A5245" t="inlineStr">
        <is>
          <t>A 42869-2020</t>
        </is>
      </c>
      <c r="B5245" s="1" t="n">
        <v>44078</v>
      </c>
      <c r="C5245" s="1" t="n">
        <v>45212</v>
      </c>
      <c r="D5245" t="inlineStr">
        <is>
          <t>VÄSTRA GÖTALANDS LÄN</t>
        </is>
      </c>
      <c r="E5245" t="inlineStr">
        <is>
          <t>TANUM</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42947-2020</t>
        </is>
      </c>
      <c r="B5246" s="1" t="n">
        <v>44078</v>
      </c>
      <c r="C5246" s="1" t="n">
        <v>45212</v>
      </c>
      <c r="D5246" t="inlineStr">
        <is>
          <t>VÄSTRA GÖTALANDS LÄN</t>
        </is>
      </c>
      <c r="E5246" t="inlineStr">
        <is>
          <t>HERRLJUNGA</t>
        </is>
      </c>
      <c r="G5246" t="n">
        <v>4.9</v>
      </c>
      <c r="H5246" t="n">
        <v>0</v>
      </c>
      <c r="I5246" t="n">
        <v>0</v>
      </c>
      <c r="J5246" t="n">
        <v>0</v>
      </c>
      <c r="K5246" t="n">
        <v>0</v>
      </c>
      <c r="L5246" t="n">
        <v>0</v>
      </c>
      <c r="M5246" t="n">
        <v>0</v>
      </c>
      <c r="N5246" t="n">
        <v>0</v>
      </c>
      <c r="O5246" t="n">
        <v>0</v>
      </c>
      <c r="P5246" t="n">
        <v>0</v>
      </c>
      <c r="Q5246" t="n">
        <v>0</v>
      </c>
      <c r="R5246" s="2" t="inlineStr"/>
    </row>
    <row r="5247" ht="15" customHeight="1">
      <c r="A5247" t="inlineStr">
        <is>
          <t>A 43017-2020</t>
        </is>
      </c>
      <c r="B5247" s="1" t="n">
        <v>44078</v>
      </c>
      <c r="C5247" s="1" t="n">
        <v>45212</v>
      </c>
      <c r="D5247" t="inlineStr">
        <is>
          <t>VÄSTRA GÖTALANDS LÄN</t>
        </is>
      </c>
      <c r="E5247" t="inlineStr">
        <is>
          <t>TIDAHOLM</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42848-2020</t>
        </is>
      </c>
      <c r="B5248" s="1" t="n">
        <v>44078</v>
      </c>
      <c r="C5248" s="1" t="n">
        <v>45212</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42878-2020</t>
        </is>
      </c>
      <c r="B5249" s="1" t="n">
        <v>44078</v>
      </c>
      <c r="C5249" s="1" t="n">
        <v>45212</v>
      </c>
      <c r="D5249" t="inlineStr">
        <is>
          <t>VÄSTRA GÖTALANDS LÄN</t>
        </is>
      </c>
      <c r="E5249" t="inlineStr">
        <is>
          <t>BOLLEBYGD</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42931-2020</t>
        </is>
      </c>
      <c r="B5250" s="1" t="n">
        <v>44078</v>
      </c>
      <c r="C5250" s="1" t="n">
        <v>45212</v>
      </c>
      <c r="D5250" t="inlineStr">
        <is>
          <t>VÄSTRA GÖTALANDS LÄN</t>
        </is>
      </c>
      <c r="E5250" t="inlineStr">
        <is>
          <t>VÅRGÅRDA</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43019-2020</t>
        </is>
      </c>
      <c r="B5251" s="1" t="n">
        <v>44078</v>
      </c>
      <c r="C5251" s="1" t="n">
        <v>45212</v>
      </c>
      <c r="D5251" t="inlineStr">
        <is>
          <t>VÄSTRA GÖTALANDS LÄN</t>
        </is>
      </c>
      <c r="E5251" t="inlineStr">
        <is>
          <t>TIDAHOLM</t>
        </is>
      </c>
      <c r="G5251" t="n">
        <v>4.7</v>
      </c>
      <c r="H5251" t="n">
        <v>0</v>
      </c>
      <c r="I5251" t="n">
        <v>0</v>
      </c>
      <c r="J5251" t="n">
        <v>0</v>
      </c>
      <c r="K5251" t="n">
        <v>0</v>
      </c>
      <c r="L5251" t="n">
        <v>0</v>
      </c>
      <c r="M5251" t="n">
        <v>0</v>
      </c>
      <c r="N5251" t="n">
        <v>0</v>
      </c>
      <c r="O5251" t="n">
        <v>0</v>
      </c>
      <c r="P5251" t="n">
        <v>0</v>
      </c>
      <c r="Q5251" t="n">
        <v>0</v>
      </c>
      <c r="R5251" s="2" t="inlineStr"/>
    </row>
    <row r="5252" ht="15" customHeight="1">
      <c r="A5252" t="inlineStr">
        <is>
          <t>A 43048-2020</t>
        </is>
      </c>
      <c r="B5252" s="1" t="n">
        <v>44078</v>
      </c>
      <c r="C5252" s="1" t="n">
        <v>45212</v>
      </c>
      <c r="D5252" t="inlineStr">
        <is>
          <t>VÄSTRA GÖTALANDS LÄN</t>
        </is>
      </c>
      <c r="E5252" t="inlineStr">
        <is>
          <t>FÄRGELANDA</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42867-2020</t>
        </is>
      </c>
      <c r="B5253" s="1" t="n">
        <v>44078</v>
      </c>
      <c r="C5253" s="1" t="n">
        <v>45212</v>
      </c>
      <c r="D5253" t="inlineStr">
        <is>
          <t>VÄSTRA GÖTALANDS LÄN</t>
        </is>
      </c>
      <c r="E5253" t="inlineStr">
        <is>
          <t>TANUM</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42916-2020</t>
        </is>
      </c>
      <c r="B5254" s="1" t="n">
        <v>44078</v>
      </c>
      <c r="C5254" s="1" t="n">
        <v>45212</v>
      </c>
      <c r="D5254" t="inlineStr">
        <is>
          <t>VÄSTRA GÖTALANDS LÄN</t>
        </is>
      </c>
      <c r="E5254" t="inlineStr">
        <is>
          <t>MUNKEDAL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42943-2020</t>
        </is>
      </c>
      <c r="B5255" s="1" t="n">
        <v>44078</v>
      </c>
      <c r="C5255" s="1" t="n">
        <v>45212</v>
      </c>
      <c r="D5255" t="inlineStr">
        <is>
          <t>VÄSTRA GÖTALANDS LÄN</t>
        </is>
      </c>
      <c r="E5255" t="inlineStr">
        <is>
          <t>HERRLJUNGA</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43198-2020</t>
        </is>
      </c>
      <c r="B5256" s="1" t="n">
        <v>44081</v>
      </c>
      <c r="C5256" s="1" t="n">
        <v>45212</v>
      </c>
      <c r="D5256" t="inlineStr">
        <is>
          <t>VÄSTRA GÖTALANDS LÄN</t>
        </is>
      </c>
      <c r="E5256" t="inlineStr">
        <is>
          <t>HÄRRYDA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43338-2020</t>
        </is>
      </c>
      <c r="B5257" s="1" t="n">
        <v>44081</v>
      </c>
      <c r="C5257" s="1" t="n">
        <v>45212</v>
      </c>
      <c r="D5257" t="inlineStr">
        <is>
          <t>VÄSTRA GÖTALANDS LÄN</t>
        </is>
      </c>
      <c r="E5257" t="inlineStr">
        <is>
          <t>SKARA</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43337-2020</t>
        </is>
      </c>
      <c r="B5258" s="1" t="n">
        <v>44081</v>
      </c>
      <c r="C5258" s="1" t="n">
        <v>45212</v>
      </c>
      <c r="D5258" t="inlineStr">
        <is>
          <t>VÄSTRA GÖTALANDS LÄN</t>
        </is>
      </c>
      <c r="E5258" t="inlineStr">
        <is>
          <t>TRANEMO</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43202-2020</t>
        </is>
      </c>
      <c r="B5259" s="1" t="n">
        <v>44081</v>
      </c>
      <c r="C5259" s="1" t="n">
        <v>45212</v>
      </c>
      <c r="D5259" t="inlineStr">
        <is>
          <t>VÄSTRA GÖTALANDS LÄN</t>
        </is>
      </c>
      <c r="E5259" t="inlineStr">
        <is>
          <t>HÄRRYDA</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43329-2020</t>
        </is>
      </c>
      <c r="B5260" s="1" t="n">
        <v>44081</v>
      </c>
      <c r="C5260" s="1" t="n">
        <v>45212</v>
      </c>
      <c r="D5260" t="inlineStr">
        <is>
          <t>VÄSTRA GÖTALANDS LÄN</t>
        </is>
      </c>
      <c r="E5260" t="inlineStr">
        <is>
          <t>TRANEMO</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43434-2020</t>
        </is>
      </c>
      <c r="B5261" s="1" t="n">
        <v>44081</v>
      </c>
      <c r="C5261" s="1" t="n">
        <v>45212</v>
      </c>
      <c r="D5261" t="inlineStr">
        <is>
          <t>VÄSTRA GÖTALANDS LÄN</t>
        </is>
      </c>
      <c r="E5261" t="inlineStr">
        <is>
          <t>SKARA</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43194-2020</t>
        </is>
      </c>
      <c r="B5262" s="1" t="n">
        <v>44081</v>
      </c>
      <c r="C5262" s="1" t="n">
        <v>45212</v>
      </c>
      <c r="D5262" t="inlineStr">
        <is>
          <t>VÄSTRA GÖTALANDS LÄN</t>
        </is>
      </c>
      <c r="E5262" t="inlineStr">
        <is>
          <t>HÄRRYDA</t>
        </is>
      </c>
      <c r="G5262" t="n">
        <v>3.9</v>
      </c>
      <c r="H5262" t="n">
        <v>0</v>
      </c>
      <c r="I5262" t="n">
        <v>0</v>
      </c>
      <c r="J5262" t="n">
        <v>0</v>
      </c>
      <c r="K5262" t="n">
        <v>0</v>
      </c>
      <c r="L5262" t="n">
        <v>0</v>
      </c>
      <c r="M5262" t="n">
        <v>0</v>
      </c>
      <c r="N5262" t="n">
        <v>0</v>
      </c>
      <c r="O5262" t="n">
        <v>0</v>
      </c>
      <c r="P5262" t="n">
        <v>0</v>
      </c>
      <c r="Q5262" t="n">
        <v>0</v>
      </c>
      <c r="R5262" s="2" t="inlineStr"/>
    </row>
    <row r="5263" ht="15" customHeight="1">
      <c r="A5263" t="inlineStr">
        <is>
          <t>A 43293-2020</t>
        </is>
      </c>
      <c r="B5263" s="1" t="n">
        <v>44081</v>
      </c>
      <c r="C5263" s="1" t="n">
        <v>45212</v>
      </c>
      <c r="D5263" t="inlineStr">
        <is>
          <t>VÄSTRA GÖTALANDS LÄN</t>
        </is>
      </c>
      <c r="E5263" t="inlineStr">
        <is>
          <t>MARIESTAD</t>
        </is>
      </c>
      <c r="G5263" t="n">
        <v>10.2</v>
      </c>
      <c r="H5263" t="n">
        <v>0</v>
      </c>
      <c r="I5263" t="n">
        <v>0</v>
      </c>
      <c r="J5263" t="n">
        <v>0</v>
      </c>
      <c r="K5263" t="n">
        <v>0</v>
      </c>
      <c r="L5263" t="n">
        <v>0</v>
      </c>
      <c r="M5263" t="n">
        <v>0</v>
      </c>
      <c r="N5263" t="n">
        <v>0</v>
      </c>
      <c r="O5263" t="n">
        <v>0</v>
      </c>
      <c r="P5263" t="n">
        <v>0</v>
      </c>
      <c r="Q5263" t="n">
        <v>0</v>
      </c>
      <c r="R5263" s="2" t="inlineStr"/>
    </row>
    <row r="5264" ht="15" customHeight="1">
      <c r="A5264" t="inlineStr">
        <is>
          <t>A 43333-2020</t>
        </is>
      </c>
      <c r="B5264" s="1" t="n">
        <v>44081</v>
      </c>
      <c r="C5264" s="1" t="n">
        <v>45212</v>
      </c>
      <c r="D5264" t="inlineStr">
        <is>
          <t>VÄSTRA GÖTALANDS LÄN</t>
        </is>
      </c>
      <c r="E5264" t="inlineStr">
        <is>
          <t>TRANEMO</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43474-2020</t>
        </is>
      </c>
      <c r="B5265" s="1" t="n">
        <v>44082</v>
      </c>
      <c r="C5265" s="1" t="n">
        <v>45212</v>
      </c>
      <c r="D5265" t="inlineStr">
        <is>
          <t>VÄSTRA GÖTALANDS LÄN</t>
        </is>
      </c>
      <c r="E5265" t="inlineStr">
        <is>
          <t>TIBRO</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43568-2020</t>
        </is>
      </c>
      <c r="B5266" s="1" t="n">
        <v>44082</v>
      </c>
      <c r="C5266" s="1" t="n">
        <v>45212</v>
      </c>
      <c r="D5266" t="inlineStr">
        <is>
          <t>VÄSTRA GÖTALANDS LÄN</t>
        </is>
      </c>
      <c r="E5266" t="inlineStr">
        <is>
          <t>BOLLEBYGD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43588-2020</t>
        </is>
      </c>
      <c r="B5267" s="1" t="n">
        <v>44082</v>
      </c>
      <c r="C5267" s="1" t="n">
        <v>45212</v>
      </c>
      <c r="D5267" t="inlineStr">
        <is>
          <t>VÄSTRA GÖTALANDS LÄN</t>
        </is>
      </c>
      <c r="E5267" t="inlineStr">
        <is>
          <t>ULRICEHAMN</t>
        </is>
      </c>
      <c r="G5267" t="n">
        <v>2.6</v>
      </c>
      <c r="H5267" t="n">
        <v>0</v>
      </c>
      <c r="I5267" t="n">
        <v>0</v>
      </c>
      <c r="J5267" t="n">
        <v>0</v>
      </c>
      <c r="K5267" t="n">
        <v>0</v>
      </c>
      <c r="L5267" t="n">
        <v>0</v>
      </c>
      <c r="M5267" t="n">
        <v>0</v>
      </c>
      <c r="N5267" t="n">
        <v>0</v>
      </c>
      <c r="O5267" t="n">
        <v>0</v>
      </c>
      <c r="P5267" t="n">
        <v>0</v>
      </c>
      <c r="Q5267" t="n">
        <v>0</v>
      </c>
      <c r="R5267" s="2" t="inlineStr"/>
    </row>
    <row r="5268" ht="15" customHeight="1">
      <c r="A5268" t="inlineStr">
        <is>
          <t>A 43727-2020</t>
        </is>
      </c>
      <c r="B5268" s="1" t="n">
        <v>44082</v>
      </c>
      <c r="C5268" s="1" t="n">
        <v>45212</v>
      </c>
      <c r="D5268" t="inlineStr">
        <is>
          <t>VÄSTRA GÖTALANDS LÄN</t>
        </is>
      </c>
      <c r="E5268" t="inlineStr">
        <is>
          <t>TJÖRN</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43766-2020</t>
        </is>
      </c>
      <c r="B5269" s="1" t="n">
        <v>44082</v>
      </c>
      <c r="C5269" s="1" t="n">
        <v>45212</v>
      </c>
      <c r="D5269" t="inlineStr">
        <is>
          <t>VÄSTRA GÖTALANDS LÄN</t>
        </is>
      </c>
      <c r="E5269" t="inlineStr">
        <is>
          <t>STRÖMSTAD</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43783-2020</t>
        </is>
      </c>
      <c r="B5270" s="1" t="n">
        <v>44082</v>
      </c>
      <c r="C5270" s="1" t="n">
        <v>45212</v>
      </c>
      <c r="D5270" t="inlineStr">
        <is>
          <t>VÄSTRA GÖTALANDS LÄN</t>
        </is>
      </c>
      <c r="E5270" t="inlineStr">
        <is>
          <t>SKÖVDE</t>
        </is>
      </c>
      <c r="G5270" t="n">
        <v>4.8</v>
      </c>
      <c r="H5270" t="n">
        <v>0</v>
      </c>
      <c r="I5270" t="n">
        <v>0</v>
      </c>
      <c r="J5270" t="n">
        <v>0</v>
      </c>
      <c r="K5270" t="n">
        <v>0</v>
      </c>
      <c r="L5270" t="n">
        <v>0</v>
      </c>
      <c r="M5270" t="n">
        <v>0</v>
      </c>
      <c r="N5270" t="n">
        <v>0</v>
      </c>
      <c r="O5270" t="n">
        <v>0</v>
      </c>
      <c r="P5270" t="n">
        <v>0</v>
      </c>
      <c r="Q5270" t="n">
        <v>0</v>
      </c>
      <c r="R5270" s="2" t="inlineStr"/>
    </row>
    <row r="5271" ht="15" customHeight="1">
      <c r="A5271" t="inlineStr">
        <is>
          <t>A 44146-2020</t>
        </is>
      </c>
      <c r="B5271" s="1" t="n">
        <v>44082</v>
      </c>
      <c r="C5271" s="1" t="n">
        <v>45212</v>
      </c>
      <c r="D5271" t="inlineStr">
        <is>
          <t>VÄSTRA GÖTALANDS LÄN</t>
        </is>
      </c>
      <c r="E5271" t="inlineStr">
        <is>
          <t>STRÖMSTAD</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43698-2020</t>
        </is>
      </c>
      <c r="B5272" s="1" t="n">
        <v>44082</v>
      </c>
      <c r="C5272" s="1" t="n">
        <v>45212</v>
      </c>
      <c r="D5272" t="inlineStr">
        <is>
          <t>VÄSTRA GÖTALANDS LÄN</t>
        </is>
      </c>
      <c r="E5272" t="inlineStr">
        <is>
          <t>SVENLJUNGA</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44719-2020</t>
        </is>
      </c>
      <c r="B5273" s="1" t="n">
        <v>44083</v>
      </c>
      <c r="C5273" s="1" t="n">
        <v>45212</v>
      </c>
      <c r="D5273" t="inlineStr">
        <is>
          <t>VÄSTRA GÖTALANDS LÄN</t>
        </is>
      </c>
      <c r="E5273" t="inlineStr">
        <is>
          <t>TÖREBODA</t>
        </is>
      </c>
      <c r="G5273" t="n">
        <v>2.6</v>
      </c>
      <c r="H5273" t="n">
        <v>0</v>
      </c>
      <c r="I5273" t="n">
        <v>0</v>
      </c>
      <c r="J5273" t="n">
        <v>0</v>
      </c>
      <c r="K5273" t="n">
        <v>0</v>
      </c>
      <c r="L5273" t="n">
        <v>0</v>
      </c>
      <c r="M5273" t="n">
        <v>0</v>
      </c>
      <c r="N5273" t="n">
        <v>0</v>
      </c>
      <c r="O5273" t="n">
        <v>0</v>
      </c>
      <c r="P5273" t="n">
        <v>0</v>
      </c>
      <c r="Q5273" t="n">
        <v>0</v>
      </c>
      <c r="R5273" s="2" t="inlineStr"/>
    </row>
    <row r="5274" ht="15" customHeight="1">
      <c r="A5274" t="inlineStr">
        <is>
          <t>A 43981-2020</t>
        </is>
      </c>
      <c r="B5274" s="1" t="n">
        <v>44083</v>
      </c>
      <c r="C5274" s="1" t="n">
        <v>45212</v>
      </c>
      <c r="D5274" t="inlineStr">
        <is>
          <t>VÄSTRA GÖTALANDS LÄN</t>
        </is>
      </c>
      <c r="E5274" t="inlineStr">
        <is>
          <t>TRANEMO</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43931-2020</t>
        </is>
      </c>
      <c r="B5275" s="1" t="n">
        <v>44083</v>
      </c>
      <c r="C5275" s="1" t="n">
        <v>45212</v>
      </c>
      <c r="D5275" t="inlineStr">
        <is>
          <t>VÄSTRA GÖTALANDS LÄN</t>
        </is>
      </c>
      <c r="E5275" t="inlineStr">
        <is>
          <t>GULLSPÅNG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43973-2020</t>
        </is>
      </c>
      <c r="B5276" s="1" t="n">
        <v>44083</v>
      </c>
      <c r="C5276" s="1" t="n">
        <v>45212</v>
      </c>
      <c r="D5276" t="inlineStr">
        <is>
          <t>VÄSTRA GÖTALANDS LÄN</t>
        </is>
      </c>
      <c r="E5276" t="inlineStr">
        <is>
          <t>MARK</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44728-2020</t>
        </is>
      </c>
      <c r="B5277" s="1" t="n">
        <v>44083</v>
      </c>
      <c r="C5277" s="1" t="n">
        <v>45212</v>
      </c>
      <c r="D5277" t="inlineStr">
        <is>
          <t>VÄSTRA GÖTALANDS LÄN</t>
        </is>
      </c>
      <c r="E5277" t="inlineStr">
        <is>
          <t>TÖREBODA</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44215-2020</t>
        </is>
      </c>
      <c r="B5278" s="1" t="n">
        <v>44084</v>
      </c>
      <c r="C5278" s="1" t="n">
        <v>45212</v>
      </c>
      <c r="D5278" t="inlineStr">
        <is>
          <t>VÄSTRA GÖTALANDS LÄN</t>
        </is>
      </c>
      <c r="E5278" t="inlineStr">
        <is>
          <t>TRANEMO</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44301-2020</t>
        </is>
      </c>
      <c r="B5279" s="1" t="n">
        <v>44084</v>
      </c>
      <c r="C5279" s="1" t="n">
        <v>45212</v>
      </c>
      <c r="D5279" t="inlineStr">
        <is>
          <t>VÄSTRA GÖTALANDS LÄN</t>
        </is>
      </c>
      <c r="E5279" t="inlineStr">
        <is>
          <t>LERUM</t>
        </is>
      </c>
      <c r="G5279" t="n">
        <v>4</v>
      </c>
      <c r="H5279" t="n">
        <v>0</v>
      </c>
      <c r="I5279" t="n">
        <v>0</v>
      </c>
      <c r="J5279" t="n">
        <v>0</v>
      </c>
      <c r="K5279" t="n">
        <v>0</v>
      </c>
      <c r="L5279" t="n">
        <v>0</v>
      </c>
      <c r="M5279" t="n">
        <v>0</v>
      </c>
      <c r="N5279" t="n">
        <v>0</v>
      </c>
      <c r="O5279" t="n">
        <v>0</v>
      </c>
      <c r="P5279" t="n">
        <v>0</v>
      </c>
      <c r="Q5279" t="n">
        <v>0</v>
      </c>
      <c r="R5279" s="2" t="inlineStr"/>
    </row>
    <row r="5280" ht="15" customHeight="1">
      <c r="A5280" t="inlineStr">
        <is>
          <t>A 44348-2020</t>
        </is>
      </c>
      <c r="B5280" s="1" t="n">
        <v>44084</v>
      </c>
      <c r="C5280" s="1" t="n">
        <v>45212</v>
      </c>
      <c r="D5280" t="inlineStr">
        <is>
          <t>VÄSTRA GÖTALANDS LÄN</t>
        </is>
      </c>
      <c r="E5280" t="inlineStr">
        <is>
          <t>FÄRGELANDA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44492-2020</t>
        </is>
      </c>
      <c r="B5281" s="1" t="n">
        <v>44084</v>
      </c>
      <c r="C5281" s="1" t="n">
        <v>45212</v>
      </c>
      <c r="D5281" t="inlineStr">
        <is>
          <t>VÄSTRA GÖTALANDS LÄN</t>
        </is>
      </c>
      <c r="E5281" t="inlineStr">
        <is>
          <t>TIBRO</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44286-2020</t>
        </is>
      </c>
      <c r="B5282" s="1" t="n">
        <v>44084</v>
      </c>
      <c r="C5282" s="1" t="n">
        <v>45212</v>
      </c>
      <c r="D5282" t="inlineStr">
        <is>
          <t>VÄSTRA GÖTALANDS LÄN</t>
        </is>
      </c>
      <c r="E5282" t="inlineStr">
        <is>
          <t>BORÅS</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44344-2020</t>
        </is>
      </c>
      <c r="B5283" s="1" t="n">
        <v>44084</v>
      </c>
      <c r="C5283" s="1" t="n">
        <v>45212</v>
      </c>
      <c r="D5283" t="inlineStr">
        <is>
          <t>VÄSTRA GÖTALANDS LÄN</t>
        </is>
      </c>
      <c r="E5283" t="inlineStr">
        <is>
          <t>BENGTSFORS</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44357-2020</t>
        </is>
      </c>
      <c r="B5284" s="1" t="n">
        <v>44084</v>
      </c>
      <c r="C5284" s="1" t="n">
        <v>45212</v>
      </c>
      <c r="D5284" t="inlineStr">
        <is>
          <t>VÄSTRA GÖTALANDS LÄN</t>
        </is>
      </c>
      <c r="E5284" t="inlineStr">
        <is>
          <t>TJÖRN</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44382-2020</t>
        </is>
      </c>
      <c r="B5285" s="1" t="n">
        <v>44084</v>
      </c>
      <c r="C5285" s="1" t="n">
        <v>45212</v>
      </c>
      <c r="D5285" t="inlineStr">
        <is>
          <t>VÄSTRA GÖTALANDS LÄN</t>
        </is>
      </c>
      <c r="E5285" t="inlineStr">
        <is>
          <t>SOTENÄS</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44434-2020</t>
        </is>
      </c>
      <c r="B5286" s="1" t="n">
        <v>44084</v>
      </c>
      <c r="C5286" s="1" t="n">
        <v>45212</v>
      </c>
      <c r="D5286" t="inlineStr">
        <is>
          <t>VÄSTRA GÖTALANDS LÄN</t>
        </is>
      </c>
      <c r="E5286" t="inlineStr">
        <is>
          <t>VARA</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44462-2020</t>
        </is>
      </c>
      <c r="B5287" s="1" t="n">
        <v>44084</v>
      </c>
      <c r="C5287" s="1" t="n">
        <v>45212</v>
      </c>
      <c r="D5287" t="inlineStr">
        <is>
          <t>VÄSTRA GÖTALANDS LÄN</t>
        </is>
      </c>
      <c r="E5287" t="inlineStr">
        <is>
          <t>ULRICEHAMN</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45154-2020</t>
        </is>
      </c>
      <c r="B5288" s="1" t="n">
        <v>44084</v>
      </c>
      <c r="C5288" s="1" t="n">
        <v>45212</v>
      </c>
      <c r="D5288" t="inlineStr">
        <is>
          <t>VÄSTRA GÖTALANDS LÄN</t>
        </is>
      </c>
      <c r="E5288" t="inlineStr">
        <is>
          <t>LIDKÖPING</t>
        </is>
      </c>
      <c r="G5288" t="n">
        <v>5.6</v>
      </c>
      <c r="H5288" t="n">
        <v>0</v>
      </c>
      <c r="I5288" t="n">
        <v>0</v>
      </c>
      <c r="J5288" t="n">
        <v>0</v>
      </c>
      <c r="K5288" t="n">
        <v>0</v>
      </c>
      <c r="L5288" t="n">
        <v>0</v>
      </c>
      <c r="M5288" t="n">
        <v>0</v>
      </c>
      <c r="N5288" t="n">
        <v>0</v>
      </c>
      <c r="O5288" t="n">
        <v>0</v>
      </c>
      <c r="P5288" t="n">
        <v>0</v>
      </c>
      <c r="Q5288" t="n">
        <v>0</v>
      </c>
      <c r="R5288" s="2" t="inlineStr"/>
    </row>
    <row r="5289" ht="15" customHeight="1">
      <c r="A5289" t="inlineStr">
        <is>
          <t>A 44517-2020</t>
        </is>
      </c>
      <c r="B5289" s="1" t="n">
        <v>44085</v>
      </c>
      <c r="C5289" s="1" t="n">
        <v>45212</v>
      </c>
      <c r="D5289" t="inlineStr">
        <is>
          <t>VÄSTRA GÖTALANDS LÄN</t>
        </is>
      </c>
      <c r="E5289" t="inlineStr">
        <is>
          <t>SKARA</t>
        </is>
      </c>
      <c r="F5289" t="inlineStr">
        <is>
          <t>Sveaskog</t>
        </is>
      </c>
      <c r="G5289" t="n">
        <v>1.4</v>
      </c>
      <c r="H5289" t="n">
        <v>0</v>
      </c>
      <c r="I5289" t="n">
        <v>0</v>
      </c>
      <c r="J5289" t="n">
        <v>0</v>
      </c>
      <c r="K5289" t="n">
        <v>0</v>
      </c>
      <c r="L5289" t="n">
        <v>0</v>
      </c>
      <c r="M5289" t="n">
        <v>0</v>
      </c>
      <c r="N5289" t="n">
        <v>0</v>
      </c>
      <c r="O5289" t="n">
        <v>0</v>
      </c>
      <c r="P5289" t="n">
        <v>0</v>
      </c>
      <c r="Q5289" t="n">
        <v>0</v>
      </c>
      <c r="R5289" s="2" t="inlineStr"/>
    </row>
    <row r="5290" ht="15" customHeight="1">
      <c r="A5290" t="inlineStr">
        <is>
          <t>A 44542-2020</t>
        </is>
      </c>
      <c r="B5290" s="1" t="n">
        <v>44085</v>
      </c>
      <c r="C5290" s="1" t="n">
        <v>45212</v>
      </c>
      <c r="D5290" t="inlineStr">
        <is>
          <t>VÄSTRA GÖTALANDS LÄN</t>
        </is>
      </c>
      <c r="E5290" t="inlineStr">
        <is>
          <t>STRÖMSTAD</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44612-2020</t>
        </is>
      </c>
      <c r="B5291" s="1" t="n">
        <v>44085</v>
      </c>
      <c r="C5291" s="1" t="n">
        <v>45212</v>
      </c>
      <c r="D5291" t="inlineStr">
        <is>
          <t>VÄSTRA GÖTALANDS LÄN</t>
        </is>
      </c>
      <c r="E5291" t="inlineStr">
        <is>
          <t>TJÖRN</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45383-2020</t>
        </is>
      </c>
      <c r="B5292" s="1" t="n">
        <v>44085</v>
      </c>
      <c r="C5292" s="1" t="n">
        <v>45212</v>
      </c>
      <c r="D5292" t="inlineStr">
        <is>
          <t>VÄSTRA GÖTALANDS LÄN</t>
        </is>
      </c>
      <c r="E5292" t="inlineStr">
        <is>
          <t>ÅMÅL</t>
        </is>
      </c>
      <c r="F5292" t="inlineStr">
        <is>
          <t>Bergvik skog väst AB</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44519-2020</t>
        </is>
      </c>
      <c r="B5293" s="1" t="n">
        <v>44085</v>
      </c>
      <c r="C5293" s="1" t="n">
        <v>45212</v>
      </c>
      <c r="D5293" t="inlineStr">
        <is>
          <t>VÄSTRA GÖTALANDS LÄN</t>
        </is>
      </c>
      <c r="E5293" t="inlineStr">
        <is>
          <t>SKARA</t>
        </is>
      </c>
      <c r="F5293" t="inlineStr">
        <is>
          <t>Sveaskog</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44647-2020</t>
        </is>
      </c>
      <c r="B5294" s="1" t="n">
        <v>44085</v>
      </c>
      <c r="C5294" s="1" t="n">
        <v>45212</v>
      </c>
      <c r="D5294" t="inlineStr">
        <is>
          <t>VÄSTRA GÖTALANDS LÄN</t>
        </is>
      </c>
      <c r="E5294" t="inlineStr">
        <is>
          <t>HÄRRYDA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44790-2020</t>
        </is>
      </c>
      <c r="B5295" s="1" t="n">
        <v>44085</v>
      </c>
      <c r="C5295" s="1" t="n">
        <v>45212</v>
      </c>
      <c r="D5295" t="inlineStr">
        <is>
          <t>VÄSTRA GÖTALANDS LÄN</t>
        </is>
      </c>
      <c r="E5295" t="inlineStr">
        <is>
          <t>HERRLJUNGA</t>
        </is>
      </c>
      <c r="F5295" t="inlineStr">
        <is>
          <t>Övriga statliga verk och myndigheter</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44520-2020</t>
        </is>
      </c>
      <c r="B5296" s="1" t="n">
        <v>44085</v>
      </c>
      <c r="C5296" s="1" t="n">
        <v>45212</v>
      </c>
      <c r="D5296" t="inlineStr">
        <is>
          <t>VÄSTRA GÖTALANDS LÄN</t>
        </is>
      </c>
      <c r="E5296" t="inlineStr">
        <is>
          <t>SKARA</t>
        </is>
      </c>
      <c r="F5296" t="inlineStr">
        <is>
          <t>Sveaskog</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44547-2020</t>
        </is>
      </c>
      <c r="B5297" s="1" t="n">
        <v>44085</v>
      </c>
      <c r="C5297" s="1" t="n">
        <v>45212</v>
      </c>
      <c r="D5297" t="inlineStr">
        <is>
          <t>VÄSTRA GÖTALANDS LÄN</t>
        </is>
      </c>
      <c r="E5297" t="inlineStr">
        <is>
          <t>HERRLJUNGA</t>
        </is>
      </c>
      <c r="G5297" t="n">
        <v>2.2</v>
      </c>
      <c r="H5297" t="n">
        <v>0</v>
      </c>
      <c r="I5297" t="n">
        <v>0</v>
      </c>
      <c r="J5297" t="n">
        <v>0</v>
      </c>
      <c r="K5297" t="n">
        <v>0</v>
      </c>
      <c r="L5297" t="n">
        <v>0</v>
      </c>
      <c r="M5297" t="n">
        <v>0</v>
      </c>
      <c r="N5297" t="n">
        <v>0</v>
      </c>
      <c r="O5297" t="n">
        <v>0</v>
      </c>
      <c r="P5297" t="n">
        <v>0</v>
      </c>
      <c r="Q5297" t="n">
        <v>0</v>
      </c>
      <c r="R5297" s="2" t="inlineStr"/>
    </row>
    <row r="5298" ht="15" customHeight="1">
      <c r="A5298" t="inlineStr">
        <is>
          <t>A 44553-2020</t>
        </is>
      </c>
      <c r="B5298" s="1" t="n">
        <v>44085</v>
      </c>
      <c r="C5298" s="1" t="n">
        <v>45212</v>
      </c>
      <c r="D5298" t="inlineStr">
        <is>
          <t>VÄSTRA GÖTALANDS LÄN</t>
        </is>
      </c>
      <c r="E5298" t="inlineStr">
        <is>
          <t>STRÖMSTAD</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44625-2020</t>
        </is>
      </c>
      <c r="B5299" s="1" t="n">
        <v>44085</v>
      </c>
      <c r="C5299" s="1" t="n">
        <v>45212</v>
      </c>
      <c r="D5299" t="inlineStr">
        <is>
          <t>VÄSTRA GÖTALANDS LÄN</t>
        </is>
      </c>
      <c r="E5299" t="inlineStr">
        <is>
          <t>VÄNERSBORG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44742-2020</t>
        </is>
      </c>
      <c r="B5300" s="1" t="n">
        <v>44085</v>
      </c>
      <c r="C5300" s="1" t="n">
        <v>45212</v>
      </c>
      <c r="D5300" t="inlineStr">
        <is>
          <t>VÄSTRA GÖTALANDS LÄN</t>
        </is>
      </c>
      <c r="E5300" t="inlineStr">
        <is>
          <t>BORÅS</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44814-2020</t>
        </is>
      </c>
      <c r="B5301" s="1" t="n">
        <v>44085</v>
      </c>
      <c r="C5301" s="1" t="n">
        <v>45212</v>
      </c>
      <c r="D5301" t="inlineStr">
        <is>
          <t>VÄSTRA GÖTALANDS LÄN</t>
        </is>
      </c>
      <c r="E5301" t="inlineStr">
        <is>
          <t>HJO</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44787-2020</t>
        </is>
      </c>
      <c r="B5302" s="1" t="n">
        <v>44085</v>
      </c>
      <c r="C5302" s="1" t="n">
        <v>45212</v>
      </c>
      <c r="D5302" t="inlineStr">
        <is>
          <t>VÄSTRA GÖTALANDS LÄN</t>
        </is>
      </c>
      <c r="E5302" t="inlineStr">
        <is>
          <t>HERRLJUNGA</t>
        </is>
      </c>
      <c r="F5302" t="inlineStr">
        <is>
          <t>Övriga statliga verk och myndigheter</t>
        </is>
      </c>
      <c r="G5302" t="n">
        <v>5.1</v>
      </c>
      <c r="H5302" t="n">
        <v>0</v>
      </c>
      <c r="I5302" t="n">
        <v>0</v>
      </c>
      <c r="J5302" t="n">
        <v>0</v>
      </c>
      <c r="K5302" t="n">
        <v>0</v>
      </c>
      <c r="L5302" t="n">
        <v>0</v>
      </c>
      <c r="M5302" t="n">
        <v>0</v>
      </c>
      <c r="N5302" t="n">
        <v>0</v>
      </c>
      <c r="O5302" t="n">
        <v>0</v>
      </c>
      <c r="P5302" t="n">
        <v>0</v>
      </c>
      <c r="Q5302" t="n">
        <v>0</v>
      </c>
      <c r="R5302" s="2" t="inlineStr"/>
    </row>
    <row r="5303" ht="15" customHeight="1">
      <c r="A5303" t="inlineStr">
        <is>
          <t>A 44844-2020</t>
        </is>
      </c>
      <c r="B5303" s="1" t="n">
        <v>44086</v>
      </c>
      <c r="C5303" s="1" t="n">
        <v>45212</v>
      </c>
      <c r="D5303" t="inlineStr">
        <is>
          <t>VÄSTRA GÖTALANDS LÄN</t>
        </is>
      </c>
      <c r="E5303" t="inlineStr">
        <is>
          <t>SVENLJUNGA</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44842-2020</t>
        </is>
      </c>
      <c r="B5304" s="1" t="n">
        <v>44086</v>
      </c>
      <c r="C5304" s="1" t="n">
        <v>45212</v>
      </c>
      <c r="D5304" t="inlineStr">
        <is>
          <t>VÄSTRA GÖTALANDS LÄN</t>
        </is>
      </c>
      <c r="E5304" t="inlineStr">
        <is>
          <t>SVENLJUNGA</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45713-2020</t>
        </is>
      </c>
      <c r="B5305" s="1" t="n">
        <v>44086</v>
      </c>
      <c r="C5305" s="1" t="n">
        <v>45212</v>
      </c>
      <c r="D5305" t="inlineStr">
        <is>
          <t>VÄSTRA GÖTALANDS LÄN</t>
        </is>
      </c>
      <c r="E5305" t="inlineStr">
        <is>
          <t>MUNKEDAL</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44851-2020</t>
        </is>
      </c>
      <c r="B5306" s="1" t="n">
        <v>44087</v>
      </c>
      <c r="C5306" s="1" t="n">
        <v>45212</v>
      </c>
      <c r="D5306" t="inlineStr">
        <is>
          <t>VÄSTRA GÖTALANDS LÄN</t>
        </is>
      </c>
      <c r="E5306" t="inlineStr">
        <is>
          <t>VARA</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44873-2020</t>
        </is>
      </c>
      <c r="B5307" s="1" t="n">
        <v>44087</v>
      </c>
      <c r="C5307" s="1" t="n">
        <v>45212</v>
      </c>
      <c r="D5307" t="inlineStr">
        <is>
          <t>VÄSTRA GÖTALANDS LÄN</t>
        </is>
      </c>
      <c r="E5307" t="inlineStr">
        <is>
          <t>BOLLEBYGD</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44874-2020</t>
        </is>
      </c>
      <c r="B5308" s="1" t="n">
        <v>44087</v>
      </c>
      <c r="C5308" s="1" t="n">
        <v>45212</v>
      </c>
      <c r="D5308" t="inlineStr">
        <is>
          <t>VÄSTRA GÖTALANDS LÄN</t>
        </is>
      </c>
      <c r="E5308" t="inlineStr">
        <is>
          <t>BOLLEBYGD</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45059-2020</t>
        </is>
      </c>
      <c r="B5309" s="1" t="n">
        <v>44088</v>
      </c>
      <c r="C5309" s="1" t="n">
        <v>45212</v>
      </c>
      <c r="D5309" t="inlineStr">
        <is>
          <t>VÄSTRA GÖTALANDS LÄN</t>
        </is>
      </c>
      <c r="E5309" t="inlineStr">
        <is>
          <t>FÄRGELANDA</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44943-2020</t>
        </is>
      </c>
      <c r="B5310" s="1" t="n">
        <v>44088</v>
      </c>
      <c r="C5310" s="1" t="n">
        <v>45212</v>
      </c>
      <c r="D5310" t="inlineStr">
        <is>
          <t>VÄSTRA GÖTALANDS LÄN</t>
        </is>
      </c>
      <c r="E5310" t="inlineStr">
        <is>
          <t>BORÅS</t>
        </is>
      </c>
      <c r="G5310" t="n">
        <v>7.6</v>
      </c>
      <c r="H5310" t="n">
        <v>0</v>
      </c>
      <c r="I5310" t="n">
        <v>0</v>
      </c>
      <c r="J5310" t="n">
        <v>0</v>
      </c>
      <c r="K5310" t="n">
        <v>0</v>
      </c>
      <c r="L5310" t="n">
        <v>0</v>
      </c>
      <c r="M5310" t="n">
        <v>0</v>
      </c>
      <c r="N5310" t="n">
        <v>0</v>
      </c>
      <c r="O5310" t="n">
        <v>0</v>
      </c>
      <c r="P5310" t="n">
        <v>0</v>
      </c>
      <c r="Q5310" t="n">
        <v>0</v>
      </c>
      <c r="R5310" s="2" t="inlineStr"/>
    </row>
    <row r="5311" ht="15" customHeight="1">
      <c r="A5311" t="inlineStr">
        <is>
          <t>A 45046-2020</t>
        </is>
      </c>
      <c r="B5311" s="1" t="n">
        <v>44088</v>
      </c>
      <c r="C5311" s="1" t="n">
        <v>45212</v>
      </c>
      <c r="D5311" t="inlineStr">
        <is>
          <t>VÄSTRA GÖTALANDS LÄN</t>
        </is>
      </c>
      <c r="E5311" t="inlineStr">
        <is>
          <t>BOLLEBYGD</t>
        </is>
      </c>
      <c r="F5311" t="inlineStr">
        <is>
          <t>Kommuner</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45195-2020</t>
        </is>
      </c>
      <c r="B5312" s="1" t="n">
        <v>44088</v>
      </c>
      <c r="C5312" s="1" t="n">
        <v>45212</v>
      </c>
      <c r="D5312" t="inlineStr">
        <is>
          <t>VÄSTRA GÖTALANDS LÄN</t>
        </is>
      </c>
      <c r="E5312" t="inlineStr">
        <is>
          <t>TJÖRN</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45047-2020</t>
        </is>
      </c>
      <c r="B5313" s="1" t="n">
        <v>44088</v>
      </c>
      <c r="C5313" s="1" t="n">
        <v>45212</v>
      </c>
      <c r="D5313" t="inlineStr">
        <is>
          <t>VÄSTRA GÖTALANDS LÄN</t>
        </is>
      </c>
      <c r="E5313" t="inlineStr">
        <is>
          <t>ULRICEHAMN</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45150-2020</t>
        </is>
      </c>
      <c r="B5314" s="1" t="n">
        <v>44088</v>
      </c>
      <c r="C5314" s="1" t="n">
        <v>45212</v>
      </c>
      <c r="D5314" t="inlineStr">
        <is>
          <t>VÄSTRA GÖTALANDS LÄN</t>
        </is>
      </c>
      <c r="E5314" t="inlineStr">
        <is>
          <t>LIDKÖPING</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45197-2020</t>
        </is>
      </c>
      <c r="B5315" s="1" t="n">
        <v>44088</v>
      </c>
      <c r="C5315" s="1" t="n">
        <v>45212</v>
      </c>
      <c r="D5315" t="inlineStr">
        <is>
          <t>VÄSTRA GÖTALANDS LÄN</t>
        </is>
      </c>
      <c r="E5315" t="inlineStr">
        <is>
          <t>TJÖRN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45926-2020</t>
        </is>
      </c>
      <c r="B5316" s="1" t="n">
        <v>44088</v>
      </c>
      <c r="C5316" s="1" t="n">
        <v>45212</v>
      </c>
      <c r="D5316" t="inlineStr">
        <is>
          <t>VÄSTRA GÖTALANDS LÄN</t>
        </is>
      </c>
      <c r="E5316" t="inlineStr">
        <is>
          <t>TROLLHÄTTAN</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45039-2020</t>
        </is>
      </c>
      <c r="B5317" s="1" t="n">
        <v>44088</v>
      </c>
      <c r="C5317" s="1" t="n">
        <v>45212</v>
      </c>
      <c r="D5317" t="inlineStr">
        <is>
          <t>VÄSTRA GÖTALANDS LÄN</t>
        </is>
      </c>
      <c r="E5317" t="inlineStr">
        <is>
          <t>MARIESTAD</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45057-2020</t>
        </is>
      </c>
      <c r="B5318" s="1" t="n">
        <v>44088</v>
      </c>
      <c r="C5318" s="1" t="n">
        <v>45212</v>
      </c>
      <c r="D5318" t="inlineStr">
        <is>
          <t>VÄSTRA GÖTALANDS LÄN</t>
        </is>
      </c>
      <c r="E5318" t="inlineStr">
        <is>
          <t>FÄRGELANDA</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45072-2020</t>
        </is>
      </c>
      <c r="B5319" s="1" t="n">
        <v>44088</v>
      </c>
      <c r="C5319" s="1" t="n">
        <v>45212</v>
      </c>
      <c r="D5319" t="inlineStr">
        <is>
          <t>VÄSTRA GÖTALANDS LÄN</t>
        </is>
      </c>
      <c r="E5319" t="inlineStr">
        <is>
          <t>MARIESTAD</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45188-2020</t>
        </is>
      </c>
      <c r="B5320" s="1" t="n">
        <v>44088</v>
      </c>
      <c r="C5320" s="1" t="n">
        <v>45212</v>
      </c>
      <c r="D5320" t="inlineStr">
        <is>
          <t>VÄSTRA GÖTALANDS LÄN</t>
        </is>
      </c>
      <c r="E5320" t="inlineStr">
        <is>
          <t>SKÖVDE</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45236-2020</t>
        </is>
      </c>
      <c r="B5321" s="1" t="n">
        <v>44088</v>
      </c>
      <c r="C5321" s="1" t="n">
        <v>45212</v>
      </c>
      <c r="D5321" t="inlineStr">
        <is>
          <t>VÄSTRA GÖTALANDS LÄN</t>
        </is>
      </c>
      <c r="E5321" t="inlineStr">
        <is>
          <t>VARA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45413-2020</t>
        </is>
      </c>
      <c r="B5322" s="1" t="n">
        <v>44089</v>
      </c>
      <c r="C5322" s="1" t="n">
        <v>45212</v>
      </c>
      <c r="D5322" t="inlineStr">
        <is>
          <t>VÄSTRA GÖTALANDS LÄN</t>
        </is>
      </c>
      <c r="E5322" t="inlineStr">
        <is>
          <t>SKARA</t>
        </is>
      </c>
      <c r="F5322" t="inlineStr">
        <is>
          <t>Sveaskog</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46653-2020</t>
        </is>
      </c>
      <c r="B5323" s="1" t="n">
        <v>44089</v>
      </c>
      <c r="C5323" s="1" t="n">
        <v>45212</v>
      </c>
      <c r="D5323" t="inlineStr">
        <is>
          <t>VÄSTRA GÖTALANDS LÄN</t>
        </is>
      </c>
      <c r="E5323" t="inlineStr">
        <is>
          <t>ULRICEHAMN</t>
        </is>
      </c>
      <c r="G5323" t="n">
        <v>4.4</v>
      </c>
      <c r="H5323" t="n">
        <v>0</v>
      </c>
      <c r="I5323" t="n">
        <v>0</v>
      </c>
      <c r="J5323" t="n">
        <v>0</v>
      </c>
      <c r="K5323" t="n">
        <v>0</v>
      </c>
      <c r="L5323" t="n">
        <v>0</v>
      </c>
      <c r="M5323" t="n">
        <v>0</v>
      </c>
      <c r="N5323" t="n">
        <v>0</v>
      </c>
      <c r="O5323" t="n">
        <v>0</v>
      </c>
      <c r="P5323" t="n">
        <v>0</v>
      </c>
      <c r="Q5323" t="n">
        <v>0</v>
      </c>
      <c r="R5323" s="2" t="inlineStr"/>
    </row>
    <row r="5324" ht="15" customHeight="1">
      <c r="A5324" t="inlineStr">
        <is>
          <t>A 45372-2020</t>
        </is>
      </c>
      <c r="B5324" s="1" t="n">
        <v>44089</v>
      </c>
      <c r="C5324" s="1" t="n">
        <v>45212</v>
      </c>
      <c r="D5324" t="inlineStr">
        <is>
          <t>VÄSTRA GÖTALANDS LÄN</t>
        </is>
      </c>
      <c r="E5324" t="inlineStr">
        <is>
          <t>SVENLJUNGA</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45396-2020</t>
        </is>
      </c>
      <c r="B5325" s="1" t="n">
        <v>44089</v>
      </c>
      <c r="C5325" s="1" t="n">
        <v>45212</v>
      </c>
      <c r="D5325" t="inlineStr">
        <is>
          <t>VÄSTRA GÖTALANDS LÄN</t>
        </is>
      </c>
      <c r="E5325" t="inlineStr">
        <is>
          <t>GRÄSTORP</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45475-2020</t>
        </is>
      </c>
      <c r="B5326" s="1" t="n">
        <v>44089</v>
      </c>
      <c r="C5326" s="1" t="n">
        <v>45212</v>
      </c>
      <c r="D5326" t="inlineStr">
        <is>
          <t>VÄSTRA GÖTALANDS LÄN</t>
        </is>
      </c>
      <c r="E5326" t="inlineStr">
        <is>
          <t>KARLSBORG</t>
        </is>
      </c>
      <c r="F5326" t="inlineStr">
        <is>
          <t>Övriga Aktiebolag</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46642-2020</t>
        </is>
      </c>
      <c r="B5327" s="1" t="n">
        <v>44089</v>
      </c>
      <c r="C5327" s="1" t="n">
        <v>45212</v>
      </c>
      <c r="D5327" t="inlineStr">
        <is>
          <t>VÄSTRA GÖTALANDS LÄN</t>
        </is>
      </c>
      <c r="E5327" t="inlineStr">
        <is>
          <t>FALKÖPING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46677-2020</t>
        </is>
      </c>
      <c r="B5328" s="1" t="n">
        <v>44089</v>
      </c>
      <c r="C5328" s="1" t="n">
        <v>45212</v>
      </c>
      <c r="D5328" t="inlineStr">
        <is>
          <t>VÄSTRA GÖTALANDS LÄN</t>
        </is>
      </c>
      <c r="E5328" t="inlineStr">
        <is>
          <t>TIDAHOLM</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46644-2020</t>
        </is>
      </c>
      <c r="B5329" s="1" t="n">
        <v>44089</v>
      </c>
      <c r="C5329" s="1" t="n">
        <v>45212</v>
      </c>
      <c r="D5329" t="inlineStr">
        <is>
          <t>VÄSTRA GÖTALANDS LÄN</t>
        </is>
      </c>
      <c r="E5329" t="inlineStr">
        <is>
          <t>FALKÖPING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46668-2020</t>
        </is>
      </c>
      <c r="B5330" s="1" t="n">
        <v>44089</v>
      </c>
      <c r="C5330" s="1" t="n">
        <v>45212</v>
      </c>
      <c r="D5330" t="inlineStr">
        <is>
          <t>VÄSTRA GÖTALANDS LÄN</t>
        </is>
      </c>
      <c r="E5330" t="inlineStr">
        <is>
          <t>FALKÖPING</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45458-2020</t>
        </is>
      </c>
      <c r="B5331" s="1" t="n">
        <v>44089</v>
      </c>
      <c r="C5331" s="1" t="n">
        <v>45212</v>
      </c>
      <c r="D5331" t="inlineStr">
        <is>
          <t>VÄSTRA GÖTALANDS LÄN</t>
        </is>
      </c>
      <c r="E5331" t="inlineStr">
        <is>
          <t>TÖREBODA</t>
        </is>
      </c>
      <c r="G5331" t="n">
        <v>2</v>
      </c>
      <c r="H5331" t="n">
        <v>0</v>
      </c>
      <c r="I5331" t="n">
        <v>0</v>
      </c>
      <c r="J5331" t="n">
        <v>0</v>
      </c>
      <c r="K5331" t="n">
        <v>0</v>
      </c>
      <c r="L5331" t="n">
        <v>0</v>
      </c>
      <c r="M5331" t="n">
        <v>0</v>
      </c>
      <c r="N5331" t="n">
        <v>0</v>
      </c>
      <c r="O5331" t="n">
        <v>0</v>
      </c>
      <c r="P5331" t="n">
        <v>0</v>
      </c>
      <c r="Q5331" t="n">
        <v>0</v>
      </c>
      <c r="R5331" s="2" t="inlineStr"/>
    </row>
    <row r="5332" ht="15" customHeight="1">
      <c r="A5332" t="inlineStr">
        <is>
          <t>A 45472-2020</t>
        </is>
      </c>
      <c r="B5332" s="1" t="n">
        <v>44089</v>
      </c>
      <c r="C5332" s="1" t="n">
        <v>45212</v>
      </c>
      <c r="D5332" t="inlineStr">
        <is>
          <t>VÄSTRA GÖTALANDS LÄN</t>
        </is>
      </c>
      <c r="E5332" t="inlineStr">
        <is>
          <t>KARLSBORG</t>
        </is>
      </c>
      <c r="F5332" t="inlineStr">
        <is>
          <t>Övriga Aktiebolag</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46650-2020</t>
        </is>
      </c>
      <c r="B5333" s="1" t="n">
        <v>44089</v>
      </c>
      <c r="C5333" s="1" t="n">
        <v>45212</v>
      </c>
      <c r="D5333" t="inlineStr">
        <is>
          <t>VÄSTRA GÖTALANDS LÄN</t>
        </is>
      </c>
      <c r="E5333" t="inlineStr">
        <is>
          <t>ULRICEHAMN</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46669-2020</t>
        </is>
      </c>
      <c r="B5334" s="1" t="n">
        <v>44089</v>
      </c>
      <c r="C5334" s="1" t="n">
        <v>45212</v>
      </c>
      <c r="D5334" t="inlineStr">
        <is>
          <t>VÄSTRA GÖTALANDS LÄN</t>
        </is>
      </c>
      <c r="E5334" t="inlineStr">
        <is>
          <t>FALKÖPING</t>
        </is>
      </c>
      <c r="G5334" t="n">
        <v>9</v>
      </c>
      <c r="H5334" t="n">
        <v>0</v>
      </c>
      <c r="I5334" t="n">
        <v>0</v>
      </c>
      <c r="J5334" t="n">
        <v>0</v>
      </c>
      <c r="K5334" t="n">
        <v>0</v>
      </c>
      <c r="L5334" t="n">
        <v>0</v>
      </c>
      <c r="M5334" t="n">
        <v>0</v>
      </c>
      <c r="N5334" t="n">
        <v>0</v>
      </c>
      <c r="O5334" t="n">
        <v>0</v>
      </c>
      <c r="P5334" t="n">
        <v>0</v>
      </c>
      <c r="Q5334" t="n">
        <v>0</v>
      </c>
      <c r="R5334" s="2" t="inlineStr"/>
    </row>
    <row r="5335" ht="15" customHeight="1">
      <c r="A5335" t="inlineStr">
        <is>
          <t>A 45608-2020</t>
        </is>
      </c>
      <c r="B5335" s="1" t="n">
        <v>44090</v>
      </c>
      <c r="C5335" s="1" t="n">
        <v>45212</v>
      </c>
      <c r="D5335" t="inlineStr">
        <is>
          <t>VÄSTRA GÖTALANDS LÄN</t>
        </is>
      </c>
      <c r="E5335" t="inlineStr">
        <is>
          <t>TROLLHÄTTAN</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45752-2020</t>
        </is>
      </c>
      <c r="B5336" s="1" t="n">
        <v>44090</v>
      </c>
      <c r="C5336" s="1" t="n">
        <v>45212</v>
      </c>
      <c r="D5336" t="inlineStr">
        <is>
          <t>VÄSTRA GÖTALANDS LÄN</t>
        </is>
      </c>
      <c r="E5336" t="inlineStr">
        <is>
          <t>GULLSPÅNG</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45763-2020</t>
        </is>
      </c>
      <c r="B5337" s="1" t="n">
        <v>44090</v>
      </c>
      <c r="C5337" s="1" t="n">
        <v>45212</v>
      </c>
      <c r="D5337" t="inlineStr">
        <is>
          <t>VÄSTRA GÖTALANDS LÄN</t>
        </is>
      </c>
      <c r="E5337" t="inlineStr">
        <is>
          <t>LIDKÖPING</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45701-2020</t>
        </is>
      </c>
      <c r="B5338" s="1" t="n">
        <v>44090</v>
      </c>
      <c r="C5338" s="1" t="n">
        <v>45212</v>
      </c>
      <c r="D5338" t="inlineStr">
        <is>
          <t>VÄSTRA GÖTALANDS LÄN</t>
        </is>
      </c>
      <c r="E5338" t="inlineStr">
        <is>
          <t>HERRLJUNGA</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45560-2020</t>
        </is>
      </c>
      <c r="B5339" s="1" t="n">
        <v>44090</v>
      </c>
      <c r="C5339" s="1" t="n">
        <v>45212</v>
      </c>
      <c r="D5339" t="inlineStr">
        <is>
          <t>VÄSTRA GÖTALANDS LÄN</t>
        </is>
      </c>
      <c r="E5339" t="inlineStr">
        <is>
          <t>TIDAHOLM</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45679-2020</t>
        </is>
      </c>
      <c r="B5340" s="1" t="n">
        <v>44090</v>
      </c>
      <c r="C5340" s="1" t="n">
        <v>45212</v>
      </c>
      <c r="D5340" t="inlineStr">
        <is>
          <t>VÄSTRA GÖTALANDS LÄN</t>
        </is>
      </c>
      <c r="E5340" t="inlineStr">
        <is>
          <t>MARIESTAD</t>
        </is>
      </c>
      <c r="G5340" t="n">
        <v>1.2</v>
      </c>
      <c r="H5340" t="n">
        <v>0</v>
      </c>
      <c r="I5340" t="n">
        <v>0</v>
      </c>
      <c r="J5340" t="n">
        <v>0</v>
      </c>
      <c r="K5340" t="n">
        <v>0</v>
      </c>
      <c r="L5340" t="n">
        <v>0</v>
      </c>
      <c r="M5340" t="n">
        <v>0</v>
      </c>
      <c r="N5340" t="n">
        <v>0</v>
      </c>
      <c r="O5340" t="n">
        <v>0</v>
      </c>
      <c r="P5340" t="n">
        <v>0</v>
      </c>
      <c r="Q5340" t="n">
        <v>0</v>
      </c>
      <c r="R5340" s="2" t="inlineStr"/>
    </row>
    <row r="5341" ht="15" customHeight="1">
      <c r="A5341" t="inlineStr">
        <is>
          <t>A 45693-2020</t>
        </is>
      </c>
      <c r="B5341" s="1" t="n">
        <v>44090</v>
      </c>
      <c r="C5341" s="1" t="n">
        <v>45212</v>
      </c>
      <c r="D5341" t="inlineStr">
        <is>
          <t>VÄSTRA GÖTALANDS LÄN</t>
        </is>
      </c>
      <c r="E5341" t="inlineStr">
        <is>
          <t>ULRICEHAMN</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45761-2020</t>
        </is>
      </c>
      <c r="B5342" s="1" t="n">
        <v>44090</v>
      </c>
      <c r="C5342" s="1" t="n">
        <v>45212</v>
      </c>
      <c r="D5342" t="inlineStr">
        <is>
          <t>VÄSTRA GÖTALANDS LÄN</t>
        </is>
      </c>
      <c r="E5342" t="inlineStr">
        <is>
          <t>HERRLJUNGA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45795-2020</t>
        </is>
      </c>
      <c r="B5343" s="1" t="n">
        <v>44090</v>
      </c>
      <c r="C5343" s="1" t="n">
        <v>45212</v>
      </c>
      <c r="D5343" t="inlineStr">
        <is>
          <t>VÄSTRA GÖTALANDS LÄN</t>
        </is>
      </c>
      <c r="E5343" t="inlineStr">
        <is>
          <t>LYSEKIL</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45897-2020</t>
        </is>
      </c>
      <c r="B5344" s="1" t="n">
        <v>44090</v>
      </c>
      <c r="C5344" s="1" t="n">
        <v>45212</v>
      </c>
      <c r="D5344" t="inlineStr">
        <is>
          <t>VÄSTRA GÖTALANDS LÄN</t>
        </is>
      </c>
      <c r="E5344" t="inlineStr">
        <is>
          <t>GULLSPÅNG</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45962-2020</t>
        </is>
      </c>
      <c r="B5345" s="1" t="n">
        <v>44091</v>
      </c>
      <c r="C5345" s="1" t="n">
        <v>45212</v>
      </c>
      <c r="D5345" t="inlineStr">
        <is>
          <t>VÄSTRA GÖTALANDS LÄN</t>
        </is>
      </c>
      <c r="E5345" t="inlineStr">
        <is>
          <t>MARK</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46024-2020</t>
        </is>
      </c>
      <c r="B5346" s="1" t="n">
        <v>44091</v>
      </c>
      <c r="C5346" s="1" t="n">
        <v>45212</v>
      </c>
      <c r="D5346" t="inlineStr">
        <is>
          <t>VÄSTRA GÖTALANDS LÄN</t>
        </is>
      </c>
      <c r="E5346" t="inlineStr">
        <is>
          <t>TROLLHÄTTAN</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46162-2020</t>
        </is>
      </c>
      <c r="B5347" s="1" t="n">
        <v>44092</v>
      </c>
      <c r="C5347" s="1" t="n">
        <v>45212</v>
      </c>
      <c r="D5347" t="inlineStr">
        <is>
          <t>VÄSTRA GÖTALANDS LÄN</t>
        </is>
      </c>
      <c r="E5347" t="inlineStr">
        <is>
          <t>TIDAHOLM</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46217-2020</t>
        </is>
      </c>
      <c r="B5348" s="1" t="n">
        <v>44092</v>
      </c>
      <c r="C5348" s="1" t="n">
        <v>45212</v>
      </c>
      <c r="D5348" t="inlineStr">
        <is>
          <t>VÄSTRA GÖTALANDS LÄN</t>
        </is>
      </c>
      <c r="E5348" t="inlineStr">
        <is>
          <t>TIDAHOLM</t>
        </is>
      </c>
      <c r="F5348" t="inlineStr">
        <is>
          <t>Sveaskog</t>
        </is>
      </c>
      <c r="G5348" t="n">
        <v>1.7</v>
      </c>
      <c r="H5348" t="n">
        <v>0</v>
      </c>
      <c r="I5348" t="n">
        <v>0</v>
      </c>
      <c r="J5348" t="n">
        <v>0</v>
      </c>
      <c r="K5348" t="n">
        <v>0</v>
      </c>
      <c r="L5348" t="n">
        <v>0</v>
      </c>
      <c r="M5348" t="n">
        <v>0</v>
      </c>
      <c r="N5348" t="n">
        <v>0</v>
      </c>
      <c r="O5348" t="n">
        <v>0</v>
      </c>
      <c r="P5348" t="n">
        <v>0</v>
      </c>
      <c r="Q5348" t="n">
        <v>0</v>
      </c>
      <c r="R5348" s="2" t="inlineStr"/>
    </row>
    <row r="5349" ht="15" customHeight="1">
      <c r="A5349" t="inlineStr">
        <is>
          <t>A 46186-2020</t>
        </is>
      </c>
      <c r="B5349" s="1" t="n">
        <v>44092</v>
      </c>
      <c r="C5349" s="1" t="n">
        <v>45212</v>
      </c>
      <c r="D5349" t="inlineStr">
        <is>
          <t>VÄSTRA GÖTALANDS LÄN</t>
        </is>
      </c>
      <c r="E5349" t="inlineStr">
        <is>
          <t>BENGTSFORS</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46213-2020</t>
        </is>
      </c>
      <c r="B5350" s="1" t="n">
        <v>44092</v>
      </c>
      <c r="C5350" s="1" t="n">
        <v>45212</v>
      </c>
      <c r="D5350" t="inlineStr">
        <is>
          <t>VÄSTRA GÖTALANDS LÄN</t>
        </is>
      </c>
      <c r="E5350" t="inlineStr">
        <is>
          <t>DALS-ED</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46340-2020</t>
        </is>
      </c>
      <c r="B5351" s="1" t="n">
        <v>44092</v>
      </c>
      <c r="C5351" s="1" t="n">
        <v>45212</v>
      </c>
      <c r="D5351" t="inlineStr">
        <is>
          <t>VÄSTRA GÖTALANDS LÄN</t>
        </is>
      </c>
      <c r="E5351" t="inlineStr">
        <is>
          <t>LIDKÖPING</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46428-2020</t>
        </is>
      </c>
      <c r="B5352" s="1" t="n">
        <v>44095</v>
      </c>
      <c r="C5352" s="1" t="n">
        <v>45212</v>
      </c>
      <c r="D5352" t="inlineStr">
        <is>
          <t>VÄSTRA GÖTALANDS LÄN</t>
        </is>
      </c>
      <c r="E5352" t="inlineStr">
        <is>
          <t>BORÅS</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46536-2020</t>
        </is>
      </c>
      <c r="B5353" s="1" t="n">
        <v>44095</v>
      </c>
      <c r="C5353" s="1" t="n">
        <v>45212</v>
      </c>
      <c r="D5353" t="inlineStr">
        <is>
          <t>VÄSTRA GÖTALANDS LÄN</t>
        </is>
      </c>
      <c r="E5353" t="inlineStr">
        <is>
          <t>ÅMÅL</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46774-2020</t>
        </is>
      </c>
      <c r="B5354" s="1" t="n">
        <v>44095</v>
      </c>
      <c r="C5354" s="1" t="n">
        <v>45212</v>
      </c>
      <c r="D5354" t="inlineStr">
        <is>
          <t>VÄSTRA GÖTALANDS LÄN</t>
        </is>
      </c>
      <c r="E5354" t="inlineStr">
        <is>
          <t>ÅMÅL</t>
        </is>
      </c>
      <c r="G5354" t="n">
        <v>2.1</v>
      </c>
      <c r="H5354" t="n">
        <v>0</v>
      </c>
      <c r="I5354" t="n">
        <v>0</v>
      </c>
      <c r="J5354" t="n">
        <v>0</v>
      </c>
      <c r="K5354" t="n">
        <v>0</v>
      </c>
      <c r="L5354" t="n">
        <v>0</v>
      </c>
      <c r="M5354" t="n">
        <v>0</v>
      </c>
      <c r="N5354" t="n">
        <v>0</v>
      </c>
      <c r="O5354" t="n">
        <v>0</v>
      </c>
      <c r="P5354" t="n">
        <v>0</v>
      </c>
      <c r="Q5354" t="n">
        <v>0</v>
      </c>
      <c r="R5354" s="2" t="inlineStr"/>
    </row>
    <row r="5355" ht="15" customHeight="1">
      <c r="A5355" t="inlineStr">
        <is>
          <t>A 46468-2020</t>
        </is>
      </c>
      <c r="B5355" s="1" t="n">
        <v>44095</v>
      </c>
      <c r="C5355" s="1" t="n">
        <v>45212</v>
      </c>
      <c r="D5355" t="inlineStr">
        <is>
          <t>VÄSTRA GÖTALANDS LÄN</t>
        </is>
      </c>
      <c r="E5355" t="inlineStr">
        <is>
          <t>VARA</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47592-2020</t>
        </is>
      </c>
      <c r="B5356" s="1" t="n">
        <v>44095</v>
      </c>
      <c r="C5356" s="1" t="n">
        <v>45212</v>
      </c>
      <c r="D5356" t="inlineStr">
        <is>
          <t>VÄSTRA GÖTALANDS LÄN</t>
        </is>
      </c>
      <c r="E5356" t="inlineStr">
        <is>
          <t>LIDKÖPING</t>
        </is>
      </c>
      <c r="G5356" t="n">
        <v>2.4</v>
      </c>
      <c r="H5356" t="n">
        <v>0</v>
      </c>
      <c r="I5356" t="n">
        <v>0</v>
      </c>
      <c r="J5356" t="n">
        <v>0</v>
      </c>
      <c r="K5356" t="n">
        <v>0</v>
      </c>
      <c r="L5356" t="n">
        <v>0</v>
      </c>
      <c r="M5356" t="n">
        <v>0</v>
      </c>
      <c r="N5356" t="n">
        <v>0</v>
      </c>
      <c r="O5356" t="n">
        <v>0</v>
      </c>
      <c r="P5356" t="n">
        <v>0</v>
      </c>
      <c r="Q5356" t="n">
        <v>0</v>
      </c>
      <c r="R5356" s="2" t="inlineStr"/>
    </row>
    <row r="5357" ht="15" customHeight="1">
      <c r="A5357" t="inlineStr">
        <is>
          <t>A 46897-2020</t>
        </is>
      </c>
      <c r="B5357" s="1" t="n">
        <v>44096</v>
      </c>
      <c r="C5357" s="1" t="n">
        <v>45212</v>
      </c>
      <c r="D5357" t="inlineStr">
        <is>
          <t>VÄSTRA GÖTALANDS LÄN</t>
        </is>
      </c>
      <c r="E5357" t="inlineStr">
        <is>
          <t>LIDKÖPING</t>
        </is>
      </c>
      <c r="F5357" t="inlineStr">
        <is>
          <t>Kommuner</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47028-2020</t>
        </is>
      </c>
      <c r="B5358" s="1" t="n">
        <v>44096</v>
      </c>
      <c r="C5358" s="1" t="n">
        <v>45212</v>
      </c>
      <c r="D5358" t="inlineStr">
        <is>
          <t>VÄSTRA GÖTALANDS LÄN</t>
        </is>
      </c>
      <c r="E5358" t="inlineStr">
        <is>
          <t>SKARA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46775-2020</t>
        </is>
      </c>
      <c r="B5359" s="1" t="n">
        <v>44096</v>
      </c>
      <c r="C5359" s="1" t="n">
        <v>45212</v>
      </c>
      <c r="D5359" t="inlineStr">
        <is>
          <t>VÄSTRA GÖTALANDS LÄN</t>
        </is>
      </c>
      <c r="E5359" t="inlineStr">
        <is>
          <t>TIDAHOLM</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46863-2020</t>
        </is>
      </c>
      <c r="B5360" s="1" t="n">
        <v>44096</v>
      </c>
      <c r="C5360" s="1" t="n">
        <v>45212</v>
      </c>
      <c r="D5360" t="inlineStr">
        <is>
          <t>VÄSTRA GÖTALANDS LÄN</t>
        </is>
      </c>
      <c r="E5360" t="inlineStr">
        <is>
          <t>HJO</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46931-2020</t>
        </is>
      </c>
      <c r="B5361" s="1" t="n">
        <v>44096</v>
      </c>
      <c r="C5361" s="1" t="n">
        <v>45212</v>
      </c>
      <c r="D5361" t="inlineStr">
        <is>
          <t>VÄSTRA GÖTALANDS LÄN</t>
        </is>
      </c>
      <c r="E5361" t="inlineStr">
        <is>
          <t>MARK</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47017-2020</t>
        </is>
      </c>
      <c r="B5362" s="1" t="n">
        <v>44096</v>
      </c>
      <c r="C5362" s="1" t="n">
        <v>45212</v>
      </c>
      <c r="D5362" t="inlineStr">
        <is>
          <t>VÄSTRA GÖTALANDS LÄN</t>
        </is>
      </c>
      <c r="E5362" t="inlineStr">
        <is>
          <t>ESSUNGA</t>
        </is>
      </c>
      <c r="G5362" t="n">
        <v>0.1</v>
      </c>
      <c r="H5362" t="n">
        <v>0</v>
      </c>
      <c r="I5362" t="n">
        <v>0</v>
      </c>
      <c r="J5362" t="n">
        <v>0</v>
      </c>
      <c r="K5362" t="n">
        <v>0</v>
      </c>
      <c r="L5362" t="n">
        <v>0</v>
      </c>
      <c r="M5362" t="n">
        <v>0</v>
      </c>
      <c r="N5362" t="n">
        <v>0</v>
      </c>
      <c r="O5362" t="n">
        <v>0</v>
      </c>
      <c r="P5362" t="n">
        <v>0</v>
      </c>
      <c r="Q5362" t="n">
        <v>0</v>
      </c>
      <c r="R5362" s="2" t="inlineStr"/>
    </row>
    <row r="5363" ht="15" customHeight="1">
      <c r="A5363" t="inlineStr">
        <is>
          <t>A 47071-2020</t>
        </is>
      </c>
      <c r="B5363" s="1" t="n">
        <v>44096</v>
      </c>
      <c r="C5363" s="1" t="n">
        <v>45212</v>
      </c>
      <c r="D5363" t="inlineStr">
        <is>
          <t>VÄSTRA GÖTALANDS LÄN</t>
        </is>
      </c>
      <c r="E5363" t="inlineStr">
        <is>
          <t>SOTENÄS</t>
        </is>
      </c>
      <c r="G5363" t="n">
        <v>4.1</v>
      </c>
      <c r="H5363" t="n">
        <v>0</v>
      </c>
      <c r="I5363" t="n">
        <v>0</v>
      </c>
      <c r="J5363" t="n">
        <v>0</v>
      </c>
      <c r="K5363" t="n">
        <v>0</v>
      </c>
      <c r="L5363" t="n">
        <v>0</v>
      </c>
      <c r="M5363" t="n">
        <v>0</v>
      </c>
      <c r="N5363" t="n">
        <v>0</v>
      </c>
      <c r="O5363" t="n">
        <v>0</v>
      </c>
      <c r="P5363" t="n">
        <v>0</v>
      </c>
      <c r="Q5363" t="n">
        <v>0</v>
      </c>
      <c r="R5363" s="2" t="inlineStr"/>
    </row>
    <row r="5364" ht="15" customHeight="1">
      <c r="A5364" t="inlineStr">
        <is>
          <t>A 47739-2020</t>
        </is>
      </c>
      <c r="B5364" s="1" t="n">
        <v>44096</v>
      </c>
      <c r="C5364" s="1" t="n">
        <v>45212</v>
      </c>
      <c r="D5364" t="inlineStr">
        <is>
          <t>VÄSTRA GÖTALANDS LÄN</t>
        </is>
      </c>
      <c r="E5364" t="inlineStr">
        <is>
          <t>GULLSPÅNG</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46831-2020</t>
        </is>
      </c>
      <c r="B5365" s="1" t="n">
        <v>44096</v>
      </c>
      <c r="C5365" s="1" t="n">
        <v>45212</v>
      </c>
      <c r="D5365" t="inlineStr">
        <is>
          <t>VÄSTRA GÖTALANDS LÄN</t>
        </is>
      </c>
      <c r="E5365" t="inlineStr">
        <is>
          <t>BENGTSFORS</t>
        </is>
      </c>
      <c r="G5365" t="n">
        <v>2.2</v>
      </c>
      <c r="H5365" t="n">
        <v>0</v>
      </c>
      <c r="I5365" t="n">
        <v>0</v>
      </c>
      <c r="J5365" t="n">
        <v>0</v>
      </c>
      <c r="K5365" t="n">
        <v>0</v>
      </c>
      <c r="L5365" t="n">
        <v>0</v>
      </c>
      <c r="M5365" t="n">
        <v>0</v>
      </c>
      <c r="N5365" t="n">
        <v>0</v>
      </c>
      <c r="O5365" t="n">
        <v>0</v>
      </c>
      <c r="P5365" t="n">
        <v>0</v>
      </c>
      <c r="Q5365" t="n">
        <v>0</v>
      </c>
      <c r="R5365" s="2" t="inlineStr"/>
    </row>
    <row r="5366" ht="15" customHeight="1">
      <c r="A5366" t="inlineStr">
        <is>
          <t>A 47088-2020</t>
        </is>
      </c>
      <c r="B5366" s="1" t="n">
        <v>44096</v>
      </c>
      <c r="C5366" s="1" t="n">
        <v>45212</v>
      </c>
      <c r="D5366" t="inlineStr">
        <is>
          <t>VÄSTRA GÖTALANDS LÄN</t>
        </is>
      </c>
      <c r="E5366" t="inlineStr">
        <is>
          <t>TANUM</t>
        </is>
      </c>
      <c r="G5366" t="n">
        <v>4.5</v>
      </c>
      <c r="H5366" t="n">
        <v>0</v>
      </c>
      <c r="I5366" t="n">
        <v>0</v>
      </c>
      <c r="J5366" t="n">
        <v>0</v>
      </c>
      <c r="K5366" t="n">
        <v>0</v>
      </c>
      <c r="L5366" t="n">
        <v>0</v>
      </c>
      <c r="M5366" t="n">
        <v>0</v>
      </c>
      <c r="N5366" t="n">
        <v>0</v>
      </c>
      <c r="O5366" t="n">
        <v>0</v>
      </c>
      <c r="P5366" t="n">
        <v>0</v>
      </c>
      <c r="Q5366" t="n">
        <v>0</v>
      </c>
      <c r="R5366" s="2" t="inlineStr"/>
    </row>
    <row r="5367" ht="15" customHeight="1">
      <c r="A5367" t="inlineStr">
        <is>
          <t>A 46843-2020</t>
        </is>
      </c>
      <c r="B5367" s="1" t="n">
        <v>44096</v>
      </c>
      <c r="C5367" s="1" t="n">
        <v>45212</v>
      </c>
      <c r="D5367" t="inlineStr">
        <is>
          <t>VÄSTRA GÖTALANDS LÄN</t>
        </is>
      </c>
      <c r="E5367" t="inlineStr">
        <is>
          <t>HJO</t>
        </is>
      </c>
      <c r="G5367" t="n">
        <v>2.6</v>
      </c>
      <c r="H5367" t="n">
        <v>0</v>
      </c>
      <c r="I5367" t="n">
        <v>0</v>
      </c>
      <c r="J5367" t="n">
        <v>0</v>
      </c>
      <c r="K5367" t="n">
        <v>0</v>
      </c>
      <c r="L5367" t="n">
        <v>0</v>
      </c>
      <c r="M5367" t="n">
        <v>0</v>
      </c>
      <c r="N5367" t="n">
        <v>0</v>
      </c>
      <c r="O5367" t="n">
        <v>0</v>
      </c>
      <c r="P5367" t="n">
        <v>0</v>
      </c>
      <c r="Q5367" t="n">
        <v>0</v>
      </c>
      <c r="R5367" s="2" t="inlineStr"/>
    </row>
    <row r="5368" ht="15" customHeight="1">
      <c r="A5368" t="inlineStr">
        <is>
          <t>A 46932-2020</t>
        </is>
      </c>
      <c r="B5368" s="1" t="n">
        <v>44096</v>
      </c>
      <c r="C5368" s="1" t="n">
        <v>45212</v>
      </c>
      <c r="D5368" t="inlineStr">
        <is>
          <t>VÄSTRA GÖTALANDS LÄN</t>
        </is>
      </c>
      <c r="E5368" t="inlineStr">
        <is>
          <t>MARIESTAD</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46968-2020</t>
        </is>
      </c>
      <c r="B5369" s="1" t="n">
        <v>44096</v>
      </c>
      <c r="C5369" s="1" t="n">
        <v>45212</v>
      </c>
      <c r="D5369" t="inlineStr">
        <is>
          <t>VÄSTRA GÖTALANDS LÄN</t>
        </is>
      </c>
      <c r="E5369" t="inlineStr">
        <is>
          <t>BORÅS</t>
        </is>
      </c>
      <c r="G5369" t="n">
        <v>1.6</v>
      </c>
      <c r="H5369" t="n">
        <v>0</v>
      </c>
      <c r="I5369" t="n">
        <v>0</v>
      </c>
      <c r="J5369" t="n">
        <v>0</v>
      </c>
      <c r="K5369" t="n">
        <v>0</v>
      </c>
      <c r="L5369" t="n">
        <v>0</v>
      </c>
      <c r="M5369" t="n">
        <v>0</v>
      </c>
      <c r="N5369" t="n">
        <v>0</v>
      </c>
      <c r="O5369" t="n">
        <v>0</v>
      </c>
      <c r="P5369" t="n">
        <v>0</v>
      </c>
      <c r="Q5369" t="n">
        <v>0</v>
      </c>
      <c r="R5369" s="2" t="inlineStr"/>
    </row>
    <row r="5370" ht="15" customHeight="1">
      <c r="A5370" t="inlineStr">
        <is>
          <t>A 47387-2020</t>
        </is>
      </c>
      <c r="B5370" s="1" t="n">
        <v>44097</v>
      </c>
      <c r="C5370" s="1" t="n">
        <v>45212</v>
      </c>
      <c r="D5370" t="inlineStr">
        <is>
          <t>VÄSTRA GÖTALANDS LÄN</t>
        </is>
      </c>
      <c r="E5370" t="inlineStr">
        <is>
          <t>MARK</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48300-2020</t>
        </is>
      </c>
      <c r="B5371" s="1" t="n">
        <v>44097</v>
      </c>
      <c r="C5371" s="1" t="n">
        <v>45212</v>
      </c>
      <c r="D5371" t="inlineStr">
        <is>
          <t>VÄSTRA GÖTALANDS LÄN</t>
        </is>
      </c>
      <c r="E5371" t="inlineStr">
        <is>
          <t>HERRLJUNGA</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47410-2020</t>
        </is>
      </c>
      <c r="B5372" s="1" t="n">
        <v>44097</v>
      </c>
      <c r="C5372" s="1" t="n">
        <v>45212</v>
      </c>
      <c r="D5372" t="inlineStr">
        <is>
          <t>VÄSTRA GÖTALANDS LÄN</t>
        </is>
      </c>
      <c r="E5372" t="inlineStr">
        <is>
          <t>FÄRGELANDA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47480-2020</t>
        </is>
      </c>
      <c r="B5373" s="1" t="n">
        <v>44098</v>
      </c>
      <c r="C5373" s="1" t="n">
        <v>45212</v>
      </c>
      <c r="D5373" t="inlineStr">
        <is>
          <t>VÄSTRA GÖTALANDS LÄN</t>
        </is>
      </c>
      <c r="E5373" t="inlineStr">
        <is>
          <t>TANUM</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47684-2020</t>
        </is>
      </c>
      <c r="B5374" s="1" t="n">
        <v>44098</v>
      </c>
      <c r="C5374" s="1" t="n">
        <v>45212</v>
      </c>
      <c r="D5374" t="inlineStr">
        <is>
          <t>VÄSTRA GÖTALANDS LÄN</t>
        </is>
      </c>
      <c r="E5374" t="inlineStr">
        <is>
          <t>LIDKÖPING</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47588-2020</t>
        </is>
      </c>
      <c r="B5375" s="1" t="n">
        <v>44098</v>
      </c>
      <c r="C5375" s="1" t="n">
        <v>45212</v>
      </c>
      <c r="D5375" t="inlineStr">
        <is>
          <t>VÄSTRA GÖTALANDS LÄN</t>
        </is>
      </c>
      <c r="E5375" t="inlineStr">
        <is>
          <t>BORÅS</t>
        </is>
      </c>
      <c r="F5375" t="inlineStr">
        <is>
          <t>Kommuner</t>
        </is>
      </c>
      <c r="G5375" t="n">
        <v>5.1</v>
      </c>
      <c r="H5375" t="n">
        <v>0</v>
      </c>
      <c r="I5375" t="n">
        <v>0</v>
      </c>
      <c r="J5375" t="n">
        <v>0</v>
      </c>
      <c r="K5375" t="n">
        <v>0</v>
      </c>
      <c r="L5375" t="n">
        <v>0</v>
      </c>
      <c r="M5375" t="n">
        <v>0</v>
      </c>
      <c r="N5375" t="n">
        <v>0</v>
      </c>
      <c r="O5375" t="n">
        <v>0</v>
      </c>
      <c r="P5375" t="n">
        <v>0</v>
      </c>
      <c r="Q5375" t="n">
        <v>0</v>
      </c>
      <c r="R5375" s="2" t="inlineStr"/>
    </row>
    <row r="5376" ht="15" customHeight="1">
      <c r="A5376" t="inlineStr">
        <is>
          <t>A 47645-2020</t>
        </is>
      </c>
      <c r="B5376" s="1" t="n">
        <v>44098</v>
      </c>
      <c r="C5376" s="1" t="n">
        <v>45212</v>
      </c>
      <c r="D5376" t="inlineStr">
        <is>
          <t>VÄSTRA GÖTALANDS LÄN</t>
        </is>
      </c>
      <c r="E5376" t="inlineStr">
        <is>
          <t>VARA</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47759-2020</t>
        </is>
      </c>
      <c r="B5377" s="1" t="n">
        <v>44098</v>
      </c>
      <c r="C5377" s="1" t="n">
        <v>45212</v>
      </c>
      <c r="D5377" t="inlineStr">
        <is>
          <t>VÄSTRA GÖTALANDS LÄN</t>
        </is>
      </c>
      <c r="E5377" t="inlineStr">
        <is>
          <t>MELLERUD</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47587-2020</t>
        </is>
      </c>
      <c r="B5378" s="1" t="n">
        <v>44098</v>
      </c>
      <c r="C5378" s="1" t="n">
        <v>45212</v>
      </c>
      <c r="D5378" t="inlineStr">
        <is>
          <t>VÄSTRA GÖTALANDS LÄN</t>
        </is>
      </c>
      <c r="E5378" t="inlineStr">
        <is>
          <t>TRANEMO</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47697-2020</t>
        </is>
      </c>
      <c r="B5379" s="1" t="n">
        <v>44098</v>
      </c>
      <c r="C5379" s="1" t="n">
        <v>45212</v>
      </c>
      <c r="D5379" t="inlineStr">
        <is>
          <t>VÄSTRA GÖTALANDS LÄN</t>
        </is>
      </c>
      <c r="E5379" t="inlineStr">
        <is>
          <t>LIDKÖPING</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47814-2020</t>
        </is>
      </c>
      <c r="B5380" s="1" t="n">
        <v>44098</v>
      </c>
      <c r="C5380" s="1" t="n">
        <v>45212</v>
      </c>
      <c r="D5380" t="inlineStr">
        <is>
          <t>VÄSTRA GÖTALANDS LÄN</t>
        </is>
      </c>
      <c r="E5380" t="inlineStr">
        <is>
          <t>LIDKÖPING</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47900-2020</t>
        </is>
      </c>
      <c r="B5381" s="1" t="n">
        <v>44099</v>
      </c>
      <c r="C5381" s="1" t="n">
        <v>45212</v>
      </c>
      <c r="D5381" t="inlineStr">
        <is>
          <t>VÄSTRA GÖTALANDS LÄN</t>
        </is>
      </c>
      <c r="E5381" t="inlineStr">
        <is>
          <t>TJÖRN</t>
        </is>
      </c>
      <c r="G5381" t="n">
        <v>6.9</v>
      </c>
      <c r="H5381" t="n">
        <v>0</v>
      </c>
      <c r="I5381" t="n">
        <v>0</v>
      </c>
      <c r="J5381" t="n">
        <v>0</v>
      </c>
      <c r="K5381" t="n">
        <v>0</v>
      </c>
      <c r="L5381" t="n">
        <v>0</v>
      </c>
      <c r="M5381" t="n">
        <v>0</v>
      </c>
      <c r="N5381" t="n">
        <v>0</v>
      </c>
      <c r="O5381" t="n">
        <v>0</v>
      </c>
      <c r="P5381" t="n">
        <v>0</v>
      </c>
      <c r="Q5381" t="n">
        <v>0</v>
      </c>
      <c r="R5381" s="2" t="inlineStr"/>
    </row>
    <row r="5382" ht="15" customHeight="1">
      <c r="A5382" t="inlineStr">
        <is>
          <t>A 48754-2020</t>
        </is>
      </c>
      <c r="B5382" s="1" t="n">
        <v>44099</v>
      </c>
      <c r="C5382" s="1" t="n">
        <v>45212</v>
      </c>
      <c r="D5382" t="inlineStr">
        <is>
          <t>VÄSTRA GÖTALANDS LÄN</t>
        </is>
      </c>
      <c r="E5382" t="inlineStr">
        <is>
          <t>SKÖVDE</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48008-2020</t>
        </is>
      </c>
      <c r="B5383" s="1" t="n">
        <v>44099</v>
      </c>
      <c r="C5383" s="1" t="n">
        <v>45212</v>
      </c>
      <c r="D5383" t="inlineStr">
        <is>
          <t>VÄSTRA GÖTALANDS LÄN</t>
        </is>
      </c>
      <c r="E5383" t="inlineStr">
        <is>
          <t>BENGTSFORS</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48741-2020</t>
        </is>
      </c>
      <c r="B5384" s="1" t="n">
        <v>44099</v>
      </c>
      <c r="C5384" s="1" t="n">
        <v>45212</v>
      </c>
      <c r="D5384" t="inlineStr">
        <is>
          <t>VÄSTRA GÖTALANDS LÄN</t>
        </is>
      </c>
      <c r="E5384" t="inlineStr">
        <is>
          <t>HJO</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47995-2020</t>
        </is>
      </c>
      <c r="B5385" s="1" t="n">
        <v>44099</v>
      </c>
      <c r="C5385" s="1" t="n">
        <v>45212</v>
      </c>
      <c r="D5385" t="inlineStr">
        <is>
          <t>VÄSTRA GÖTALANDS LÄN</t>
        </is>
      </c>
      <c r="E5385" t="inlineStr">
        <is>
          <t>BENGTSFORS</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48277-2020</t>
        </is>
      </c>
      <c r="B5386" s="1" t="n">
        <v>44102</v>
      </c>
      <c r="C5386" s="1" t="n">
        <v>45212</v>
      </c>
      <c r="D5386" t="inlineStr">
        <is>
          <t>VÄSTRA GÖTALANDS LÄN</t>
        </is>
      </c>
      <c r="E5386" t="inlineStr">
        <is>
          <t>TIBRO</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48398-2020</t>
        </is>
      </c>
      <c r="B5387" s="1" t="n">
        <v>44102</v>
      </c>
      <c r="C5387" s="1" t="n">
        <v>45212</v>
      </c>
      <c r="D5387" t="inlineStr">
        <is>
          <t>VÄSTRA GÖTALANDS LÄN</t>
        </is>
      </c>
      <c r="E5387" t="inlineStr">
        <is>
          <t>TROLLHÄTTAN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48545-2020</t>
        </is>
      </c>
      <c r="B5388" s="1" t="n">
        <v>44103</v>
      </c>
      <c r="C5388" s="1" t="n">
        <v>45212</v>
      </c>
      <c r="D5388" t="inlineStr">
        <is>
          <t>VÄSTRA GÖTALANDS LÄN</t>
        </is>
      </c>
      <c r="E5388" t="inlineStr">
        <is>
          <t>BORÅS</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48564-2020</t>
        </is>
      </c>
      <c r="B5389" s="1" t="n">
        <v>44103</v>
      </c>
      <c r="C5389" s="1" t="n">
        <v>45212</v>
      </c>
      <c r="D5389" t="inlineStr">
        <is>
          <t>VÄSTRA GÖTALANDS LÄN</t>
        </is>
      </c>
      <c r="E5389" t="inlineStr">
        <is>
          <t>ÅMÅL</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48785-2020</t>
        </is>
      </c>
      <c r="B5390" s="1" t="n">
        <v>44103</v>
      </c>
      <c r="C5390" s="1" t="n">
        <v>45212</v>
      </c>
      <c r="D5390" t="inlineStr">
        <is>
          <t>VÄSTRA GÖTALANDS LÄN</t>
        </is>
      </c>
      <c r="E5390" t="inlineStr">
        <is>
          <t>KUNGÄLV</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48795-2020</t>
        </is>
      </c>
      <c r="B5391" s="1" t="n">
        <v>44103</v>
      </c>
      <c r="C5391" s="1" t="n">
        <v>45212</v>
      </c>
      <c r="D5391" t="inlineStr">
        <is>
          <t>VÄSTRA GÖTALANDS LÄN</t>
        </is>
      </c>
      <c r="E5391" t="inlineStr">
        <is>
          <t>TIBRO</t>
        </is>
      </c>
      <c r="G5391" t="n">
        <v>4.4</v>
      </c>
      <c r="H5391" t="n">
        <v>0</v>
      </c>
      <c r="I5391" t="n">
        <v>0</v>
      </c>
      <c r="J5391" t="n">
        <v>0</v>
      </c>
      <c r="K5391" t="n">
        <v>0</v>
      </c>
      <c r="L5391" t="n">
        <v>0</v>
      </c>
      <c r="M5391" t="n">
        <v>0</v>
      </c>
      <c r="N5391" t="n">
        <v>0</v>
      </c>
      <c r="O5391" t="n">
        <v>0</v>
      </c>
      <c r="P5391" t="n">
        <v>0</v>
      </c>
      <c r="Q5391" t="n">
        <v>0</v>
      </c>
      <c r="R5391" s="2" t="inlineStr"/>
    </row>
    <row r="5392" ht="15" customHeight="1">
      <c r="A5392" t="inlineStr">
        <is>
          <t>A 48554-2020</t>
        </is>
      </c>
      <c r="B5392" s="1" t="n">
        <v>44103</v>
      </c>
      <c r="C5392" s="1" t="n">
        <v>45212</v>
      </c>
      <c r="D5392" t="inlineStr">
        <is>
          <t>VÄSTRA GÖTALANDS LÄN</t>
        </is>
      </c>
      <c r="E5392" t="inlineStr">
        <is>
          <t>ÅMÅL</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48536-2020</t>
        </is>
      </c>
      <c r="B5393" s="1" t="n">
        <v>44103</v>
      </c>
      <c r="C5393" s="1" t="n">
        <v>45212</v>
      </c>
      <c r="D5393" t="inlineStr">
        <is>
          <t>VÄSTRA GÖTALANDS LÄN</t>
        </is>
      </c>
      <c r="E5393" t="inlineStr">
        <is>
          <t>ÅMÅL</t>
        </is>
      </c>
      <c r="G5393" t="n">
        <v>3.8</v>
      </c>
      <c r="H5393" t="n">
        <v>0</v>
      </c>
      <c r="I5393" t="n">
        <v>0</v>
      </c>
      <c r="J5393" t="n">
        <v>0</v>
      </c>
      <c r="K5393" t="n">
        <v>0</v>
      </c>
      <c r="L5393" t="n">
        <v>0</v>
      </c>
      <c r="M5393" t="n">
        <v>0</v>
      </c>
      <c r="N5393" t="n">
        <v>0</v>
      </c>
      <c r="O5393" t="n">
        <v>0</v>
      </c>
      <c r="P5393" t="n">
        <v>0</v>
      </c>
      <c r="Q5393" t="n">
        <v>0</v>
      </c>
      <c r="R5393" s="2" t="inlineStr"/>
    </row>
    <row r="5394" ht="15" customHeight="1">
      <c r="A5394" t="inlineStr">
        <is>
          <t>A 48600-2020</t>
        </is>
      </c>
      <c r="B5394" s="1" t="n">
        <v>44103</v>
      </c>
      <c r="C5394" s="1" t="n">
        <v>45212</v>
      </c>
      <c r="D5394" t="inlineStr">
        <is>
          <t>VÄSTRA GÖTALANDS LÄN</t>
        </is>
      </c>
      <c r="E5394" t="inlineStr">
        <is>
          <t>BORÅS</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48791-2020</t>
        </is>
      </c>
      <c r="B5395" s="1" t="n">
        <v>44103</v>
      </c>
      <c r="C5395" s="1" t="n">
        <v>45212</v>
      </c>
      <c r="D5395" t="inlineStr">
        <is>
          <t>VÄSTRA GÖTALANDS LÄN</t>
        </is>
      </c>
      <c r="E5395" t="inlineStr">
        <is>
          <t>TANUM</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48815-2020</t>
        </is>
      </c>
      <c r="B5396" s="1" t="n">
        <v>44103</v>
      </c>
      <c r="C5396" s="1" t="n">
        <v>45212</v>
      </c>
      <c r="D5396" t="inlineStr">
        <is>
          <t>VÄSTRA GÖTALANDS LÄN</t>
        </is>
      </c>
      <c r="E5396" t="inlineStr">
        <is>
          <t>TANUM</t>
        </is>
      </c>
      <c r="G5396" t="n">
        <v>0.4</v>
      </c>
      <c r="H5396" t="n">
        <v>0</v>
      </c>
      <c r="I5396" t="n">
        <v>0</v>
      </c>
      <c r="J5396" t="n">
        <v>0</v>
      </c>
      <c r="K5396" t="n">
        <v>0</v>
      </c>
      <c r="L5396" t="n">
        <v>0</v>
      </c>
      <c r="M5396" t="n">
        <v>0</v>
      </c>
      <c r="N5396" t="n">
        <v>0</v>
      </c>
      <c r="O5396" t="n">
        <v>0</v>
      </c>
      <c r="P5396" t="n">
        <v>0</v>
      </c>
      <c r="Q5396" t="n">
        <v>0</v>
      </c>
      <c r="R5396" s="2" t="inlineStr"/>
    </row>
    <row r="5397" ht="15" customHeight="1">
      <c r="A5397" t="inlineStr">
        <is>
          <t>A 48903-2020</t>
        </is>
      </c>
      <c r="B5397" s="1" t="n">
        <v>44104</v>
      </c>
      <c r="C5397" s="1" t="n">
        <v>45212</v>
      </c>
      <c r="D5397" t="inlineStr">
        <is>
          <t>VÄSTRA GÖTALANDS LÄN</t>
        </is>
      </c>
      <c r="E5397" t="inlineStr">
        <is>
          <t>SKARA</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50483-2020</t>
        </is>
      </c>
      <c r="B5398" s="1" t="n">
        <v>44104</v>
      </c>
      <c r="C5398" s="1" t="n">
        <v>45212</v>
      </c>
      <c r="D5398" t="inlineStr">
        <is>
          <t>VÄSTRA GÖTALANDS LÄN</t>
        </is>
      </c>
      <c r="E5398" t="inlineStr">
        <is>
          <t>UDDEVALLA</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50024-2020</t>
        </is>
      </c>
      <c r="B5399" s="1" t="n">
        <v>44104</v>
      </c>
      <c r="C5399" s="1" t="n">
        <v>45212</v>
      </c>
      <c r="D5399" t="inlineStr">
        <is>
          <t>VÄSTRA GÖTALANDS LÄN</t>
        </is>
      </c>
      <c r="E5399" t="inlineStr">
        <is>
          <t>MARIESTAD</t>
        </is>
      </c>
      <c r="G5399" t="n">
        <v>2.8</v>
      </c>
      <c r="H5399" t="n">
        <v>0</v>
      </c>
      <c r="I5399" t="n">
        <v>0</v>
      </c>
      <c r="J5399" t="n">
        <v>0</v>
      </c>
      <c r="K5399" t="n">
        <v>0</v>
      </c>
      <c r="L5399" t="n">
        <v>0</v>
      </c>
      <c r="M5399" t="n">
        <v>0</v>
      </c>
      <c r="N5399" t="n">
        <v>0</v>
      </c>
      <c r="O5399" t="n">
        <v>0</v>
      </c>
      <c r="P5399" t="n">
        <v>0</v>
      </c>
      <c r="Q5399" t="n">
        <v>0</v>
      </c>
      <c r="R5399" s="2" t="inlineStr"/>
    </row>
    <row r="5400" ht="15" customHeight="1">
      <c r="A5400" t="inlineStr">
        <is>
          <t>A 48962-2020</t>
        </is>
      </c>
      <c r="B5400" s="1" t="n">
        <v>44104</v>
      </c>
      <c r="C5400" s="1" t="n">
        <v>45212</v>
      </c>
      <c r="D5400" t="inlineStr">
        <is>
          <t>VÄSTRA GÖTALANDS LÄN</t>
        </is>
      </c>
      <c r="E5400" t="inlineStr">
        <is>
          <t>TRANEMO</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50020-2020</t>
        </is>
      </c>
      <c r="B5401" s="1" t="n">
        <v>44104</v>
      </c>
      <c r="C5401" s="1" t="n">
        <v>45212</v>
      </c>
      <c r="D5401" t="inlineStr">
        <is>
          <t>VÄSTRA GÖTALANDS LÄN</t>
        </is>
      </c>
      <c r="E5401" t="inlineStr">
        <is>
          <t>GULLSPÅNG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48932-2020</t>
        </is>
      </c>
      <c r="B5402" s="1" t="n">
        <v>44104</v>
      </c>
      <c r="C5402" s="1" t="n">
        <v>45212</v>
      </c>
      <c r="D5402" t="inlineStr">
        <is>
          <t>VÄSTRA GÖTALANDS LÄN</t>
        </is>
      </c>
      <c r="E5402" t="inlineStr">
        <is>
          <t>MARK</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49079-2020</t>
        </is>
      </c>
      <c r="B5403" s="1" t="n">
        <v>44104</v>
      </c>
      <c r="C5403" s="1" t="n">
        <v>45212</v>
      </c>
      <c r="D5403" t="inlineStr">
        <is>
          <t>VÄSTRA GÖTALANDS LÄN</t>
        </is>
      </c>
      <c r="E5403" t="inlineStr">
        <is>
          <t>TANUM</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49146-2020</t>
        </is>
      </c>
      <c r="B5404" s="1" t="n">
        <v>44104</v>
      </c>
      <c r="C5404" s="1" t="n">
        <v>45212</v>
      </c>
      <c r="D5404" t="inlineStr">
        <is>
          <t>VÄSTRA GÖTALANDS LÄN</t>
        </is>
      </c>
      <c r="E5404" t="inlineStr">
        <is>
          <t>TANUM</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49193-2020</t>
        </is>
      </c>
      <c r="B5405" s="1" t="n">
        <v>44105</v>
      </c>
      <c r="C5405" s="1" t="n">
        <v>45212</v>
      </c>
      <c r="D5405" t="inlineStr">
        <is>
          <t>VÄSTRA GÖTALANDS LÄN</t>
        </is>
      </c>
      <c r="E5405" t="inlineStr">
        <is>
          <t>ÅMÅL</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49237-2020</t>
        </is>
      </c>
      <c r="B5406" s="1" t="n">
        <v>44105</v>
      </c>
      <c r="C5406" s="1" t="n">
        <v>45212</v>
      </c>
      <c r="D5406" t="inlineStr">
        <is>
          <t>VÄSTRA GÖTALANDS LÄN</t>
        </is>
      </c>
      <c r="E5406" t="inlineStr">
        <is>
          <t>MARIESTAD</t>
        </is>
      </c>
      <c r="F5406" t="inlineStr">
        <is>
          <t>Kyrkan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49287-2020</t>
        </is>
      </c>
      <c r="B5407" s="1" t="n">
        <v>44105</v>
      </c>
      <c r="C5407" s="1" t="n">
        <v>45212</v>
      </c>
      <c r="D5407" t="inlineStr">
        <is>
          <t>VÄSTRA GÖTALANDS LÄN</t>
        </is>
      </c>
      <c r="E5407" t="inlineStr">
        <is>
          <t>ALINGSÅS</t>
        </is>
      </c>
      <c r="G5407" t="n">
        <v>0.5</v>
      </c>
      <c r="H5407" t="n">
        <v>0</v>
      </c>
      <c r="I5407" t="n">
        <v>0</v>
      </c>
      <c r="J5407" t="n">
        <v>0</v>
      </c>
      <c r="K5407" t="n">
        <v>0</v>
      </c>
      <c r="L5407" t="n">
        <v>0</v>
      </c>
      <c r="M5407" t="n">
        <v>0</v>
      </c>
      <c r="N5407" t="n">
        <v>0</v>
      </c>
      <c r="O5407" t="n">
        <v>0</v>
      </c>
      <c r="P5407" t="n">
        <v>0</v>
      </c>
      <c r="Q5407" t="n">
        <v>0</v>
      </c>
      <c r="R5407" s="2" t="inlineStr"/>
    </row>
    <row r="5408" ht="15" customHeight="1">
      <c r="A5408" t="inlineStr">
        <is>
          <t>A 49374-2020</t>
        </is>
      </c>
      <c r="B5408" s="1" t="n">
        <v>44105</v>
      </c>
      <c r="C5408" s="1" t="n">
        <v>45212</v>
      </c>
      <c r="D5408" t="inlineStr">
        <is>
          <t>VÄSTRA GÖTALANDS LÄN</t>
        </is>
      </c>
      <c r="E5408" t="inlineStr">
        <is>
          <t>TJÖRN</t>
        </is>
      </c>
      <c r="G5408" t="n">
        <v>6.2</v>
      </c>
      <c r="H5408" t="n">
        <v>0</v>
      </c>
      <c r="I5408" t="n">
        <v>0</v>
      </c>
      <c r="J5408" t="n">
        <v>0</v>
      </c>
      <c r="K5408" t="n">
        <v>0</v>
      </c>
      <c r="L5408" t="n">
        <v>0</v>
      </c>
      <c r="M5408" t="n">
        <v>0</v>
      </c>
      <c r="N5408" t="n">
        <v>0</v>
      </c>
      <c r="O5408" t="n">
        <v>0</v>
      </c>
      <c r="P5408" t="n">
        <v>0</v>
      </c>
      <c r="Q5408" t="n">
        <v>0</v>
      </c>
      <c r="R5408" s="2" t="inlineStr"/>
    </row>
    <row r="5409" ht="15" customHeight="1">
      <c r="A5409" t="inlineStr">
        <is>
          <t>A 49427-2020</t>
        </is>
      </c>
      <c r="B5409" s="1" t="n">
        <v>44105</v>
      </c>
      <c r="C5409" s="1" t="n">
        <v>45212</v>
      </c>
      <c r="D5409" t="inlineStr">
        <is>
          <t>VÄSTRA GÖTALANDS LÄN</t>
        </is>
      </c>
      <c r="E5409" t="inlineStr">
        <is>
          <t>MUNKEDAL</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50767-2020</t>
        </is>
      </c>
      <c r="B5410" s="1" t="n">
        <v>44105</v>
      </c>
      <c r="C5410" s="1" t="n">
        <v>45212</v>
      </c>
      <c r="D5410" t="inlineStr">
        <is>
          <t>VÄSTRA GÖTALANDS LÄN</t>
        </is>
      </c>
      <c r="E5410" t="inlineStr">
        <is>
          <t>GULLSPÅNG</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50844-2020</t>
        </is>
      </c>
      <c r="B5411" s="1" t="n">
        <v>44105</v>
      </c>
      <c r="C5411" s="1" t="n">
        <v>45212</v>
      </c>
      <c r="D5411" t="inlineStr">
        <is>
          <t>VÄSTRA GÖTALANDS LÄN</t>
        </is>
      </c>
      <c r="E5411" t="inlineStr">
        <is>
          <t>MELLERUD</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49284-2020</t>
        </is>
      </c>
      <c r="B5412" s="1" t="n">
        <v>44105</v>
      </c>
      <c r="C5412" s="1" t="n">
        <v>45212</v>
      </c>
      <c r="D5412" t="inlineStr">
        <is>
          <t>VÄSTRA GÖTALANDS LÄN</t>
        </is>
      </c>
      <c r="E5412" t="inlineStr">
        <is>
          <t>MARK</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49333-2020</t>
        </is>
      </c>
      <c r="B5413" s="1" t="n">
        <v>44105</v>
      </c>
      <c r="C5413" s="1" t="n">
        <v>45212</v>
      </c>
      <c r="D5413" t="inlineStr">
        <is>
          <t>VÄSTRA GÖTALANDS LÄN</t>
        </is>
      </c>
      <c r="E5413" t="inlineStr">
        <is>
          <t>HÄRRYDA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49393-2020</t>
        </is>
      </c>
      <c r="B5414" s="1" t="n">
        <v>44105</v>
      </c>
      <c r="C5414" s="1" t="n">
        <v>45212</v>
      </c>
      <c r="D5414" t="inlineStr">
        <is>
          <t>VÄSTRA GÖTALANDS LÄN</t>
        </is>
      </c>
      <c r="E5414" t="inlineStr">
        <is>
          <t>BORÅS</t>
        </is>
      </c>
      <c r="G5414" t="n">
        <v>3</v>
      </c>
      <c r="H5414" t="n">
        <v>0</v>
      </c>
      <c r="I5414" t="n">
        <v>0</v>
      </c>
      <c r="J5414" t="n">
        <v>0</v>
      </c>
      <c r="K5414" t="n">
        <v>0</v>
      </c>
      <c r="L5414" t="n">
        <v>0</v>
      </c>
      <c r="M5414" t="n">
        <v>0</v>
      </c>
      <c r="N5414" t="n">
        <v>0</v>
      </c>
      <c r="O5414" t="n">
        <v>0</v>
      </c>
      <c r="P5414" t="n">
        <v>0</v>
      </c>
      <c r="Q5414" t="n">
        <v>0</v>
      </c>
      <c r="R5414" s="2" t="inlineStr"/>
    </row>
    <row r="5415" ht="15" customHeight="1">
      <c r="A5415" t="inlineStr">
        <is>
          <t>A 50521-2020</t>
        </is>
      </c>
      <c r="B5415" s="1" t="n">
        <v>44105</v>
      </c>
      <c r="C5415" s="1" t="n">
        <v>45212</v>
      </c>
      <c r="D5415" t="inlineStr">
        <is>
          <t>VÄSTRA GÖTALANDS LÄN</t>
        </is>
      </c>
      <c r="E5415" t="inlineStr">
        <is>
          <t>BORÅS</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50823-2020</t>
        </is>
      </c>
      <c r="B5416" s="1" t="n">
        <v>44105</v>
      </c>
      <c r="C5416" s="1" t="n">
        <v>45212</v>
      </c>
      <c r="D5416" t="inlineStr">
        <is>
          <t>VÄSTRA GÖTALANDS LÄN</t>
        </is>
      </c>
      <c r="E5416" t="inlineStr">
        <is>
          <t>GULLSPÅNG</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49195-2020</t>
        </is>
      </c>
      <c r="B5417" s="1" t="n">
        <v>44105</v>
      </c>
      <c r="C5417" s="1" t="n">
        <v>45212</v>
      </c>
      <c r="D5417" t="inlineStr">
        <is>
          <t>VÄSTRA GÖTALANDS LÄN</t>
        </is>
      </c>
      <c r="E5417" t="inlineStr">
        <is>
          <t>ÅMÅL</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49376-2020</t>
        </is>
      </c>
      <c r="B5418" s="1" t="n">
        <v>44105</v>
      </c>
      <c r="C5418" s="1" t="n">
        <v>45212</v>
      </c>
      <c r="D5418" t="inlineStr">
        <is>
          <t>VÄSTRA GÖTALANDS LÄN</t>
        </is>
      </c>
      <c r="E5418" t="inlineStr">
        <is>
          <t>BORÅS</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49392-2020</t>
        </is>
      </c>
      <c r="B5419" s="1" t="n">
        <v>44105</v>
      </c>
      <c r="C5419" s="1" t="n">
        <v>45212</v>
      </c>
      <c r="D5419" t="inlineStr">
        <is>
          <t>VÄSTRA GÖTALANDS LÄN</t>
        </is>
      </c>
      <c r="E5419" t="inlineStr">
        <is>
          <t>BORÅS</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50514-2020</t>
        </is>
      </c>
      <c r="B5420" s="1" t="n">
        <v>44105</v>
      </c>
      <c r="C5420" s="1" t="n">
        <v>45212</v>
      </c>
      <c r="D5420" t="inlineStr">
        <is>
          <t>VÄSTRA GÖTALANDS LÄN</t>
        </is>
      </c>
      <c r="E5420" t="inlineStr">
        <is>
          <t>HERRLJUNGA</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49295-2020</t>
        </is>
      </c>
      <c r="B5421" s="1" t="n">
        <v>44105</v>
      </c>
      <c r="C5421" s="1" t="n">
        <v>45212</v>
      </c>
      <c r="D5421" t="inlineStr">
        <is>
          <t>VÄSTRA GÖTALANDS LÄN</t>
        </is>
      </c>
      <c r="E5421" t="inlineStr">
        <is>
          <t>BENGTSFORS</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49344-2020</t>
        </is>
      </c>
      <c r="B5422" s="1" t="n">
        <v>44105</v>
      </c>
      <c r="C5422" s="1" t="n">
        <v>45212</v>
      </c>
      <c r="D5422" t="inlineStr">
        <is>
          <t>VÄSTRA GÖTALANDS LÄN</t>
        </is>
      </c>
      <c r="E5422" t="inlineStr">
        <is>
          <t>HÄRRYDA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49396-2020</t>
        </is>
      </c>
      <c r="B5423" s="1" t="n">
        <v>44105</v>
      </c>
      <c r="C5423" s="1" t="n">
        <v>45212</v>
      </c>
      <c r="D5423" t="inlineStr">
        <is>
          <t>VÄSTRA GÖTALANDS LÄN</t>
        </is>
      </c>
      <c r="E5423" t="inlineStr">
        <is>
          <t>ÅMÅL</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49416-2020</t>
        </is>
      </c>
      <c r="B5424" s="1" t="n">
        <v>44105</v>
      </c>
      <c r="C5424" s="1" t="n">
        <v>45212</v>
      </c>
      <c r="D5424" t="inlineStr">
        <is>
          <t>VÄSTRA GÖTALANDS LÄN</t>
        </is>
      </c>
      <c r="E5424" t="inlineStr">
        <is>
          <t>KARLSBORG</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50335-2020</t>
        </is>
      </c>
      <c r="B5425" s="1" t="n">
        <v>44105</v>
      </c>
      <c r="C5425" s="1" t="n">
        <v>45212</v>
      </c>
      <c r="D5425" t="inlineStr">
        <is>
          <t>VÄSTRA GÖTALANDS LÄN</t>
        </is>
      </c>
      <c r="E5425" t="inlineStr">
        <is>
          <t>FALKÖPING</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50525-2020</t>
        </is>
      </c>
      <c r="B5426" s="1" t="n">
        <v>44105</v>
      </c>
      <c r="C5426" s="1" t="n">
        <v>45212</v>
      </c>
      <c r="D5426" t="inlineStr">
        <is>
          <t>VÄSTRA GÖTALANDS LÄN</t>
        </is>
      </c>
      <c r="E5426" t="inlineStr">
        <is>
          <t>ULRICEHAMN</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49605-2020</t>
        </is>
      </c>
      <c r="B5427" s="1" t="n">
        <v>44106</v>
      </c>
      <c r="C5427" s="1" t="n">
        <v>45212</v>
      </c>
      <c r="D5427" t="inlineStr">
        <is>
          <t>VÄSTRA GÖTALANDS LÄN</t>
        </is>
      </c>
      <c r="E5427" t="inlineStr">
        <is>
          <t>TRANEMO</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49688-2020</t>
        </is>
      </c>
      <c r="B5428" s="1" t="n">
        <v>44106</v>
      </c>
      <c r="C5428" s="1" t="n">
        <v>45212</v>
      </c>
      <c r="D5428" t="inlineStr">
        <is>
          <t>VÄSTRA GÖTALANDS LÄN</t>
        </is>
      </c>
      <c r="E5428" t="inlineStr">
        <is>
          <t>VÅRGÅRDA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49706-2020</t>
        </is>
      </c>
      <c r="B5429" s="1" t="n">
        <v>44106</v>
      </c>
      <c r="C5429" s="1" t="n">
        <v>45212</v>
      </c>
      <c r="D5429" t="inlineStr">
        <is>
          <t>VÄSTRA GÖTALANDS LÄN</t>
        </is>
      </c>
      <c r="E5429" t="inlineStr">
        <is>
          <t>MARIESTAD</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49751-2020</t>
        </is>
      </c>
      <c r="B5430" s="1" t="n">
        <v>44106</v>
      </c>
      <c r="C5430" s="1" t="n">
        <v>45212</v>
      </c>
      <c r="D5430" t="inlineStr">
        <is>
          <t>VÄSTRA GÖTALANDS LÄN</t>
        </is>
      </c>
      <c r="E5430" t="inlineStr">
        <is>
          <t>MARK</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51143-2020</t>
        </is>
      </c>
      <c r="B5431" s="1" t="n">
        <v>44106</v>
      </c>
      <c r="C5431" s="1" t="n">
        <v>45212</v>
      </c>
      <c r="D5431" t="inlineStr">
        <is>
          <t>VÄSTRA GÖTALANDS LÄN</t>
        </is>
      </c>
      <c r="E5431" t="inlineStr">
        <is>
          <t>MARIESTAD</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51235-2020</t>
        </is>
      </c>
      <c r="B5432" s="1" t="n">
        <v>44106</v>
      </c>
      <c r="C5432" s="1" t="n">
        <v>45212</v>
      </c>
      <c r="D5432" t="inlineStr">
        <is>
          <t>VÄSTRA GÖTALANDS LÄN</t>
        </is>
      </c>
      <c r="E5432" t="inlineStr">
        <is>
          <t>TÖREBODA</t>
        </is>
      </c>
      <c r="G5432" t="n">
        <v>3</v>
      </c>
      <c r="H5432" t="n">
        <v>0</v>
      </c>
      <c r="I5432" t="n">
        <v>0</v>
      </c>
      <c r="J5432" t="n">
        <v>0</v>
      </c>
      <c r="K5432" t="n">
        <v>0</v>
      </c>
      <c r="L5432" t="n">
        <v>0</v>
      </c>
      <c r="M5432" t="n">
        <v>0</v>
      </c>
      <c r="N5432" t="n">
        <v>0</v>
      </c>
      <c r="O5432" t="n">
        <v>0</v>
      </c>
      <c r="P5432" t="n">
        <v>0</v>
      </c>
      <c r="Q5432" t="n">
        <v>0</v>
      </c>
      <c r="R5432" s="2" t="inlineStr"/>
    </row>
    <row r="5433" ht="15" customHeight="1">
      <c r="A5433" t="inlineStr">
        <is>
          <t>A 49621-2020</t>
        </is>
      </c>
      <c r="B5433" s="1" t="n">
        <v>44106</v>
      </c>
      <c r="C5433" s="1" t="n">
        <v>45212</v>
      </c>
      <c r="D5433" t="inlineStr">
        <is>
          <t>VÄSTRA GÖTALANDS LÄN</t>
        </is>
      </c>
      <c r="E5433" t="inlineStr">
        <is>
          <t>HJO</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49831-2020</t>
        </is>
      </c>
      <c r="B5434" s="1" t="n">
        <v>44106</v>
      </c>
      <c r="C5434" s="1" t="n">
        <v>45212</v>
      </c>
      <c r="D5434" t="inlineStr">
        <is>
          <t>VÄSTRA GÖTALANDS LÄN</t>
        </is>
      </c>
      <c r="E5434" t="inlineStr">
        <is>
          <t>FALKÖPING</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51150-2020</t>
        </is>
      </c>
      <c r="B5435" s="1" t="n">
        <v>44106</v>
      </c>
      <c r="C5435" s="1" t="n">
        <v>45212</v>
      </c>
      <c r="D5435" t="inlineStr">
        <is>
          <t>VÄSTRA GÖTALANDS LÄN</t>
        </is>
      </c>
      <c r="E5435" t="inlineStr">
        <is>
          <t>MARIESTAD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51248-2020</t>
        </is>
      </c>
      <c r="B5436" s="1" t="n">
        <v>44106</v>
      </c>
      <c r="C5436" s="1" t="n">
        <v>45212</v>
      </c>
      <c r="D5436" t="inlineStr">
        <is>
          <t>VÄSTRA GÖTALANDS LÄN</t>
        </is>
      </c>
      <c r="E5436" t="inlineStr">
        <is>
          <t>TÖREBODA</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49646-2020</t>
        </is>
      </c>
      <c r="B5437" s="1" t="n">
        <v>44106</v>
      </c>
      <c r="C5437" s="1" t="n">
        <v>45212</v>
      </c>
      <c r="D5437" t="inlineStr">
        <is>
          <t>VÄSTRA GÖTALANDS LÄN</t>
        </is>
      </c>
      <c r="E5437" t="inlineStr">
        <is>
          <t>MARIESTAD</t>
        </is>
      </c>
      <c r="F5437" t="inlineStr">
        <is>
          <t>Sveaskog</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49715-2020</t>
        </is>
      </c>
      <c r="B5438" s="1" t="n">
        <v>44106</v>
      </c>
      <c r="C5438" s="1" t="n">
        <v>45212</v>
      </c>
      <c r="D5438" t="inlineStr">
        <is>
          <t>VÄSTRA GÖTALANDS LÄN</t>
        </is>
      </c>
      <c r="E5438" t="inlineStr">
        <is>
          <t>MARK</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51078-2020</t>
        </is>
      </c>
      <c r="B5439" s="1" t="n">
        <v>44106</v>
      </c>
      <c r="C5439" s="1" t="n">
        <v>45212</v>
      </c>
      <c r="D5439" t="inlineStr">
        <is>
          <t>VÄSTRA GÖTALANDS LÄN</t>
        </is>
      </c>
      <c r="E5439" t="inlineStr">
        <is>
          <t>TANUM</t>
        </is>
      </c>
      <c r="F5439" t="inlineStr">
        <is>
          <t>Kyrkan</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51231-2020</t>
        </is>
      </c>
      <c r="B5440" s="1" t="n">
        <v>44106</v>
      </c>
      <c r="C5440" s="1" t="n">
        <v>45212</v>
      </c>
      <c r="D5440" t="inlineStr">
        <is>
          <t>VÄSTRA GÖTALANDS LÄN</t>
        </is>
      </c>
      <c r="E5440" t="inlineStr">
        <is>
          <t>TÖREBODA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51266-2020</t>
        </is>
      </c>
      <c r="B5441" s="1" t="n">
        <v>44106</v>
      </c>
      <c r="C5441" s="1" t="n">
        <v>45212</v>
      </c>
      <c r="D5441" t="inlineStr">
        <is>
          <t>VÄSTRA GÖTALANDS LÄN</t>
        </is>
      </c>
      <c r="E5441" t="inlineStr">
        <is>
          <t>MARIESTAD</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49644-2020</t>
        </is>
      </c>
      <c r="B5442" s="1" t="n">
        <v>44106</v>
      </c>
      <c r="C5442" s="1" t="n">
        <v>45212</v>
      </c>
      <c r="D5442" t="inlineStr">
        <is>
          <t>VÄSTRA GÖTALANDS LÄN</t>
        </is>
      </c>
      <c r="E5442" t="inlineStr">
        <is>
          <t>MARIESTAD</t>
        </is>
      </c>
      <c r="F5442" t="inlineStr">
        <is>
          <t>Sveaskog</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49790-2020</t>
        </is>
      </c>
      <c r="B5443" s="1" t="n">
        <v>44106</v>
      </c>
      <c r="C5443" s="1" t="n">
        <v>45212</v>
      </c>
      <c r="D5443" t="inlineStr">
        <is>
          <t>VÄSTRA GÖTALANDS LÄN</t>
        </is>
      </c>
      <c r="E5443" t="inlineStr">
        <is>
          <t>VARA</t>
        </is>
      </c>
      <c r="G5443" t="n">
        <v>2.6</v>
      </c>
      <c r="H5443" t="n">
        <v>0</v>
      </c>
      <c r="I5443" t="n">
        <v>0</v>
      </c>
      <c r="J5443" t="n">
        <v>0</v>
      </c>
      <c r="K5443" t="n">
        <v>0</v>
      </c>
      <c r="L5443" t="n">
        <v>0</v>
      </c>
      <c r="M5443" t="n">
        <v>0</v>
      </c>
      <c r="N5443" t="n">
        <v>0</v>
      </c>
      <c r="O5443" t="n">
        <v>0</v>
      </c>
      <c r="P5443" t="n">
        <v>0</v>
      </c>
      <c r="Q5443" t="n">
        <v>0</v>
      </c>
      <c r="R5443" s="2" t="inlineStr"/>
    </row>
    <row r="5444" ht="15" customHeight="1">
      <c r="A5444" t="inlineStr">
        <is>
          <t>A 51258-2020</t>
        </is>
      </c>
      <c r="B5444" s="1" t="n">
        <v>44106</v>
      </c>
      <c r="C5444" s="1" t="n">
        <v>45212</v>
      </c>
      <c r="D5444" t="inlineStr">
        <is>
          <t>VÄSTRA GÖTALANDS LÄN</t>
        </is>
      </c>
      <c r="E5444" t="inlineStr">
        <is>
          <t>TÖREBODA</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49939-2020</t>
        </is>
      </c>
      <c r="B5445" s="1" t="n">
        <v>44109</v>
      </c>
      <c r="C5445" s="1" t="n">
        <v>45212</v>
      </c>
      <c r="D5445" t="inlineStr">
        <is>
          <t>VÄSTRA GÖTALANDS LÄN</t>
        </is>
      </c>
      <c r="E5445" t="inlineStr">
        <is>
          <t>FALKÖPING</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50227-2020</t>
        </is>
      </c>
      <c r="B5446" s="1" t="n">
        <v>44109</v>
      </c>
      <c r="C5446" s="1" t="n">
        <v>45212</v>
      </c>
      <c r="D5446" t="inlineStr">
        <is>
          <t>VÄSTRA GÖTALANDS LÄN</t>
        </is>
      </c>
      <c r="E5446" t="inlineStr">
        <is>
          <t>MELLERUD</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50006-2020</t>
        </is>
      </c>
      <c r="B5447" s="1" t="n">
        <v>44109</v>
      </c>
      <c r="C5447" s="1" t="n">
        <v>45212</v>
      </c>
      <c r="D5447" t="inlineStr">
        <is>
          <t>VÄSTRA GÖTALANDS LÄN</t>
        </is>
      </c>
      <c r="E5447" t="inlineStr">
        <is>
          <t>FÄRGELANDA</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50118-2020</t>
        </is>
      </c>
      <c r="B5448" s="1" t="n">
        <v>44109</v>
      </c>
      <c r="C5448" s="1" t="n">
        <v>45212</v>
      </c>
      <c r="D5448" t="inlineStr">
        <is>
          <t>VÄSTRA GÖTALANDS LÄN</t>
        </is>
      </c>
      <c r="E5448" t="inlineStr">
        <is>
          <t>DALS-ED</t>
        </is>
      </c>
      <c r="G5448" t="n">
        <v>13.4</v>
      </c>
      <c r="H5448" t="n">
        <v>0</v>
      </c>
      <c r="I5448" t="n">
        <v>0</v>
      </c>
      <c r="J5448" t="n">
        <v>0</v>
      </c>
      <c r="K5448" t="n">
        <v>0</v>
      </c>
      <c r="L5448" t="n">
        <v>0</v>
      </c>
      <c r="M5448" t="n">
        <v>0</v>
      </c>
      <c r="N5448" t="n">
        <v>0</v>
      </c>
      <c r="O5448" t="n">
        <v>0</v>
      </c>
      <c r="P5448" t="n">
        <v>0</v>
      </c>
      <c r="Q5448" t="n">
        <v>0</v>
      </c>
      <c r="R5448" s="2" t="inlineStr"/>
    </row>
    <row r="5449" ht="15" customHeight="1">
      <c r="A5449" t="inlineStr">
        <is>
          <t>A 50149-2020</t>
        </is>
      </c>
      <c r="B5449" s="1" t="n">
        <v>44109</v>
      </c>
      <c r="C5449" s="1" t="n">
        <v>45212</v>
      </c>
      <c r="D5449" t="inlineStr">
        <is>
          <t>VÄSTRA GÖTALANDS LÄN</t>
        </is>
      </c>
      <c r="E5449" t="inlineStr">
        <is>
          <t>SVENLJUNGA</t>
        </is>
      </c>
      <c r="G5449" t="n">
        <v>1.6</v>
      </c>
      <c r="H5449" t="n">
        <v>0</v>
      </c>
      <c r="I5449" t="n">
        <v>0</v>
      </c>
      <c r="J5449" t="n">
        <v>0</v>
      </c>
      <c r="K5449" t="n">
        <v>0</v>
      </c>
      <c r="L5449" t="n">
        <v>0</v>
      </c>
      <c r="M5449" t="n">
        <v>0</v>
      </c>
      <c r="N5449" t="n">
        <v>0</v>
      </c>
      <c r="O5449" t="n">
        <v>0</v>
      </c>
      <c r="P5449" t="n">
        <v>0</v>
      </c>
      <c r="Q5449" t="n">
        <v>0</v>
      </c>
      <c r="R5449" s="2" t="inlineStr"/>
    </row>
    <row r="5450" ht="15" customHeight="1">
      <c r="A5450" t="inlineStr">
        <is>
          <t>A 50104-2020</t>
        </is>
      </c>
      <c r="B5450" s="1" t="n">
        <v>44109</v>
      </c>
      <c r="C5450" s="1" t="n">
        <v>45212</v>
      </c>
      <c r="D5450" t="inlineStr">
        <is>
          <t>VÄSTRA GÖTALANDS LÄN</t>
        </is>
      </c>
      <c r="E5450" t="inlineStr">
        <is>
          <t>DALS-ED</t>
        </is>
      </c>
      <c r="G5450" t="n">
        <v>0.3</v>
      </c>
      <c r="H5450" t="n">
        <v>0</v>
      </c>
      <c r="I5450" t="n">
        <v>0</v>
      </c>
      <c r="J5450" t="n">
        <v>0</v>
      </c>
      <c r="K5450" t="n">
        <v>0</v>
      </c>
      <c r="L5450" t="n">
        <v>0</v>
      </c>
      <c r="M5450" t="n">
        <v>0</v>
      </c>
      <c r="N5450" t="n">
        <v>0</v>
      </c>
      <c r="O5450" t="n">
        <v>0</v>
      </c>
      <c r="P5450" t="n">
        <v>0</v>
      </c>
      <c r="Q5450" t="n">
        <v>0</v>
      </c>
      <c r="R5450" s="2" t="inlineStr"/>
    </row>
    <row r="5451" ht="15" customHeight="1">
      <c r="A5451" t="inlineStr">
        <is>
          <t>A 50122-2020</t>
        </is>
      </c>
      <c r="B5451" s="1" t="n">
        <v>44109</v>
      </c>
      <c r="C5451" s="1" t="n">
        <v>45212</v>
      </c>
      <c r="D5451" t="inlineStr">
        <is>
          <t>VÄSTRA GÖTALANDS LÄN</t>
        </is>
      </c>
      <c r="E5451" t="inlineStr">
        <is>
          <t>SVENLJUNGA</t>
        </is>
      </c>
      <c r="G5451" t="n">
        <v>2.4</v>
      </c>
      <c r="H5451" t="n">
        <v>0</v>
      </c>
      <c r="I5451" t="n">
        <v>0</v>
      </c>
      <c r="J5451" t="n">
        <v>0</v>
      </c>
      <c r="K5451" t="n">
        <v>0</v>
      </c>
      <c r="L5451" t="n">
        <v>0</v>
      </c>
      <c r="M5451" t="n">
        <v>0</v>
      </c>
      <c r="N5451" t="n">
        <v>0</v>
      </c>
      <c r="O5451" t="n">
        <v>0</v>
      </c>
      <c r="P5451" t="n">
        <v>0</v>
      </c>
      <c r="Q5451" t="n">
        <v>0</v>
      </c>
      <c r="R5451" s="2" t="inlineStr"/>
    </row>
    <row r="5452" ht="15" customHeight="1">
      <c r="A5452" t="inlineStr">
        <is>
          <t>A 49922-2020</t>
        </is>
      </c>
      <c r="B5452" s="1" t="n">
        <v>44109</v>
      </c>
      <c r="C5452" s="1" t="n">
        <v>45212</v>
      </c>
      <c r="D5452" t="inlineStr">
        <is>
          <t>VÄSTRA GÖTALANDS LÄN</t>
        </is>
      </c>
      <c r="E5452" t="inlineStr">
        <is>
          <t>FALKÖPING</t>
        </is>
      </c>
      <c r="G5452" t="n">
        <v>4.2</v>
      </c>
      <c r="H5452" t="n">
        <v>0</v>
      </c>
      <c r="I5452" t="n">
        <v>0</v>
      </c>
      <c r="J5452" t="n">
        <v>0</v>
      </c>
      <c r="K5452" t="n">
        <v>0</v>
      </c>
      <c r="L5452" t="n">
        <v>0</v>
      </c>
      <c r="M5452" t="n">
        <v>0</v>
      </c>
      <c r="N5452" t="n">
        <v>0</v>
      </c>
      <c r="O5452" t="n">
        <v>0</v>
      </c>
      <c r="P5452" t="n">
        <v>0</v>
      </c>
      <c r="Q5452" t="n">
        <v>0</v>
      </c>
      <c r="R5452" s="2" t="inlineStr"/>
    </row>
    <row r="5453" ht="15" customHeight="1">
      <c r="A5453" t="inlineStr">
        <is>
          <t>A 49959-2020</t>
        </is>
      </c>
      <c r="B5453" s="1" t="n">
        <v>44109</v>
      </c>
      <c r="C5453" s="1" t="n">
        <v>45212</v>
      </c>
      <c r="D5453" t="inlineStr">
        <is>
          <t>VÄSTRA GÖTALANDS LÄN</t>
        </is>
      </c>
      <c r="E5453" t="inlineStr">
        <is>
          <t>TIDAHOLM</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50064-2020</t>
        </is>
      </c>
      <c r="B5454" s="1" t="n">
        <v>44109</v>
      </c>
      <c r="C5454" s="1" t="n">
        <v>45212</v>
      </c>
      <c r="D5454" t="inlineStr">
        <is>
          <t>VÄSTRA GÖTALANDS LÄN</t>
        </is>
      </c>
      <c r="E5454" t="inlineStr">
        <is>
          <t>DALS-ED</t>
        </is>
      </c>
      <c r="G5454" t="n">
        <v>3.8</v>
      </c>
      <c r="H5454" t="n">
        <v>0</v>
      </c>
      <c r="I5454" t="n">
        <v>0</v>
      </c>
      <c r="J5454" t="n">
        <v>0</v>
      </c>
      <c r="K5454" t="n">
        <v>0</v>
      </c>
      <c r="L5454" t="n">
        <v>0</v>
      </c>
      <c r="M5454" t="n">
        <v>0</v>
      </c>
      <c r="N5454" t="n">
        <v>0</v>
      </c>
      <c r="O5454" t="n">
        <v>0</v>
      </c>
      <c r="P5454" t="n">
        <v>0</v>
      </c>
      <c r="Q5454" t="n">
        <v>0</v>
      </c>
      <c r="R5454" s="2" t="inlineStr"/>
    </row>
    <row r="5455" ht="15" customHeight="1">
      <c r="A5455" t="inlineStr">
        <is>
          <t>A 50361-2020</t>
        </is>
      </c>
      <c r="B5455" s="1" t="n">
        <v>44110</v>
      </c>
      <c r="C5455" s="1" t="n">
        <v>45212</v>
      </c>
      <c r="D5455" t="inlineStr">
        <is>
          <t>VÄSTRA GÖTALANDS LÄN</t>
        </is>
      </c>
      <c r="E5455" t="inlineStr">
        <is>
          <t>MELLERUD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50600-2020</t>
        </is>
      </c>
      <c r="B5456" s="1" t="n">
        <v>44110</v>
      </c>
      <c r="C5456" s="1" t="n">
        <v>45212</v>
      </c>
      <c r="D5456" t="inlineStr">
        <is>
          <t>VÄSTRA GÖTALANDS LÄN</t>
        </is>
      </c>
      <c r="E5456" t="inlineStr">
        <is>
          <t>ULRICEHAMN</t>
        </is>
      </c>
      <c r="G5456" t="n">
        <v>4.1</v>
      </c>
      <c r="H5456" t="n">
        <v>0</v>
      </c>
      <c r="I5456" t="n">
        <v>0</v>
      </c>
      <c r="J5456" t="n">
        <v>0</v>
      </c>
      <c r="K5456" t="n">
        <v>0</v>
      </c>
      <c r="L5456" t="n">
        <v>0</v>
      </c>
      <c r="M5456" t="n">
        <v>0</v>
      </c>
      <c r="N5456" t="n">
        <v>0</v>
      </c>
      <c r="O5456" t="n">
        <v>0</v>
      </c>
      <c r="P5456" t="n">
        <v>0</v>
      </c>
      <c r="Q5456" t="n">
        <v>0</v>
      </c>
      <c r="R5456" s="2" t="inlineStr"/>
    </row>
    <row r="5457" ht="15" customHeight="1">
      <c r="A5457" t="inlineStr">
        <is>
          <t>A 51968-2020</t>
        </is>
      </c>
      <c r="B5457" s="1" t="n">
        <v>44110</v>
      </c>
      <c r="C5457" s="1" t="n">
        <v>45212</v>
      </c>
      <c r="D5457" t="inlineStr">
        <is>
          <t>VÄSTRA GÖTALANDS LÄN</t>
        </is>
      </c>
      <c r="E5457" t="inlineStr">
        <is>
          <t>VARA</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50546-2020</t>
        </is>
      </c>
      <c r="B5458" s="1" t="n">
        <v>44110</v>
      </c>
      <c r="C5458" s="1" t="n">
        <v>45212</v>
      </c>
      <c r="D5458" t="inlineStr">
        <is>
          <t>VÄSTRA GÖTALANDS LÄN</t>
        </is>
      </c>
      <c r="E5458" t="inlineStr">
        <is>
          <t>ULRICEHAMN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52116-2020</t>
        </is>
      </c>
      <c r="B5459" s="1" t="n">
        <v>44110</v>
      </c>
      <c r="C5459" s="1" t="n">
        <v>45212</v>
      </c>
      <c r="D5459" t="inlineStr">
        <is>
          <t>VÄSTRA GÖTALANDS LÄN</t>
        </is>
      </c>
      <c r="E5459" t="inlineStr">
        <is>
          <t>ULRICEHAMN</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51970-2020</t>
        </is>
      </c>
      <c r="B5460" s="1" t="n">
        <v>44110</v>
      </c>
      <c r="C5460" s="1" t="n">
        <v>45212</v>
      </c>
      <c r="D5460" t="inlineStr">
        <is>
          <t>VÄSTRA GÖTALANDS LÄN</t>
        </is>
      </c>
      <c r="E5460" t="inlineStr">
        <is>
          <t>VARA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50813-2020</t>
        </is>
      </c>
      <c r="B5461" s="1" t="n">
        <v>44111</v>
      </c>
      <c r="C5461" s="1" t="n">
        <v>45212</v>
      </c>
      <c r="D5461" t="inlineStr">
        <is>
          <t>VÄSTRA GÖTALANDS LÄN</t>
        </is>
      </c>
      <c r="E5461" t="inlineStr">
        <is>
          <t>LIDKÖPING</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50940-2020</t>
        </is>
      </c>
      <c r="B5462" s="1" t="n">
        <v>44111</v>
      </c>
      <c r="C5462" s="1" t="n">
        <v>45212</v>
      </c>
      <c r="D5462" t="inlineStr">
        <is>
          <t>VÄSTRA GÖTALANDS LÄN</t>
        </is>
      </c>
      <c r="E5462" t="inlineStr">
        <is>
          <t>LYSEKIL</t>
        </is>
      </c>
      <c r="G5462" t="n">
        <v>3.9</v>
      </c>
      <c r="H5462" t="n">
        <v>0</v>
      </c>
      <c r="I5462" t="n">
        <v>0</v>
      </c>
      <c r="J5462" t="n">
        <v>0</v>
      </c>
      <c r="K5462" t="n">
        <v>0</v>
      </c>
      <c r="L5462" t="n">
        <v>0</v>
      </c>
      <c r="M5462" t="n">
        <v>0</v>
      </c>
      <c r="N5462" t="n">
        <v>0</v>
      </c>
      <c r="O5462" t="n">
        <v>0</v>
      </c>
      <c r="P5462" t="n">
        <v>0</v>
      </c>
      <c r="Q5462" t="n">
        <v>0</v>
      </c>
      <c r="R5462" s="2" t="inlineStr"/>
    </row>
    <row r="5463" ht="15" customHeight="1">
      <c r="A5463" t="inlineStr">
        <is>
          <t>A 50941-2020</t>
        </is>
      </c>
      <c r="B5463" s="1" t="n">
        <v>44111</v>
      </c>
      <c r="C5463" s="1" t="n">
        <v>45212</v>
      </c>
      <c r="D5463" t="inlineStr">
        <is>
          <t>VÄSTRA GÖTALANDS LÄN</t>
        </is>
      </c>
      <c r="E5463" t="inlineStr">
        <is>
          <t>SOTENÄS</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50656-2020</t>
        </is>
      </c>
      <c r="B5464" s="1" t="n">
        <v>44111</v>
      </c>
      <c r="C5464" s="1" t="n">
        <v>45212</v>
      </c>
      <c r="D5464" t="inlineStr">
        <is>
          <t>VÄSTRA GÖTALANDS LÄN</t>
        </is>
      </c>
      <c r="E5464" t="inlineStr">
        <is>
          <t>BOLLEBYGD</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50805-2020</t>
        </is>
      </c>
      <c r="B5465" s="1" t="n">
        <v>44111</v>
      </c>
      <c r="C5465" s="1" t="n">
        <v>45212</v>
      </c>
      <c r="D5465" t="inlineStr">
        <is>
          <t>VÄSTRA GÖTALANDS LÄN</t>
        </is>
      </c>
      <c r="E5465" t="inlineStr">
        <is>
          <t>LIDKÖPING</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50932-2020</t>
        </is>
      </c>
      <c r="B5466" s="1" t="n">
        <v>44111</v>
      </c>
      <c r="C5466" s="1" t="n">
        <v>45212</v>
      </c>
      <c r="D5466" t="inlineStr">
        <is>
          <t>VÄSTRA GÖTALANDS LÄN</t>
        </is>
      </c>
      <c r="E5466" t="inlineStr">
        <is>
          <t>BOLLEBYGD</t>
        </is>
      </c>
      <c r="G5466" t="n">
        <v>7.6</v>
      </c>
      <c r="H5466" t="n">
        <v>0</v>
      </c>
      <c r="I5466" t="n">
        <v>0</v>
      </c>
      <c r="J5466" t="n">
        <v>0</v>
      </c>
      <c r="K5466" t="n">
        <v>0</v>
      </c>
      <c r="L5466" t="n">
        <v>0</v>
      </c>
      <c r="M5466" t="n">
        <v>0</v>
      </c>
      <c r="N5466" t="n">
        <v>0</v>
      </c>
      <c r="O5466" t="n">
        <v>0</v>
      </c>
      <c r="P5466" t="n">
        <v>0</v>
      </c>
      <c r="Q5466" t="n">
        <v>0</v>
      </c>
      <c r="R5466" s="2" t="inlineStr"/>
    </row>
    <row r="5467" ht="15" customHeight="1">
      <c r="A5467" t="inlineStr">
        <is>
          <t>A 50942-2020</t>
        </is>
      </c>
      <c r="B5467" s="1" t="n">
        <v>44111</v>
      </c>
      <c r="C5467" s="1" t="n">
        <v>45212</v>
      </c>
      <c r="D5467" t="inlineStr">
        <is>
          <t>VÄSTRA GÖTALANDS LÄN</t>
        </is>
      </c>
      <c r="E5467" t="inlineStr">
        <is>
          <t>SOTENÄS</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51026-2020</t>
        </is>
      </c>
      <c r="B5468" s="1" t="n">
        <v>44112</v>
      </c>
      <c r="C5468" s="1" t="n">
        <v>45212</v>
      </c>
      <c r="D5468" t="inlineStr">
        <is>
          <t>VÄSTRA GÖTALANDS LÄN</t>
        </is>
      </c>
      <c r="E5468" t="inlineStr">
        <is>
          <t>MARIESTAD</t>
        </is>
      </c>
      <c r="F5468" t="inlineStr">
        <is>
          <t>Sveaskog</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51071-2020</t>
        </is>
      </c>
      <c r="B5469" s="1" t="n">
        <v>44112</v>
      </c>
      <c r="C5469" s="1" t="n">
        <v>45212</v>
      </c>
      <c r="D5469" t="inlineStr">
        <is>
          <t>VÄSTRA GÖTALANDS LÄN</t>
        </is>
      </c>
      <c r="E5469" t="inlineStr">
        <is>
          <t>SKÖVDE</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51104-2020</t>
        </is>
      </c>
      <c r="B5470" s="1" t="n">
        <v>44112</v>
      </c>
      <c r="C5470" s="1" t="n">
        <v>45212</v>
      </c>
      <c r="D5470" t="inlineStr">
        <is>
          <t>VÄSTRA GÖTALANDS LÄN</t>
        </is>
      </c>
      <c r="E5470" t="inlineStr">
        <is>
          <t>MUNKEDAL</t>
        </is>
      </c>
      <c r="G5470" t="n">
        <v>8.5</v>
      </c>
      <c r="H5470" t="n">
        <v>0</v>
      </c>
      <c r="I5470" t="n">
        <v>0</v>
      </c>
      <c r="J5470" t="n">
        <v>0</v>
      </c>
      <c r="K5470" t="n">
        <v>0</v>
      </c>
      <c r="L5470" t="n">
        <v>0</v>
      </c>
      <c r="M5470" t="n">
        <v>0</v>
      </c>
      <c r="N5470" t="n">
        <v>0</v>
      </c>
      <c r="O5470" t="n">
        <v>0</v>
      </c>
      <c r="P5470" t="n">
        <v>0</v>
      </c>
      <c r="Q5470" t="n">
        <v>0</v>
      </c>
      <c r="R5470" s="2" t="inlineStr"/>
    </row>
    <row r="5471" ht="15" customHeight="1">
      <c r="A5471" t="inlineStr">
        <is>
          <t>A 51156-2020</t>
        </is>
      </c>
      <c r="B5471" s="1" t="n">
        <v>44112</v>
      </c>
      <c r="C5471" s="1" t="n">
        <v>45212</v>
      </c>
      <c r="D5471" t="inlineStr">
        <is>
          <t>VÄSTRA GÖTALANDS LÄN</t>
        </is>
      </c>
      <c r="E5471" t="inlineStr">
        <is>
          <t>GULLSPÅNG</t>
        </is>
      </c>
      <c r="F5471" t="inlineStr">
        <is>
          <t>Sveaskog</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51162-2020</t>
        </is>
      </c>
      <c r="B5472" s="1" t="n">
        <v>44112</v>
      </c>
      <c r="C5472" s="1" t="n">
        <v>45212</v>
      </c>
      <c r="D5472" t="inlineStr">
        <is>
          <t>VÄSTRA GÖTALANDS LÄN</t>
        </is>
      </c>
      <c r="E5472" t="inlineStr">
        <is>
          <t>GULLSPÅNG</t>
        </is>
      </c>
      <c r="F5472" t="inlineStr">
        <is>
          <t>Sveaskog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51261-2020</t>
        </is>
      </c>
      <c r="B5473" s="1" t="n">
        <v>44112</v>
      </c>
      <c r="C5473" s="1" t="n">
        <v>45212</v>
      </c>
      <c r="D5473" t="inlineStr">
        <is>
          <t>VÄSTRA GÖTALANDS LÄN</t>
        </is>
      </c>
      <c r="E5473" t="inlineStr">
        <is>
          <t>FÄRGELANDA</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51294-2020</t>
        </is>
      </c>
      <c r="B5474" s="1" t="n">
        <v>44112</v>
      </c>
      <c r="C5474" s="1" t="n">
        <v>45212</v>
      </c>
      <c r="D5474" t="inlineStr">
        <is>
          <t>VÄSTRA GÖTALANDS LÄN</t>
        </is>
      </c>
      <c r="E5474" t="inlineStr">
        <is>
          <t>TÖREBODA</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51301-2020</t>
        </is>
      </c>
      <c r="B5475" s="1" t="n">
        <v>44112</v>
      </c>
      <c r="C5475" s="1" t="n">
        <v>45212</v>
      </c>
      <c r="D5475" t="inlineStr">
        <is>
          <t>VÄSTRA GÖTALANDS LÄN</t>
        </is>
      </c>
      <c r="E5475" t="inlineStr">
        <is>
          <t>TÖREBODA</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52295-2020</t>
        </is>
      </c>
      <c r="B5476" s="1" t="n">
        <v>44112</v>
      </c>
      <c r="C5476" s="1" t="n">
        <v>45212</v>
      </c>
      <c r="D5476" t="inlineStr">
        <is>
          <t>VÄSTRA GÖTALANDS LÄN</t>
        </is>
      </c>
      <c r="E5476" t="inlineStr">
        <is>
          <t>LIDKÖPING</t>
        </is>
      </c>
      <c r="F5476" t="inlineStr">
        <is>
          <t>Kommuner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57179-2020</t>
        </is>
      </c>
      <c r="B5477" s="1" t="n">
        <v>44112</v>
      </c>
      <c r="C5477" s="1" t="n">
        <v>45212</v>
      </c>
      <c r="D5477" t="inlineStr">
        <is>
          <t>VÄSTRA GÖTALANDS LÄN</t>
        </is>
      </c>
      <c r="E5477" t="inlineStr">
        <is>
          <t>MUNKEDAL</t>
        </is>
      </c>
      <c r="G5477" t="n">
        <v>6.6</v>
      </c>
      <c r="H5477" t="n">
        <v>0</v>
      </c>
      <c r="I5477" t="n">
        <v>0</v>
      </c>
      <c r="J5477" t="n">
        <v>0</v>
      </c>
      <c r="K5477" t="n">
        <v>0</v>
      </c>
      <c r="L5477" t="n">
        <v>0</v>
      </c>
      <c r="M5477" t="n">
        <v>0</v>
      </c>
      <c r="N5477" t="n">
        <v>0</v>
      </c>
      <c r="O5477" t="n">
        <v>0</v>
      </c>
      <c r="P5477" t="n">
        <v>0</v>
      </c>
      <c r="Q5477" t="n">
        <v>0</v>
      </c>
      <c r="R5477" s="2" t="inlineStr"/>
    </row>
    <row r="5478" ht="15" customHeight="1">
      <c r="A5478" t="inlineStr">
        <is>
          <t>A 51120-2020</t>
        </is>
      </c>
      <c r="B5478" s="1" t="n">
        <v>44112</v>
      </c>
      <c r="C5478" s="1" t="n">
        <v>45212</v>
      </c>
      <c r="D5478" t="inlineStr">
        <is>
          <t>VÄSTRA GÖTALANDS LÄN</t>
        </is>
      </c>
      <c r="E5478" t="inlineStr">
        <is>
          <t>TIDAHOLM</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51139-2020</t>
        </is>
      </c>
      <c r="B5479" s="1" t="n">
        <v>44112</v>
      </c>
      <c r="C5479" s="1" t="n">
        <v>45212</v>
      </c>
      <c r="D5479" t="inlineStr">
        <is>
          <t>VÄSTRA GÖTALANDS LÄN</t>
        </is>
      </c>
      <c r="E5479" t="inlineStr">
        <is>
          <t>LILLA EDET</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51158-2020</t>
        </is>
      </c>
      <c r="B5480" s="1" t="n">
        <v>44112</v>
      </c>
      <c r="C5480" s="1" t="n">
        <v>45212</v>
      </c>
      <c r="D5480" t="inlineStr">
        <is>
          <t>VÄSTRA GÖTALANDS LÄN</t>
        </is>
      </c>
      <c r="E5480" t="inlineStr">
        <is>
          <t>GULLSPÅNG</t>
        </is>
      </c>
      <c r="F5480" t="inlineStr">
        <is>
          <t>Sveaskog</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51165-2020</t>
        </is>
      </c>
      <c r="B5481" s="1" t="n">
        <v>44112</v>
      </c>
      <c r="C5481" s="1" t="n">
        <v>45212</v>
      </c>
      <c r="D5481" t="inlineStr">
        <is>
          <t>VÄSTRA GÖTALANDS LÄN</t>
        </is>
      </c>
      <c r="E5481" t="inlineStr">
        <is>
          <t>GULLSPÅNG</t>
        </is>
      </c>
      <c r="F5481" t="inlineStr">
        <is>
          <t>Sveaskog</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51253-2020</t>
        </is>
      </c>
      <c r="B5482" s="1" t="n">
        <v>44112</v>
      </c>
      <c r="C5482" s="1" t="n">
        <v>45212</v>
      </c>
      <c r="D5482" t="inlineStr">
        <is>
          <t>VÄSTRA GÖTALANDS LÄN</t>
        </is>
      </c>
      <c r="E5482" t="inlineStr">
        <is>
          <t>KARLSBORG</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51289-2020</t>
        </is>
      </c>
      <c r="B5483" s="1" t="n">
        <v>44112</v>
      </c>
      <c r="C5483" s="1" t="n">
        <v>45212</v>
      </c>
      <c r="D5483" t="inlineStr">
        <is>
          <t>VÄSTRA GÖTALANDS LÄN</t>
        </is>
      </c>
      <c r="E5483" t="inlineStr">
        <is>
          <t>TÖREBODA</t>
        </is>
      </c>
      <c r="G5483" t="n">
        <v>3.5</v>
      </c>
      <c r="H5483" t="n">
        <v>0</v>
      </c>
      <c r="I5483" t="n">
        <v>0</v>
      </c>
      <c r="J5483" t="n">
        <v>0</v>
      </c>
      <c r="K5483" t="n">
        <v>0</v>
      </c>
      <c r="L5483" t="n">
        <v>0</v>
      </c>
      <c r="M5483" t="n">
        <v>0</v>
      </c>
      <c r="N5483" t="n">
        <v>0</v>
      </c>
      <c r="O5483" t="n">
        <v>0</v>
      </c>
      <c r="P5483" t="n">
        <v>0</v>
      </c>
      <c r="Q5483" t="n">
        <v>0</v>
      </c>
      <c r="R5483" s="2" t="inlineStr"/>
    </row>
    <row r="5484" ht="15" customHeight="1">
      <c r="A5484" t="inlineStr">
        <is>
          <t>A 51298-2020</t>
        </is>
      </c>
      <c r="B5484" s="1" t="n">
        <v>44112</v>
      </c>
      <c r="C5484" s="1" t="n">
        <v>45212</v>
      </c>
      <c r="D5484" t="inlineStr">
        <is>
          <t>VÄSTRA GÖTALANDS LÄN</t>
        </is>
      </c>
      <c r="E5484" t="inlineStr">
        <is>
          <t>TÖREBODA</t>
        </is>
      </c>
      <c r="G5484" t="n">
        <v>3.3</v>
      </c>
      <c r="H5484" t="n">
        <v>0</v>
      </c>
      <c r="I5484" t="n">
        <v>0</v>
      </c>
      <c r="J5484" t="n">
        <v>0</v>
      </c>
      <c r="K5484" t="n">
        <v>0</v>
      </c>
      <c r="L5484" t="n">
        <v>0</v>
      </c>
      <c r="M5484" t="n">
        <v>0</v>
      </c>
      <c r="N5484" t="n">
        <v>0</v>
      </c>
      <c r="O5484" t="n">
        <v>0</v>
      </c>
      <c r="P5484" t="n">
        <v>0</v>
      </c>
      <c r="Q5484" t="n">
        <v>0</v>
      </c>
      <c r="R5484" s="2" t="inlineStr"/>
    </row>
    <row r="5485" ht="15" customHeight="1">
      <c r="A5485" t="inlineStr">
        <is>
          <t>A 52299-2020</t>
        </is>
      </c>
      <c r="B5485" s="1" t="n">
        <v>44112</v>
      </c>
      <c r="C5485" s="1" t="n">
        <v>45212</v>
      </c>
      <c r="D5485" t="inlineStr">
        <is>
          <t>VÄSTRA GÖTALANDS LÄN</t>
        </is>
      </c>
      <c r="E5485" t="inlineStr">
        <is>
          <t>LIDKÖPING</t>
        </is>
      </c>
      <c r="F5485" t="inlineStr">
        <is>
          <t>Kommuner</t>
        </is>
      </c>
      <c r="G5485" t="n">
        <v>2.6</v>
      </c>
      <c r="H5485" t="n">
        <v>0</v>
      </c>
      <c r="I5485" t="n">
        <v>0</v>
      </c>
      <c r="J5485" t="n">
        <v>0</v>
      </c>
      <c r="K5485" t="n">
        <v>0</v>
      </c>
      <c r="L5485" t="n">
        <v>0</v>
      </c>
      <c r="M5485" t="n">
        <v>0</v>
      </c>
      <c r="N5485" t="n">
        <v>0</v>
      </c>
      <c r="O5485" t="n">
        <v>0</v>
      </c>
      <c r="P5485" t="n">
        <v>0</v>
      </c>
      <c r="Q5485" t="n">
        <v>0</v>
      </c>
      <c r="R5485" s="2" t="inlineStr"/>
    </row>
    <row r="5486" ht="15" customHeight="1">
      <c r="A5486" t="inlineStr">
        <is>
          <t>A 52436-2020</t>
        </is>
      </c>
      <c r="B5486" s="1" t="n">
        <v>44112</v>
      </c>
      <c r="C5486" s="1" t="n">
        <v>45212</v>
      </c>
      <c r="D5486" t="inlineStr">
        <is>
          <t>VÄSTRA GÖTALANDS LÄN</t>
        </is>
      </c>
      <c r="E5486" t="inlineStr">
        <is>
          <t>BENGTSFORS</t>
        </is>
      </c>
      <c r="F5486" t="inlineStr">
        <is>
          <t>Kyrkan</t>
        </is>
      </c>
      <c r="G5486" t="n">
        <v>11.1</v>
      </c>
      <c r="H5486" t="n">
        <v>0</v>
      </c>
      <c r="I5486" t="n">
        <v>0</v>
      </c>
      <c r="J5486" t="n">
        <v>0</v>
      </c>
      <c r="K5486" t="n">
        <v>0</v>
      </c>
      <c r="L5486" t="n">
        <v>0</v>
      </c>
      <c r="M5486" t="n">
        <v>0</v>
      </c>
      <c r="N5486" t="n">
        <v>0</v>
      </c>
      <c r="O5486" t="n">
        <v>0</v>
      </c>
      <c r="P5486" t="n">
        <v>0</v>
      </c>
      <c r="Q5486" t="n">
        <v>0</v>
      </c>
      <c r="R5486" s="2" t="inlineStr"/>
    </row>
    <row r="5487" ht="15" customHeight="1">
      <c r="A5487" t="inlineStr">
        <is>
          <t>A 57210-2020</t>
        </is>
      </c>
      <c r="B5487" s="1" t="n">
        <v>44112</v>
      </c>
      <c r="C5487" s="1" t="n">
        <v>45212</v>
      </c>
      <c r="D5487" t="inlineStr">
        <is>
          <t>VÄSTRA GÖTALANDS LÄN</t>
        </is>
      </c>
      <c r="E5487" t="inlineStr">
        <is>
          <t>MUNKEDAL</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51114-2020</t>
        </is>
      </c>
      <c r="B5488" s="1" t="n">
        <v>44112</v>
      </c>
      <c r="C5488" s="1" t="n">
        <v>45212</v>
      </c>
      <c r="D5488" t="inlineStr">
        <is>
          <t>VÄSTRA GÖTALANDS LÄN</t>
        </is>
      </c>
      <c r="E5488" t="inlineStr">
        <is>
          <t>MUNKEDAL</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51124-2020</t>
        </is>
      </c>
      <c r="B5489" s="1" t="n">
        <v>44112</v>
      </c>
      <c r="C5489" s="1" t="n">
        <v>45212</v>
      </c>
      <c r="D5489" t="inlineStr">
        <is>
          <t>VÄSTRA GÖTALANDS LÄN</t>
        </is>
      </c>
      <c r="E5489" t="inlineStr">
        <is>
          <t>MUNKEDAL</t>
        </is>
      </c>
      <c r="G5489" t="n">
        <v>1</v>
      </c>
      <c r="H5489" t="n">
        <v>0</v>
      </c>
      <c r="I5489" t="n">
        <v>0</v>
      </c>
      <c r="J5489" t="n">
        <v>0</v>
      </c>
      <c r="K5489" t="n">
        <v>0</v>
      </c>
      <c r="L5489" t="n">
        <v>0</v>
      </c>
      <c r="M5489" t="n">
        <v>0</v>
      </c>
      <c r="N5489" t="n">
        <v>0</v>
      </c>
      <c r="O5489" t="n">
        <v>0</v>
      </c>
      <c r="P5489" t="n">
        <v>0</v>
      </c>
      <c r="Q5489" t="n">
        <v>0</v>
      </c>
      <c r="R5489" s="2" t="inlineStr"/>
    </row>
    <row r="5490" ht="15" customHeight="1">
      <c r="A5490" t="inlineStr">
        <is>
          <t>A 51135-2020</t>
        </is>
      </c>
      <c r="B5490" s="1" t="n">
        <v>44112</v>
      </c>
      <c r="C5490" s="1" t="n">
        <v>45212</v>
      </c>
      <c r="D5490" t="inlineStr">
        <is>
          <t>VÄSTRA GÖTALANDS LÄN</t>
        </is>
      </c>
      <c r="E5490" t="inlineStr">
        <is>
          <t>LILLA EDET</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51160-2020</t>
        </is>
      </c>
      <c r="B5491" s="1" t="n">
        <v>44112</v>
      </c>
      <c r="C5491" s="1" t="n">
        <v>45212</v>
      </c>
      <c r="D5491" t="inlineStr">
        <is>
          <t>VÄSTRA GÖTALANDS LÄN</t>
        </is>
      </c>
      <c r="E5491" t="inlineStr">
        <is>
          <t>GULLSPÅNG</t>
        </is>
      </c>
      <c r="F5491" t="inlineStr">
        <is>
          <t>Sveaskog</t>
        </is>
      </c>
      <c r="G5491" t="n">
        <v>2.3</v>
      </c>
      <c r="H5491" t="n">
        <v>0</v>
      </c>
      <c r="I5491" t="n">
        <v>0</v>
      </c>
      <c r="J5491" t="n">
        <v>0</v>
      </c>
      <c r="K5491" t="n">
        <v>0</v>
      </c>
      <c r="L5491" t="n">
        <v>0</v>
      </c>
      <c r="M5491" t="n">
        <v>0</v>
      </c>
      <c r="N5491" t="n">
        <v>0</v>
      </c>
      <c r="O5491" t="n">
        <v>0</v>
      </c>
      <c r="P5491" t="n">
        <v>0</v>
      </c>
      <c r="Q5491" t="n">
        <v>0</v>
      </c>
      <c r="R5491" s="2" t="inlineStr"/>
    </row>
    <row r="5492" ht="15" customHeight="1">
      <c r="A5492" t="inlineStr">
        <is>
          <t>A 51167-2020</t>
        </is>
      </c>
      <c r="B5492" s="1" t="n">
        <v>44112</v>
      </c>
      <c r="C5492" s="1" t="n">
        <v>45212</v>
      </c>
      <c r="D5492" t="inlineStr">
        <is>
          <t>VÄSTRA GÖTALANDS LÄN</t>
        </is>
      </c>
      <c r="E5492" t="inlineStr">
        <is>
          <t>GULLSPÅNG</t>
        </is>
      </c>
      <c r="F5492" t="inlineStr">
        <is>
          <t>Sveaskog</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52287-2020</t>
        </is>
      </c>
      <c r="B5493" s="1" t="n">
        <v>44112</v>
      </c>
      <c r="C5493" s="1" t="n">
        <v>45212</v>
      </c>
      <c r="D5493" t="inlineStr">
        <is>
          <t>VÄSTRA GÖTALANDS LÄN</t>
        </is>
      </c>
      <c r="E5493" t="inlineStr">
        <is>
          <t>LIDKÖPING</t>
        </is>
      </c>
      <c r="F5493" t="inlineStr">
        <is>
          <t>Kommuner</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51131-2020</t>
        </is>
      </c>
      <c r="B5494" s="1" t="n">
        <v>44112</v>
      </c>
      <c r="C5494" s="1" t="n">
        <v>45212</v>
      </c>
      <c r="D5494" t="inlineStr">
        <is>
          <t>VÄSTRA GÖTALANDS LÄN</t>
        </is>
      </c>
      <c r="E5494" t="inlineStr">
        <is>
          <t>ORUST</t>
        </is>
      </c>
      <c r="G5494" t="n">
        <v>4.5</v>
      </c>
      <c r="H5494" t="n">
        <v>0</v>
      </c>
      <c r="I5494" t="n">
        <v>0</v>
      </c>
      <c r="J5494" t="n">
        <v>0</v>
      </c>
      <c r="K5494" t="n">
        <v>0</v>
      </c>
      <c r="L5494" t="n">
        <v>0</v>
      </c>
      <c r="M5494" t="n">
        <v>0</v>
      </c>
      <c r="N5494" t="n">
        <v>0</v>
      </c>
      <c r="O5494" t="n">
        <v>0</v>
      </c>
      <c r="P5494" t="n">
        <v>0</v>
      </c>
      <c r="Q5494" t="n">
        <v>0</v>
      </c>
      <c r="R5494" s="2" t="inlineStr"/>
    </row>
    <row r="5495" ht="15" customHeight="1">
      <c r="A5495" t="inlineStr">
        <is>
          <t>A 51159-2020</t>
        </is>
      </c>
      <c r="B5495" s="1" t="n">
        <v>44112</v>
      </c>
      <c r="C5495" s="1" t="n">
        <v>45212</v>
      </c>
      <c r="D5495" t="inlineStr">
        <is>
          <t>VÄSTRA GÖTALANDS LÄN</t>
        </is>
      </c>
      <c r="E5495" t="inlineStr">
        <is>
          <t>GULLSPÅNG</t>
        </is>
      </c>
      <c r="F5495" t="inlineStr">
        <is>
          <t>Sveaskog</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51299-2020</t>
        </is>
      </c>
      <c r="B5496" s="1" t="n">
        <v>44112</v>
      </c>
      <c r="C5496" s="1" t="n">
        <v>45212</v>
      </c>
      <c r="D5496" t="inlineStr">
        <is>
          <t>VÄSTRA GÖTALANDS LÄN</t>
        </is>
      </c>
      <c r="E5496" t="inlineStr">
        <is>
          <t>TÖREBODA</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52439-2020</t>
        </is>
      </c>
      <c r="B5497" s="1" t="n">
        <v>44112</v>
      </c>
      <c r="C5497" s="1" t="n">
        <v>45212</v>
      </c>
      <c r="D5497" t="inlineStr">
        <is>
          <t>VÄSTRA GÖTALANDS LÄN</t>
        </is>
      </c>
      <c r="E5497" t="inlineStr">
        <is>
          <t>BENGTSFORS</t>
        </is>
      </c>
      <c r="F5497" t="inlineStr">
        <is>
          <t>Kyrkan</t>
        </is>
      </c>
      <c r="G5497" t="n">
        <v>3.4</v>
      </c>
      <c r="H5497" t="n">
        <v>0</v>
      </c>
      <c r="I5497" t="n">
        <v>0</v>
      </c>
      <c r="J5497" t="n">
        <v>0</v>
      </c>
      <c r="K5497" t="n">
        <v>0</v>
      </c>
      <c r="L5497" t="n">
        <v>0</v>
      </c>
      <c r="M5497" t="n">
        <v>0</v>
      </c>
      <c r="N5497" t="n">
        <v>0</v>
      </c>
      <c r="O5497" t="n">
        <v>0</v>
      </c>
      <c r="P5497" t="n">
        <v>0</v>
      </c>
      <c r="Q5497" t="n">
        <v>0</v>
      </c>
      <c r="R5497" s="2" t="inlineStr"/>
    </row>
    <row r="5498" ht="15" customHeight="1">
      <c r="A5498" t="inlineStr">
        <is>
          <t>A 51619-2020</t>
        </is>
      </c>
      <c r="B5498" s="1" t="n">
        <v>44113</v>
      </c>
      <c r="C5498" s="1" t="n">
        <v>45212</v>
      </c>
      <c r="D5498" t="inlineStr">
        <is>
          <t>VÄSTRA GÖTALANDS LÄN</t>
        </is>
      </c>
      <c r="E5498" t="inlineStr">
        <is>
          <t>VARA</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51494-2020</t>
        </is>
      </c>
      <c r="B5499" s="1" t="n">
        <v>44113</v>
      </c>
      <c r="C5499" s="1" t="n">
        <v>45212</v>
      </c>
      <c r="D5499" t="inlineStr">
        <is>
          <t>VÄSTRA GÖTALANDS LÄN</t>
        </is>
      </c>
      <c r="E5499" t="inlineStr">
        <is>
          <t>MARK</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51540-2020</t>
        </is>
      </c>
      <c r="B5500" s="1" t="n">
        <v>44113</v>
      </c>
      <c r="C5500" s="1" t="n">
        <v>45212</v>
      </c>
      <c r="D5500" t="inlineStr">
        <is>
          <t>VÄSTRA GÖTALANDS LÄN</t>
        </is>
      </c>
      <c r="E5500" t="inlineStr">
        <is>
          <t>ALINGSÅS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52452-2020</t>
        </is>
      </c>
      <c r="B5501" s="1" t="n">
        <v>44113</v>
      </c>
      <c r="C5501" s="1" t="n">
        <v>45212</v>
      </c>
      <c r="D5501" t="inlineStr">
        <is>
          <t>VÄSTRA GÖTALANDS LÄN</t>
        </is>
      </c>
      <c r="E5501" t="inlineStr">
        <is>
          <t>GÖTENE</t>
        </is>
      </c>
      <c r="G5501" t="n">
        <v>1.5</v>
      </c>
      <c r="H5501" t="n">
        <v>0</v>
      </c>
      <c r="I5501" t="n">
        <v>0</v>
      </c>
      <c r="J5501" t="n">
        <v>0</v>
      </c>
      <c r="K5501" t="n">
        <v>0</v>
      </c>
      <c r="L5501" t="n">
        <v>0</v>
      </c>
      <c r="M5501" t="n">
        <v>0</v>
      </c>
      <c r="N5501" t="n">
        <v>0</v>
      </c>
      <c r="O5501" t="n">
        <v>0</v>
      </c>
      <c r="P5501" t="n">
        <v>0</v>
      </c>
      <c r="Q5501" t="n">
        <v>0</v>
      </c>
      <c r="R5501" s="2" t="inlineStr"/>
    </row>
    <row r="5502" ht="15" customHeight="1">
      <c r="A5502" t="inlineStr">
        <is>
          <t>A 52398-2020</t>
        </is>
      </c>
      <c r="B5502" s="1" t="n">
        <v>44113</v>
      </c>
      <c r="C5502" s="1" t="n">
        <v>45212</v>
      </c>
      <c r="D5502" t="inlineStr">
        <is>
          <t>VÄSTRA GÖTALANDS LÄN</t>
        </is>
      </c>
      <c r="E5502" t="inlineStr">
        <is>
          <t>VARA</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52450-2020</t>
        </is>
      </c>
      <c r="B5503" s="1" t="n">
        <v>44113</v>
      </c>
      <c r="C5503" s="1" t="n">
        <v>45212</v>
      </c>
      <c r="D5503" t="inlineStr">
        <is>
          <t>VÄSTRA GÖTALANDS LÄN</t>
        </is>
      </c>
      <c r="E5503" t="inlineStr">
        <is>
          <t>LIDKÖPING</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51426-2020</t>
        </is>
      </c>
      <c r="B5504" s="1" t="n">
        <v>44113</v>
      </c>
      <c r="C5504" s="1" t="n">
        <v>45212</v>
      </c>
      <c r="D5504" t="inlineStr">
        <is>
          <t>VÄSTRA GÖTALANDS LÄN</t>
        </is>
      </c>
      <c r="E5504" t="inlineStr">
        <is>
          <t>MELLERUD</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51531-2020</t>
        </is>
      </c>
      <c r="B5505" s="1" t="n">
        <v>44113</v>
      </c>
      <c r="C5505" s="1" t="n">
        <v>45212</v>
      </c>
      <c r="D5505" t="inlineStr">
        <is>
          <t>VÄSTRA GÖTALANDS LÄN</t>
        </is>
      </c>
      <c r="E5505" t="inlineStr">
        <is>
          <t>ALINGSÅS</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51650-2020</t>
        </is>
      </c>
      <c r="B5506" s="1" t="n">
        <v>44113</v>
      </c>
      <c r="C5506" s="1" t="n">
        <v>45212</v>
      </c>
      <c r="D5506" t="inlineStr">
        <is>
          <t>VÄSTRA GÖTALANDS LÄN</t>
        </is>
      </c>
      <c r="E5506" t="inlineStr">
        <is>
          <t>HÄRRYDA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52453-2020</t>
        </is>
      </c>
      <c r="B5507" s="1" t="n">
        <v>44113</v>
      </c>
      <c r="C5507" s="1" t="n">
        <v>45212</v>
      </c>
      <c r="D5507" t="inlineStr">
        <is>
          <t>VÄSTRA GÖTALANDS LÄN</t>
        </is>
      </c>
      <c r="E5507" t="inlineStr">
        <is>
          <t>GÖTENE</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52598-2020</t>
        </is>
      </c>
      <c r="B5508" s="1" t="n">
        <v>44116</v>
      </c>
      <c r="C5508" s="1" t="n">
        <v>45212</v>
      </c>
      <c r="D5508" t="inlineStr">
        <is>
          <t>VÄSTRA GÖTALANDS LÄN</t>
        </is>
      </c>
      <c r="E5508" t="inlineStr">
        <is>
          <t>STRÖMSTAD</t>
        </is>
      </c>
      <c r="G5508" t="n">
        <v>0.5</v>
      </c>
      <c r="H5508" t="n">
        <v>0</v>
      </c>
      <c r="I5508" t="n">
        <v>0</v>
      </c>
      <c r="J5508" t="n">
        <v>0</v>
      </c>
      <c r="K5508" t="n">
        <v>0</v>
      </c>
      <c r="L5508" t="n">
        <v>0</v>
      </c>
      <c r="M5508" t="n">
        <v>0</v>
      </c>
      <c r="N5508" t="n">
        <v>0</v>
      </c>
      <c r="O5508" t="n">
        <v>0</v>
      </c>
      <c r="P5508" t="n">
        <v>0</v>
      </c>
      <c r="Q5508" t="n">
        <v>0</v>
      </c>
      <c r="R5508" s="2" t="inlineStr"/>
    </row>
    <row r="5509" ht="15" customHeight="1">
      <c r="A5509" t="inlineStr">
        <is>
          <t>A 51786-2020</t>
        </is>
      </c>
      <c r="B5509" s="1" t="n">
        <v>44116</v>
      </c>
      <c r="C5509" s="1" t="n">
        <v>45212</v>
      </c>
      <c r="D5509" t="inlineStr">
        <is>
          <t>VÄSTRA GÖTALANDS LÄN</t>
        </is>
      </c>
      <c r="E5509" t="inlineStr">
        <is>
          <t>SVENLJUNGA</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52510-2020</t>
        </is>
      </c>
      <c r="B5510" s="1" t="n">
        <v>44116</v>
      </c>
      <c r="C5510" s="1" t="n">
        <v>45212</v>
      </c>
      <c r="D5510" t="inlineStr">
        <is>
          <t>VÄSTRA GÖTALANDS LÄN</t>
        </is>
      </c>
      <c r="E5510" t="inlineStr">
        <is>
          <t>ULRICEHAMN</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52176-2020</t>
        </is>
      </c>
      <c r="B5511" s="1" t="n">
        <v>44117</v>
      </c>
      <c r="C5511" s="1" t="n">
        <v>45212</v>
      </c>
      <c r="D5511" t="inlineStr">
        <is>
          <t>VÄSTRA GÖTALANDS LÄN</t>
        </is>
      </c>
      <c r="E5511" t="inlineStr">
        <is>
          <t>LIDKÖPING</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52219-2020</t>
        </is>
      </c>
      <c r="B5512" s="1" t="n">
        <v>44117</v>
      </c>
      <c r="C5512" s="1" t="n">
        <v>45212</v>
      </c>
      <c r="D5512" t="inlineStr">
        <is>
          <t>VÄSTRA GÖTALANDS LÄN</t>
        </is>
      </c>
      <c r="E5512" t="inlineStr">
        <is>
          <t>LYSEKIL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52649-2020</t>
        </is>
      </c>
      <c r="B5513" s="1" t="n">
        <v>44117</v>
      </c>
      <c r="C5513" s="1" t="n">
        <v>45212</v>
      </c>
      <c r="D5513" t="inlineStr">
        <is>
          <t>VÄSTRA GÖTALANDS LÄN</t>
        </is>
      </c>
      <c r="E5513" t="inlineStr">
        <is>
          <t>TIDAHOLM</t>
        </is>
      </c>
      <c r="G5513" t="n">
        <v>3.6</v>
      </c>
      <c r="H5513" t="n">
        <v>0</v>
      </c>
      <c r="I5513" t="n">
        <v>0</v>
      </c>
      <c r="J5513" t="n">
        <v>0</v>
      </c>
      <c r="K5513" t="n">
        <v>0</v>
      </c>
      <c r="L5513" t="n">
        <v>0</v>
      </c>
      <c r="M5513" t="n">
        <v>0</v>
      </c>
      <c r="N5513" t="n">
        <v>0</v>
      </c>
      <c r="O5513" t="n">
        <v>0</v>
      </c>
      <c r="P5513" t="n">
        <v>0</v>
      </c>
      <c r="Q5513" t="n">
        <v>0</v>
      </c>
      <c r="R5513" s="2" t="inlineStr"/>
    </row>
    <row r="5514" ht="15" customHeight="1">
      <c r="A5514" t="inlineStr">
        <is>
          <t>A 52682-2020</t>
        </is>
      </c>
      <c r="B5514" s="1" t="n">
        <v>44117</v>
      </c>
      <c r="C5514" s="1" t="n">
        <v>45212</v>
      </c>
      <c r="D5514" t="inlineStr">
        <is>
          <t>VÄSTRA GÖTALANDS LÄN</t>
        </is>
      </c>
      <c r="E5514" t="inlineStr">
        <is>
          <t>GULLSPÅNG</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52196-2020</t>
        </is>
      </c>
      <c r="B5515" s="1" t="n">
        <v>44117</v>
      </c>
      <c r="C5515" s="1" t="n">
        <v>45212</v>
      </c>
      <c r="D5515" t="inlineStr">
        <is>
          <t>VÄSTRA GÖTALANDS LÄN</t>
        </is>
      </c>
      <c r="E5515" t="inlineStr">
        <is>
          <t>SVENLJUNGA</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52684-2020</t>
        </is>
      </c>
      <c r="B5516" s="1" t="n">
        <v>44117</v>
      </c>
      <c r="C5516" s="1" t="n">
        <v>45212</v>
      </c>
      <c r="D5516" t="inlineStr">
        <is>
          <t>VÄSTRA GÖTALANDS LÄN</t>
        </is>
      </c>
      <c r="E5516" t="inlineStr">
        <is>
          <t>GULLSPÅNG</t>
        </is>
      </c>
      <c r="G5516" t="n">
        <v>4</v>
      </c>
      <c r="H5516" t="n">
        <v>0</v>
      </c>
      <c r="I5516" t="n">
        <v>0</v>
      </c>
      <c r="J5516" t="n">
        <v>0</v>
      </c>
      <c r="K5516" t="n">
        <v>0</v>
      </c>
      <c r="L5516" t="n">
        <v>0</v>
      </c>
      <c r="M5516" t="n">
        <v>0</v>
      </c>
      <c r="N5516" t="n">
        <v>0</v>
      </c>
      <c r="O5516" t="n">
        <v>0</v>
      </c>
      <c r="P5516" t="n">
        <v>0</v>
      </c>
      <c r="Q5516" t="n">
        <v>0</v>
      </c>
      <c r="R5516" s="2" t="inlineStr"/>
    </row>
    <row r="5517" ht="15" customHeight="1">
      <c r="A5517" t="inlineStr">
        <is>
          <t>A 52352-2020</t>
        </is>
      </c>
      <c r="B5517" s="1" t="n">
        <v>44117</v>
      </c>
      <c r="C5517" s="1" t="n">
        <v>45212</v>
      </c>
      <c r="D5517" t="inlineStr">
        <is>
          <t>VÄSTRA GÖTALANDS LÄN</t>
        </is>
      </c>
      <c r="E5517" t="inlineStr">
        <is>
          <t>FALKÖPING</t>
        </is>
      </c>
      <c r="G5517" t="n">
        <v>2.1</v>
      </c>
      <c r="H5517" t="n">
        <v>0</v>
      </c>
      <c r="I5517" t="n">
        <v>0</v>
      </c>
      <c r="J5517" t="n">
        <v>0</v>
      </c>
      <c r="K5517" t="n">
        <v>0</v>
      </c>
      <c r="L5517" t="n">
        <v>0</v>
      </c>
      <c r="M5517" t="n">
        <v>0</v>
      </c>
      <c r="N5517" t="n">
        <v>0</v>
      </c>
      <c r="O5517" t="n">
        <v>0</v>
      </c>
      <c r="P5517" t="n">
        <v>0</v>
      </c>
      <c r="Q5517" t="n">
        <v>0</v>
      </c>
      <c r="R5517" s="2" t="inlineStr"/>
    </row>
    <row r="5518" ht="15" customHeight="1">
      <c r="A5518" t="inlineStr">
        <is>
          <t>A 52686-2020</t>
        </is>
      </c>
      <c r="B5518" s="1" t="n">
        <v>44117</v>
      </c>
      <c r="C5518" s="1" t="n">
        <v>45212</v>
      </c>
      <c r="D5518" t="inlineStr">
        <is>
          <t>VÄSTRA GÖTALANDS LÄN</t>
        </is>
      </c>
      <c r="E5518" t="inlineStr">
        <is>
          <t>GULLSPÅNG</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52173-2020</t>
        </is>
      </c>
      <c r="B5519" s="1" t="n">
        <v>44117</v>
      </c>
      <c r="C5519" s="1" t="n">
        <v>45212</v>
      </c>
      <c r="D5519" t="inlineStr">
        <is>
          <t>VÄSTRA GÖTALANDS LÄN</t>
        </is>
      </c>
      <c r="E5519" t="inlineStr">
        <is>
          <t>ALINGSÅS</t>
        </is>
      </c>
      <c r="G5519" t="n">
        <v>0.5</v>
      </c>
      <c r="H5519" t="n">
        <v>0</v>
      </c>
      <c r="I5519" t="n">
        <v>0</v>
      </c>
      <c r="J5519" t="n">
        <v>0</v>
      </c>
      <c r="K5519" t="n">
        <v>0</v>
      </c>
      <c r="L5519" t="n">
        <v>0</v>
      </c>
      <c r="M5519" t="n">
        <v>0</v>
      </c>
      <c r="N5519" t="n">
        <v>0</v>
      </c>
      <c r="O5519" t="n">
        <v>0</v>
      </c>
      <c r="P5519" t="n">
        <v>0</v>
      </c>
      <c r="Q5519" t="n">
        <v>0</v>
      </c>
      <c r="R5519" s="2" t="inlineStr"/>
    </row>
    <row r="5520" ht="15" customHeight="1">
      <c r="A5520" t="inlineStr">
        <is>
          <t>A 52415-2020</t>
        </is>
      </c>
      <c r="B5520" s="1" t="n">
        <v>44118</v>
      </c>
      <c r="C5520" s="1" t="n">
        <v>45212</v>
      </c>
      <c r="D5520" t="inlineStr">
        <is>
          <t>VÄSTRA GÖTALANDS LÄN</t>
        </is>
      </c>
      <c r="E5520" t="inlineStr">
        <is>
          <t>TJÖRN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52590-2020</t>
        </is>
      </c>
      <c r="B5521" s="1" t="n">
        <v>44118</v>
      </c>
      <c r="C5521" s="1" t="n">
        <v>45212</v>
      </c>
      <c r="D5521" t="inlineStr">
        <is>
          <t>VÄSTRA GÖTALANDS LÄN</t>
        </is>
      </c>
      <c r="E5521" t="inlineStr">
        <is>
          <t>GULLSPÅNG</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52353-2020</t>
        </is>
      </c>
      <c r="B5522" s="1" t="n">
        <v>44118</v>
      </c>
      <c r="C5522" s="1" t="n">
        <v>45212</v>
      </c>
      <c r="D5522" t="inlineStr">
        <is>
          <t>VÄSTRA GÖTALANDS LÄN</t>
        </is>
      </c>
      <c r="E5522" t="inlineStr">
        <is>
          <t>KARLSBORG</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52484-2020</t>
        </is>
      </c>
      <c r="B5523" s="1" t="n">
        <v>44118</v>
      </c>
      <c r="C5523" s="1" t="n">
        <v>45212</v>
      </c>
      <c r="D5523" t="inlineStr">
        <is>
          <t>VÄSTRA GÖTALANDS LÄN</t>
        </is>
      </c>
      <c r="E5523" t="inlineStr">
        <is>
          <t>TANUM</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52585-2020</t>
        </is>
      </c>
      <c r="B5524" s="1" t="n">
        <v>44118</v>
      </c>
      <c r="C5524" s="1" t="n">
        <v>45212</v>
      </c>
      <c r="D5524" t="inlineStr">
        <is>
          <t>VÄSTRA GÖTALANDS LÄN</t>
        </is>
      </c>
      <c r="E5524" t="inlineStr">
        <is>
          <t>GULLSPÅNG</t>
        </is>
      </c>
      <c r="G5524" t="n">
        <v>14.3</v>
      </c>
      <c r="H5524" t="n">
        <v>0</v>
      </c>
      <c r="I5524" t="n">
        <v>0</v>
      </c>
      <c r="J5524" t="n">
        <v>0</v>
      </c>
      <c r="K5524" t="n">
        <v>0</v>
      </c>
      <c r="L5524" t="n">
        <v>0</v>
      </c>
      <c r="M5524" t="n">
        <v>0</v>
      </c>
      <c r="N5524" t="n">
        <v>0</v>
      </c>
      <c r="O5524" t="n">
        <v>0</v>
      </c>
      <c r="P5524" t="n">
        <v>0</v>
      </c>
      <c r="Q5524" t="n">
        <v>0</v>
      </c>
      <c r="R5524" s="2" t="inlineStr"/>
    </row>
    <row r="5525" ht="15" customHeight="1">
      <c r="A5525" t="inlineStr">
        <is>
          <t>A 52839-2020</t>
        </is>
      </c>
      <c r="B5525" s="1" t="n">
        <v>44118</v>
      </c>
      <c r="C5525" s="1" t="n">
        <v>45212</v>
      </c>
      <c r="D5525" t="inlineStr">
        <is>
          <t>VÄSTRA GÖTALANDS LÄN</t>
        </is>
      </c>
      <c r="E5525" t="inlineStr">
        <is>
          <t>ALE</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52513-2020</t>
        </is>
      </c>
      <c r="B5526" s="1" t="n">
        <v>44118</v>
      </c>
      <c r="C5526" s="1" t="n">
        <v>45212</v>
      </c>
      <c r="D5526" t="inlineStr">
        <is>
          <t>VÄSTRA GÖTALANDS LÄN</t>
        </is>
      </c>
      <c r="E5526" t="inlineStr">
        <is>
          <t>MARK</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52716-2020</t>
        </is>
      </c>
      <c r="B5527" s="1" t="n">
        <v>44119</v>
      </c>
      <c r="C5527" s="1" t="n">
        <v>45212</v>
      </c>
      <c r="D5527" t="inlineStr">
        <is>
          <t>VÄSTRA GÖTALANDS LÄN</t>
        </is>
      </c>
      <c r="E5527" t="inlineStr">
        <is>
          <t>VARA</t>
        </is>
      </c>
      <c r="F5527" t="inlineStr">
        <is>
          <t>Sveaskog</t>
        </is>
      </c>
      <c r="G5527" t="n">
        <v>4.8</v>
      </c>
      <c r="H5527" t="n">
        <v>0</v>
      </c>
      <c r="I5527" t="n">
        <v>0</v>
      </c>
      <c r="J5527" t="n">
        <v>0</v>
      </c>
      <c r="K5527" t="n">
        <v>0</v>
      </c>
      <c r="L5527" t="n">
        <v>0</v>
      </c>
      <c r="M5527" t="n">
        <v>0</v>
      </c>
      <c r="N5527" t="n">
        <v>0</v>
      </c>
      <c r="O5527" t="n">
        <v>0</v>
      </c>
      <c r="P5527" t="n">
        <v>0</v>
      </c>
      <c r="Q5527" t="n">
        <v>0</v>
      </c>
      <c r="R5527" s="2" t="inlineStr"/>
    </row>
    <row r="5528" ht="15" customHeight="1">
      <c r="A5528" t="inlineStr">
        <is>
          <t>A 52873-2020</t>
        </is>
      </c>
      <c r="B5528" s="1" t="n">
        <v>44119</v>
      </c>
      <c r="C5528" s="1" t="n">
        <v>45212</v>
      </c>
      <c r="D5528" t="inlineStr">
        <is>
          <t>VÄSTRA GÖTALANDS LÄN</t>
        </is>
      </c>
      <c r="E5528" t="inlineStr">
        <is>
          <t>GÖTENE</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52911-2020</t>
        </is>
      </c>
      <c r="B5529" s="1" t="n">
        <v>44119</v>
      </c>
      <c r="C5529" s="1" t="n">
        <v>45212</v>
      </c>
      <c r="D5529" t="inlineStr">
        <is>
          <t>VÄSTRA GÖTALANDS LÄN</t>
        </is>
      </c>
      <c r="E5529" t="inlineStr">
        <is>
          <t>BENGTSFORS</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53463-2020</t>
        </is>
      </c>
      <c r="B5530" s="1" t="n">
        <v>44120</v>
      </c>
      <c r="C5530" s="1" t="n">
        <v>45212</v>
      </c>
      <c r="D5530" t="inlineStr">
        <is>
          <t>VÄSTRA GÖTALANDS LÄN</t>
        </is>
      </c>
      <c r="E5530" t="inlineStr">
        <is>
          <t>TIDAHOLM</t>
        </is>
      </c>
      <c r="G5530" t="n">
        <v>0.2</v>
      </c>
      <c r="H5530" t="n">
        <v>0</v>
      </c>
      <c r="I5530" t="n">
        <v>0</v>
      </c>
      <c r="J5530" t="n">
        <v>0</v>
      </c>
      <c r="K5530" t="n">
        <v>0</v>
      </c>
      <c r="L5530" t="n">
        <v>0</v>
      </c>
      <c r="M5530" t="n">
        <v>0</v>
      </c>
      <c r="N5530" t="n">
        <v>0</v>
      </c>
      <c r="O5530" t="n">
        <v>0</v>
      </c>
      <c r="P5530" t="n">
        <v>0</v>
      </c>
      <c r="Q5530" t="n">
        <v>0</v>
      </c>
      <c r="R5530" s="2" t="inlineStr"/>
    </row>
    <row r="5531" ht="15" customHeight="1">
      <c r="A5531" t="inlineStr">
        <is>
          <t>A 53084-2020</t>
        </is>
      </c>
      <c r="B5531" s="1" t="n">
        <v>44120</v>
      </c>
      <c r="C5531" s="1" t="n">
        <v>45212</v>
      </c>
      <c r="D5531" t="inlineStr">
        <is>
          <t>VÄSTRA GÖTALANDS LÄN</t>
        </is>
      </c>
      <c r="E5531" t="inlineStr">
        <is>
          <t>FALKÖPING</t>
        </is>
      </c>
      <c r="G5531" t="n">
        <v>0.4</v>
      </c>
      <c r="H5531" t="n">
        <v>0</v>
      </c>
      <c r="I5531" t="n">
        <v>0</v>
      </c>
      <c r="J5531" t="n">
        <v>0</v>
      </c>
      <c r="K5531" t="n">
        <v>0</v>
      </c>
      <c r="L5531" t="n">
        <v>0</v>
      </c>
      <c r="M5531" t="n">
        <v>0</v>
      </c>
      <c r="N5531" t="n">
        <v>0</v>
      </c>
      <c r="O5531" t="n">
        <v>0</v>
      </c>
      <c r="P5531" t="n">
        <v>0</v>
      </c>
      <c r="Q5531" t="n">
        <v>0</v>
      </c>
      <c r="R5531" s="2" t="inlineStr"/>
    </row>
    <row r="5532" ht="15" customHeight="1">
      <c r="A5532" t="inlineStr">
        <is>
          <t>A 53094-2020</t>
        </is>
      </c>
      <c r="B5532" s="1" t="n">
        <v>44120</v>
      </c>
      <c r="C5532" s="1" t="n">
        <v>45212</v>
      </c>
      <c r="D5532" t="inlineStr">
        <is>
          <t>VÄSTRA GÖTALANDS LÄN</t>
        </is>
      </c>
      <c r="E5532" t="inlineStr">
        <is>
          <t>LERUM</t>
        </is>
      </c>
      <c r="G5532" t="n">
        <v>3.9</v>
      </c>
      <c r="H5532" t="n">
        <v>0</v>
      </c>
      <c r="I5532" t="n">
        <v>0</v>
      </c>
      <c r="J5532" t="n">
        <v>0</v>
      </c>
      <c r="K5532" t="n">
        <v>0</v>
      </c>
      <c r="L5532" t="n">
        <v>0</v>
      </c>
      <c r="M5532" t="n">
        <v>0</v>
      </c>
      <c r="N5532" t="n">
        <v>0</v>
      </c>
      <c r="O5532" t="n">
        <v>0</v>
      </c>
      <c r="P5532" t="n">
        <v>0</v>
      </c>
      <c r="Q5532" t="n">
        <v>0</v>
      </c>
      <c r="R5532" s="2" t="inlineStr"/>
    </row>
    <row r="5533" ht="15" customHeight="1">
      <c r="A5533" t="inlineStr">
        <is>
          <t>A 53095-2020</t>
        </is>
      </c>
      <c r="B5533" s="1" t="n">
        <v>44120</v>
      </c>
      <c r="C5533" s="1" t="n">
        <v>45212</v>
      </c>
      <c r="D5533" t="inlineStr">
        <is>
          <t>VÄSTRA GÖTALANDS LÄN</t>
        </is>
      </c>
      <c r="E5533" t="inlineStr">
        <is>
          <t>ULRICEHAMN</t>
        </is>
      </c>
      <c r="G5533" t="n">
        <v>9.6</v>
      </c>
      <c r="H5533" t="n">
        <v>0</v>
      </c>
      <c r="I5533" t="n">
        <v>0</v>
      </c>
      <c r="J5533" t="n">
        <v>0</v>
      </c>
      <c r="K5533" t="n">
        <v>0</v>
      </c>
      <c r="L5533" t="n">
        <v>0</v>
      </c>
      <c r="M5533" t="n">
        <v>0</v>
      </c>
      <c r="N5533" t="n">
        <v>0</v>
      </c>
      <c r="O5533" t="n">
        <v>0</v>
      </c>
      <c r="P5533" t="n">
        <v>0</v>
      </c>
      <c r="Q5533" t="n">
        <v>0</v>
      </c>
      <c r="R5533" s="2" t="inlineStr"/>
    </row>
    <row r="5534" ht="15" customHeight="1">
      <c r="A5534" t="inlineStr">
        <is>
          <t>A 53164-2020</t>
        </is>
      </c>
      <c r="B5534" s="1" t="n">
        <v>44120</v>
      </c>
      <c r="C5534" s="1" t="n">
        <v>45212</v>
      </c>
      <c r="D5534" t="inlineStr">
        <is>
          <t>VÄSTRA GÖTALANDS LÄN</t>
        </is>
      </c>
      <c r="E5534" t="inlineStr">
        <is>
          <t>TANUM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53193-2020</t>
        </is>
      </c>
      <c r="B5535" s="1" t="n">
        <v>44122</v>
      </c>
      <c r="C5535" s="1" t="n">
        <v>45212</v>
      </c>
      <c r="D5535" t="inlineStr">
        <is>
          <t>VÄSTRA GÖTALANDS LÄN</t>
        </is>
      </c>
      <c r="E5535" t="inlineStr">
        <is>
          <t>VÄNERSBORG</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53194-2020</t>
        </is>
      </c>
      <c r="B5536" s="1" t="n">
        <v>44122</v>
      </c>
      <c r="C5536" s="1" t="n">
        <v>45212</v>
      </c>
      <c r="D5536" t="inlineStr">
        <is>
          <t>VÄSTRA GÖTALANDS LÄN</t>
        </is>
      </c>
      <c r="E5536" t="inlineStr">
        <is>
          <t>VÄNERSBORG</t>
        </is>
      </c>
      <c r="G5536" t="n">
        <v>0.9</v>
      </c>
      <c r="H5536" t="n">
        <v>0</v>
      </c>
      <c r="I5536" t="n">
        <v>0</v>
      </c>
      <c r="J5536" t="n">
        <v>0</v>
      </c>
      <c r="K5536" t="n">
        <v>0</v>
      </c>
      <c r="L5536" t="n">
        <v>0</v>
      </c>
      <c r="M5536" t="n">
        <v>0</v>
      </c>
      <c r="N5536" t="n">
        <v>0</v>
      </c>
      <c r="O5536" t="n">
        <v>0</v>
      </c>
      <c r="P5536" t="n">
        <v>0</v>
      </c>
      <c r="Q5536" t="n">
        <v>0</v>
      </c>
      <c r="R5536" s="2" t="inlineStr"/>
    </row>
    <row r="5537" ht="15" customHeight="1">
      <c r="A5537" t="inlineStr">
        <is>
          <t>A 53377-2020</t>
        </is>
      </c>
      <c r="B5537" s="1" t="n">
        <v>44123</v>
      </c>
      <c r="C5537" s="1" t="n">
        <v>45212</v>
      </c>
      <c r="D5537" t="inlineStr">
        <is>
          <t>VÄSTRA GÖTALANDS LÄN</t>
        </is>
      </c>
      <c r="E5537" t="inlineStr">
        <is>
          <t>TRANEMO</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53226-2020</t>
        </is>
      </c>
      <c r="B5538" s="1" t="n">
        <v>44123</v>
      </c>
      <c r="C5538" s="1" t="n">
        <v>45212</v>
      </c>
      <c r="D5538" t="inlineStr">
        <is>
          <t>VÄSTRA GÖTALANDS LÄN</t>
        </is>
      </c>
      <c r="E5538" t="inlineStr">
        <is>
          <t>ALINGSÅS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53305-2020</t>
        </is>
      </c>
      <c r="B5539" s="1" t="n">
        <v>44123</v>
      </c>
      <c r="C5539" s="1" t="n">
        <v>45212</v>
      </c>
      <c r="D5539" t="inlineStr">
        <is>
          <t>VÄSTRA GÖTALANDS LÄN</t>
        </is>
      </c>
      <c r="E5539" t="inlineStr">
        <is>
          <t>VARA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53462-2020</t>
        </is>
      </c>
      <c r="B5540" s="1" t="n">
        <v>44123</v>
      </c>
      <c r="C5540" s="1" t="n">
        <v>45212</v>
      </c>
      <c r="D5540" t="inlineStr">
        <is>
          <t>VÄSTRA GÖTALANDS LÄN</t>
        </is>
      </c>
      <c r="E5540" t="inlineStr">
        <is>
          <t>MELLERUD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53539-2020</t>
        </is>
      </c>
      <c r="B5541" s="1" t="n">
        <v>44124</v>
      </c>
      <c r="C5541" s="1" t="n">
        <v>45212</v>
      </c>
      <c r="D5541" t="inlineStr">
        <is>
          <t>VÄSTRA GÖTALANDS LÄN</t>
        </is>
      </c>
      <c r="E5541" t="inlineStr">
        <is>
          <t>KUNGÄLV</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53745-2020</t>
        </is>
      </c>
      <c r="B5542" s="1" t="n">
        <v>44124</v>
      </c>
      <c r="C5542" s="1" t="n">
        <v>45212</v>
      </c>
      <c r="D5542" t="inlineStr">
        <is>
          <t>VÄSTRA GÖTALANDS LÄN</t>
        </is>
      </c>
      <c r="E5542" t="inlineStr">
        <is>
          <t>HERRLJUNGA</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53755-2020</t>
        </is>
      </c>
      <c r="B5543" s="1" t="n">
        <v>44124</v>
      </c>
      <c r="C5543" s="1" t="n">
        <v>45212</v>
      </c>
      <c r="D5543" t="inlineStr">
        <is>
          <t>VÄSTRA GÖTALANDS LÄN</t>
        </is>
      </c>
      <c r="E5543" t="inlineStr">
        <is>
          <t>KUNGÄLV</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53567-2020</t>
        </is>
      </c>
      <c r="B5544" s="1" t="n">
        <v>44124</v>
      </c>
      <c r="C5544" s="1" t="n">
        <v>45212</v>
      </c>
      <c r="D5544" t="inlineStr">
        <is>
          <t>VÄSTRA GÖTALANDS LÄN</t>
        </is>
      </c>
      <c r="E5544" t="inlineStr">
        <is>
          <t>DALS-ED</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53606-2020</t>
        </is>
      </c>
      <c r="B5545" s="1" t="n">
        <v>44124</v>
      </c>
      <c r="C5545" s="1" t="n">
        <v>45212</v>
      </c>
      <c r="D5545" t="inlineStr">
        <is>
          <t>VÄSTRA GÖTALANDS LÄN</t>
        </is>
      </c>
      <c r="E5545" t="inlineStr">
        <is>
          <t>DALS-ED</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54251-2020</t>
        </is>
      </c>
      <c r="B5546" s="1" t="n">
        <v>44124</v>
      </c>
      <c r="C5546" s="1" t="n">
        <v>45212</v>
      </c>
      <c r="D5546" t="inlineStr">
        <is>
          <t>VÄSTRA GÖTALANDS LÄN</t>
        </is>
      </c>
      <c r="E5546" t="inlineStr">
        <is>
          <t>STRÖMSTAD</t>
        </is>
      </c>
      <c r="G5546" t="n">
        <v>11.6</v>
      </c>
      <c r="H5546" t="n">
        <v>0</v>
      </c>
      <c r="I5546" t="n">
        <v>0</v>
      </c>
      <c r="J5546" t="n">
        <v>0</v>
      </c>
      <c r="K5546" t="n">
        <v>0</v>
      </c>
      <c r="L5546" t="n">
        <v>0</v>
      </c>
      <c r="M5546" t="n">
        <v>0</v>
      </c>
      <c r="N5546" t="n">
        <v>0</v>
      </c>
      <c r="O5546" t="n">
        <v>0</v>
      </c>
      <c r="P5546" t="n">
        <v>0</v>
      </c>
      <c r="Q5546" t="n">
        <v>0</v>
      </c>
      <c r="R5546" s="2" t="inlineStr"/>
    </row>
    <row r="5547" ht="15" customHeight="1">
      <c r="A5547" t="inlineStr">
        <is>
          <t>A 53561-2020</t>
        </is>
      </c>
      <c r="B5547" s="1" t="n">
        <v>44124</v>
      </c>
      <c r="C5547" s="1" t="n">
        <v>45212</v>
      </c>
      <c r="D5547" t="inlineStr">
        <is>
          <t>VÄSTRA GÖTALANDS LÄN</t>
        </is>
      </c>
      <c r="E5547" t="inlineStr">
        <is>
          <t>SKÖVDE</t>
        </is>
      </c>
      <c r="G5547" t="n">
        <v>1.8</v>
      </c>
      <c r="H5547" t="n">
        <v>0</v>
      </c>
      <c r="I5547" t="n">
        <v>0</v>
      </c>
      <c r="J5547" t="n">
        <v>0</v>
      </c>
      <c r="K5547" t="n">
        <v>0</v>
      </c>
      <c r="L5547" t="n">
        <v>0</v>
      </c>
      <c r="M5547" t="n">
        <v>0</v>
      </c>
      <c r="N5547" t="n">
        <v>0</v>
      </c>
      <c r="O5547" t="n">
        <v>0</v>
      </c>
      <c r="P5547" t="n">
        <v>0</v>
      </c>
      <c r="Q5547" t="n">
        <v>0</v>
      </c>
      <c r="R5547" s="2" t="inlineStr"/>
    </row>
    <row r="5548" ht="15" customHeight="1">
      <c r="A5548" t="inlineStr">
        <is>
          <t>A 53574-2020</t>
        </is>
      </c>
      <c r="B5548" s="1" t="n">
        <v>44124</v>
      </c>
      <c r="C5548" s="1" t="n">
        <v>45212</v>
      </c>
      <c r="D5548" t="inlineStr">
        <is>
          <t>VÄSTRA GÖTALANDS LÄN</t>
        </is>
      </c>
      <c r="E5548" t="inlineStr">
        <is>
          <t>MARIESTAD</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53749-2020</t>
        </is>
      </c>
      <c r="B5549" s="1" t="n">
        <v>44124</v>
      </c>
      <c r="C5549" s="1" t="n">
        <v>45212</v>
      </c>
      <c r="D5549" t="inlineStr">
        <is>
          <t>VÄSTRA GÖTALANDS LÄN</t>
        </is>
      </c>
      <c r="E5549" t="inlineStr">
        <is>
          <t>TROLLHÄTTAN</t>
        </is>
      </c>
      <c r="G5549" t="n">
        <v>2.8</v>
      </c>
      <c r="H5549" t="n">
        <v>0</v>
      </c>
      <c r="I5549" t="n">
        <v>0</v>
      </c>
      <c r="J5549" t="n">
        <v>0</v>
      </c>
      <c r="K5549" t="n">
        <v>0</v>
      </c>
      <c r="L5549" t="n">
        <v>0</v>
      </c>
      <c r="M5549" t="n">
        <v>0</v>
      </c>
      <c r="N5549" t="n">
        <v>0</v>
      </c>
      <c r="O5549" t="n">
        <v>0</v>
      </c>
      <c r="P5549" t="n">
        <v>0</v>
      </c>
      <c r="Q5549" t="n">
        <v>0</v>
      </c>
      <c r="R5549" s="2" t="inlineStr"/>
    </row>
    <row r="5550" ht="15" customHeight="1">
      <c r="A5550" t="inlineStr">
        <is>
          <t>A 53595-2020</t>
        </is>
      </c>
      <c r="B5550" s="1" t="n">
        <v>44124</v>
      </c>
      <c r="C5550" s="1" t="n">
        <v>45212</v>
      </c>
      <c r="D5550" t="inlineStr">
        <is>
          <t>VÄSTRA GÖTALANDS LÄN</t>
        </is>
      </c>
      <c r="E5550" t="inlineStr">
        <is>
          <t>DALS-ED</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54239-2020</t>
        </is>
      </c>
      <c r="B5551" s="1" t="n">
        <v>44124</v>
      </c>
      <c r="C5551" s="1" t="n">
        <v>45212</v>
      </c>
      <c r="D5551" t="inlineStr">
        <is>
          <t>VÄSTRA GÖTALANDS LÄN</t>
        </is>
      </c>
      <c r="E5551" t="inlineStr">
        <is>
          <t>STRÖMSTAD</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54122-2020</t>
        </is>
      </c>
      <c r="B5552" s="1" t="n">
        <v>44125</v>
      </c>
      <c r="C5552" s="1" t="n">
        <v>45212</v>
      </c>
      <c r="D5552" t="inlineStr">
        <is>
          <t>VÄSTRA GÖTALANDS LÄN</t>
        </is>
      </c>
      <c r="E5552" t="inlineStr">
        <is>
          <t>TIDAHOLM</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54971-2020</t>
        </is>
      </c>
      <c r="B5553" s="1" t="n">
        <v>44125</v>
      </c>
      <c r="C5553" s="1" t="n">
        <v>45212</v>
      </c>
      <c r="D5553" t="inlineStr">
        <is>
          <t>VÄSTRA GÖTALANDS LÄN</t>
        </is>
      </c>
      <c r="E5553" t="inlineStr">
        <is>
          <t>FALKÖPING</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53913-2020</t>
        </is>
      </c>
      <c r="B5554" s="1" t="n">
        <v>44125</v>
      </c>
      <c r="C5554" s="1" t="n">
        <v>45212</v>
      </c>
      <c r="D5554" t="inlineStr">
        <is>
          <t>VÄSTRA GÖTALANDS LÄN</t>
        </is>
      </c>
      <c r="E5554" t="inlineStr">
        <is>
          <t>MUNKEDAL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54123-2020</t>
        </is>
      </c>
      <c r="B5555" s="1" t="n">
        <v>44125</v>
      </c>
      <c r="C5555" s="1" t="n">
        <v>45212</v>
      </c>
      <c r="D5555" t="inlineStr">
        <is>
          <t>VÄSTRA GÖTALANDS LÄN</t>
        </is>
      </c>
      <c r="E5555" t="inlineStr">
        <is>
          <t>GRÄSTORP</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54169-2020</t>
        </is>
      </c>
      <c r="B5556" s="1" t="n">
        <v>44125</v>
      </c>
      <c r="C5556" s="1" t="n">
        <v>45212</v>
      </c>
      <c r="D5556" t="inlineStr">
        <is>
          <t>VÄSTRA GÖTALANDS LÄN</t>
        </is>
      </c>
      <c r="E5556" t="inlineStr">
        <is>
          <t>HERRLJUNGA</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54376-2020</t>
        </is>
      </c>
      <c r="B5557" s="1" t="n">
        <v>44126</v>
      </c>
      <c r="C5557" s="1" t="n">
        <v>45212</v>
      </c>
      <c r="D5557" t="inlineStr">
        <is>
          <t>VÄSTRA GÖTALANDS LÄN</t>
        </is>
      </c>
      <c r="E5557" t="inlineStr">
        <is>
          <t>TRANEMO</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54467-2020</t>
        </is>
      </c>
      <c r="B5558" s="1" t="n">
        <v>44126</v>
      </c>
      <c r="C5558" s="1" t="n">
        <v>45212</v>
      </c>
      <c r="D5558" t="inlineStr">
        <is>
          <t>VÄSTRA GÖTALANDS LÄN</t>
        </is>
      </c>
      <c r="E5558" t="inlineStr">
        <is>
          <t>SKÖVDE</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54470-2020</t>
        </is>
      </c>
      <c r="B5559" s="1" t="n">
        <v>44126</v>
      </c>
      <c r="C5559" s="1" t="n">
        <v>45212</v>
      </c>
      <c r="D5559" t="inlineStr">
        <is>
          <t>VÄSTRA GÖTALANDS LÄN</t>
        </is>
      </c>
      <c r="E5559" t="inlineStr">
        <is>
          <t>TIBRO</t>
        </is>
      </c>
      <c r="G5559" t="n">
        <v>7.7</v>
      </c>
      <c r="H5559" t="n">
        <v>0</v>
      </c>
      <c r="I5559" t="n">
        <v>0</v>
      </c>
      <c r="J5559" t="n">
        <v>0</v>
      </c>
      <c r="K5559" t="n">
        <v>0</v>
      </c>
      <c r="L5559" t="n">
        <v>0</v>
      </c>
      <c r="M5559" t="n">
        <v>0</v>
      </c>
      <c r="N5559" t="n">
        <v>0</v>
      </c>
      <c r="O5559" t="n">
        <v>0</v>
      </c>
      <c r="P5559" t="n">
        <v>0</v>
      </c>
      <c r="Q5559" t="n">
        <v>0</v>
      </c>
      <c r="R5559" s="2" t="inlineStr"/>
    </row>
    <row r="5560" ht="15" customHeight="1">
      <c r="A5560" t="inlineStr">
        <is>
          <t>A 54857-2020</t>
        </is>
      </c>
      <c r="B5560" s="1" t="n">
        <v>44126</v>
      </c>
      <c r="C5560" s="1" t="n">
        <v>45212</v>
      </c>
      <c r="D5560" t="inlineStr">
        <is>
          <t>VÄSTRA GÖTALANDS LÄN</t>
        </is>
      </c>
      <c r="E5560" t="inlineStr">
        <is>
          <t>GULLSPÅNG</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54400-2020</t>
        </is>
      </c>
      <c r="B5561" s="1" t="n">
        <v>44126</v>
      </c>
      <c r="C5561" s="1" t="n">
        <v>45212</v>
      </c>
      <c r="D5561" t="inlineStr">
        <is>
          <t>VÄSTRA GÖTALANDS LÄN</t>
        </is>
      </c>
      <c r="E5561" t="inlineStr">
        <is>
          <t>FALKÖPING</t>
        </is>
      </c>
      <c r="G5561" t="n">
        <v>3.7</v>
      </c>
      <c r="H5561" t="n">
        <v>0</v>
      </c>
      <c r="I5561" t="n">
        <v>0</v>
      </c>
      <c r="J5561" t="n">
        <v>0</v>
      </c>
      <c r="K5561" t="n">
        <v>0</v>
      </c>
      <c r="L5561" t="n">
        <v>0</v>
      </c>
      <c r="M5561" t="n">
        <v>0</v>
      </c>
      <c r="N5561" t="n">
        <v>0</v>
      </c>
      <c r="O5561" t="n">
        <v>0</v>
      </c>
      <c r="P5561" t="n">
        <v>0</v>
      </c>
      <c r="Q5561" t="n">
        <v>0</v>
      </c>
      <c r="R5561" s="2" t="inlineStr"/>
    </row>
    <row r="5562" ht="15" customHeight="1">
      <c r="A5562" t="inlineStr">
        <is>
          <t>A 54797-2020</t>
        </is>
      </c>
      <c r="B5562" s="1" t="n">
        <v>44127</v>
      </c>
      <c r="C5562" s="1" t="n">
        <v>45212</v>
      </c>
      <c r="D5562" t="inlineStr">
        <is>
          <t>VÄSTRA GÖTALANDS LÄN</t>
        </is>
      </c>
      <c r="E5562" t="inlineStr">
        <is>
          <t>LERUM</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54935-2020</t>
        </is>
      </c>
      <c r="B5563" s="1" t="n">
        <v>44127</v>
      </c>
      <c r="C5563" s="1" t="n">
        <v>45212</v>
      </c>
      <c r="D5563" t="inlineStr">
        <is>
          <t>VÄSTRA GÖTALANDS LÄN</t>
        </is>
      </c>
      <c r="E5563" t="inlineStr">
        <is>
          <t>TANUM</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54599-2020</t>
        </is>
      </c>
      <c r="B5564" s="1" t="n">
        <v>44127</v>
      </c>
      <c r="C5564" s="1" t="n">
        <v>45212</v>
      </c>
      <c r="D5564" t="inlineStr">
        <is>
          <t>VÄSTRA GÖTALANDS LÄN</t>
        </is>
      </c>
      <c r="E5564" t="inlineStr">
        <is>
          <t>MARIESTAD</t>
        </is>
      </c>
      <c r="F5564" t="inlineStr">
        <is>
          <t>Sveaskog</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54752-2020</t>
        </is>
      </c>
      <c r="B5565" s="1" t="n">
        <v>44127</v>
      </c>
      <c r="C5565" s="1" t="n">
        <v>45212</v>
      </c>
      <c r="D5565" t="inlineStr">
        <is>
          <t>VÄSTRA GÖTALANDS LÄN</t>
        </is>
      </c>
      <c r="E5565" t="inlineStr">
        <is>
          <t>STENUNGSUND</t>
        </is>
      </c>
      <c r="G5565" t="n">
        <v>2.4</v>
      </c>
      <c r="H5565" t="n">
        <v>0</v>
      </c>
      <c r="I5565" t="n">
        <v>0</v>
      </c>
      <c r="J5565" t="n">
        <v>0</v>
      </c>
      <c r="K5565" t="n">
        <v>0</v>
      </c>
      <c r="L5565" t="n">
        <v>0</v>
      </c>
      <c r="M5565" t="n">
        <v>0</v>
      </c>
      <c r="N5565" t="n">
        <v>0</v>
      </c>
      <c r="O5565" t="n">
        <v>0</v>
      </c>
      <c r="P5565" t="n">
        <v>0</v>
      </c>
      <c r="Q5565" t="n">
        <v>0</v>
      </c>
      <c r="R5565" s="2" t="inlineStr"/>
    </row>
    <row r="5566" ht="15" customHeight="1">
      <c r="A5566" t="inlineStr">
        <is>
          <t>A 54808-2020</t>
        </is>
      </c>
      <c r="B5566" s="1" t="n">
        <v>44127</v>
      </c>
      <c r="C5566" s="1" t="n">
        <v>45212</v>
      </c>
      <c r="D5566" t="inlineStr">
        <is>
          <t>VÄSTRA GÖTALANDS LÄN</t>
        </is>
      </c>
      <c r="E5566" t="inlineStr">
        <is>
          <t>VARA</t>
        </is>
      </c>
      <c r="G5566" t="n">
        <v>4.5</v>
      </c>
      <c r="H5566" t="n">
        <v>0</v>
      </c>
      <c r="I5566" t="n">
        <v>0</v>
      </c>
      <c r="J5566" t="n">
        <v>0</v>
      </c>
      <c r="K5566" t="n">
        <v>0</v>
      </c>
      <c r="L5566" t="n">
        <v>0</v>
      </c>
      <c r="M5566" t="n">
        <v>0</v>
      </c>
      <c r="N5566" t="n">
        <v>0</v>
      </c>
      <c r="O5566" t="n">
        <v>0</v>
      </c>
      <c r="P5566" t="n">
        <v>0</v>
      </c>
      <c r="Q5566" t="n">
        <v>0</v>
      </c>
      <c r="R5566" s="2" t="inlineStr"/>
    </row>
    <row r="5567" ht="15" customHeight="1">
      <c r="A5567" t="inlineStr">
        <is>
          <t>A 54610-2020</t>
        </is>
      </c>
      <c r="B5567" s="1" t="n">
        <v>44127</v>
      </c>
      <c r="C5567" s="1" t="n">
        <v>45212</v>
      </c>
      <c r="D5567" t="inlineStr">
        <is>
          <t>VÄSTRA GÖTALANDS LÄN</t>
        </is>
      </c>
      <c r="E5567" t="inlineStr">
        <is>
          <t>SVENLJUNGA</t>
        </is>
      </c>
      <c r="G5567" t="n">
        <v>7.3</v>
      </c>
      <c r="H5567" t="n">
        <v>0</v>
      </c>
      <c r="I5567" t="n">
        <v>0</v>
      </c>
      <c r="J5567" t="n">
        <v>0</v>
      </c>
      <c r="K5567" t="n">
        <v>0</v>
      </c>
      <c r="L5567" t="n">
        <v>0</v>
      </c>
      <c r="M5567" t="n">
        <v>0</v>
      </c>
      <c r="N5567" t="n">
        <v>0</v>
      </c>
      <c r="O5567" t="n">
        <v>0</v>
      </c>
      <c r="P5567" t="n">
        <v>0</v>
      </c>
      <c r="Q5567" t="n">
        <v>0</v>
      </c>
      <c r="R5567" s="2" t="inlineStr"/>
    </row>
    <row r="5568" ht="15" customHeight="1">
      <c r="A5568" t="inlineStr">
        <is>
          <t>A 54758-2020</t>
        </is>
      </c>
      <c r="B5568" s="1" t="n">
        <v>44127</v>
      </c>
      <c r="C5568" s="1" t="n">
        <v>45212</v>
      </c>
      <c r="D5568" t="inlineStr">
        <is>
          <t>VÄSTRA GÖTALANDS LÄN</t>
        </is>
      </c>
      <c r="E5568" t="inlineStr">
        <is>
          <t>FÄRGELANDA</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54904-2020</t>
        </is>
      </c>
      <c r="B5569" s="1" t="n">
        <v>44128</v>
      </c>
      <c r="C5569" s="1" t="n">
        <v>45212</v>
      </c>
      <c r="D5569" t="inlineStr">
        <is>
          <t>VÄSTRA GÖTALANDS LÄN</t>
        </is>
      </c>
      <c r="E5569" t="inlineStr">
        <is>
          <t>VÄNERSBORG</t>
        </is>
      </c>
      <c r="G5569" t="n">
        <v>3.7</v>
      </c>
      <c r="H5569" t="n">
        <v>0</v>
      </c>
      <c r="I5569" t="n">
        <v>0</v>
      </c>
      <c r="J5569" t="n">
        <v>0</v>
      </c>
      <c r="K5569" t="n">
        <v>0</v>
      </c>
      <c r="L5569" t="n">
        <v>0</v>
      </c>
      <c r="M5569" t="n">
        <v>0</v>
      </c>
      <c r="N5569" t="n">
        <v>0</v>
      </c>
      <c r="O5569" t="n">
        <v>0</v>
      </c>
      <c r="P5569" t="n">
        <v>0</v>
      </c>
      <c r="Q5569" t="n">
        <v>0</v>
      </c>
      <c r="R5569" s="2" t="inlineStr"/>
    </row>
    <row r="5570" ht="15" customHeight="1">
      <c r="A5570" t="inlineStr">
        <is>
          <t>A 54898-2020</t>
        </is>
      </c>
      <c r="B5570" s="1" t="n">
        <v>44128</v>
      </c>
      <c r="C5570" s="1" t="n">
        <v>45212</v>
      </c>
      <c r="D5570" t="inlineStr">
        <is>
          <t>VÄSTRA GÖTALANDS LÄN</t>
        </is>
      </c>
      <c r="E5570" t="inlineStr">
        <is>
          <t>SKARA</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54948-2020</t>
        </is>
      </c>
      <c r="B5571" s="1" t="n">
        <v>44129</v>
      </c>
      <c r="C5571" s="1" t="n">
        <v>45212</v>
      </c>
      <c r="D5571" t="inlineStr">
        <is>
          <t>VÄSTRA GÖTALANDS LÄN</t>
        </is>
      </c>
      <c r="E5571" t="inlineStr">
        <is>
          <t>MUNKEDAL</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55172-2020</t>
        </is>
      </c>
      <c r="B5572" s="1" t="n">
        <v>44129</v>
      </c>
      <c r="C5572" s="1" t="n">
        <v>45212</v>
      </c>
      <c r="D5572" t="inlineStr">
        <is>
          <t>VÄSTRA GÖTALANDS LÄN</t>
        </is>
      </c>
      <c r="E5572" t="inlineStr">
        <is>
          <t>STRÖMSTAD</t>
        </is>
      </c>
      <c r="G5572" t="n">
        <v>15.8</v>
      </c>
      <c r="H5572" t="n">
        <v>0</v>
      </c>
      <c r="I5572" t="n">
        <v>0</v>
      </c>
      <c r="J5572" t="n">
        <v>0</v>
      </c>
      <c r="K5572" t="n">
        <v>0</v>
      </c>
      <c r="L5572" t="n">
        <v>0</v>
      </c>
      <c r="M5572" t="n">
        <v>0</v>
      </c>
      <c r="N5572" t="n">
        <v>0</v>
      </c>
      <c r="O5572" t="n">
        <v>0</v>
      </c>
      <c r="P5572" t="n">
        <v>0</v>
      </c>
      <c r="Q5572" t="n">
        <v>0</v>
      </c>
      <c r="R5572" s="2" t="inlineStr"/>
    </row>
    <row r="5573" ht="15" customHeight="1">
      <c r="A5573" t="inlineStr">
        <is>
          <t>A 54938-2020</t>
        </is>
      </c>
      <c r="B5573" s="1" t="n">
        <v>44129</v>
      </c>
      <c r="C5573" s="1" t="n">
        <v>45212</v>
      </c>
      <c r="D5573" t="inlineStr">
        <is>
          <t>VÄSTRA GÖTALANDS LÄN</t>
        </is>
      </c>
      <c r="E5573" t="inlineStr">
        <is>
          <t>TIDAHOLM</t>
        </is>
      </c>
      <c r="F5573" t="inlineStr">
        <is>
          <t>Kyrkan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54949-2020</t>
        </is>
      </c>
      <c r="B5574" s="1" t="n">
        <v>44129</v>
      </c>
      <c r="C5574" s="1" t="n">
        <v>45212</v>
      </c>
      <c r="D5574" t="inlineStr">
        <is>
          <t>VÄSTRA GÖTALANDS LÄN</t>
        </is>
      </c>
      <c r="E5574" t="inlineStr">
        <is>
          <t>SVENLJUNGA</t>
        </is>
      </c>
      <c r="G5574" t="n">
        <v>3.5</v>
      </c>
      <c r="H5574" t="n">
        <v>0</v>
      </c>
      <c r="I5574" t="n">
        <v>0</v>
      </c>
      <c r="J5574" t="n">
        <v>0</v>
      </c>
      <c r="K5574" t="n">
        <v>0</v>
      </c>
      <c r="L5574" t="n">
        <v>0</v>
      </c>
      <c r="M5574" t="n">
        <v>0</v>
      </c>
      <c r="N5574" t="n">
        <v>0</v>
      </c>
      <c r="O5574" t="n">
        <v>0</v>
      </c>
      <c r="P5574" t="n">
        <v>0</v>
      </c>
      <c r="Q5574" t="n">
        <v>0</v>
      </c>
      <c r="R5574" s="2" t="inlineStr"/>
    </row>
    <row r="5575" ht="15" customHeight="1">
      <c r="A5575" t="inlineStr">
        <is>
          <t>A 55277-2020</t>
        </is>
      </c>
      <c r="B5575" s="1" t="n">
        <v>44130</v>
      </c>
      <c r="C5575" s="1" t="n">
        <v>45212</v>
      </c>
      <c r="D5575" t="inlineStr">
        <is>
          <t>VÄSTRA GÖTALANDS LÄN</t>
        </is>
      </c>
      <c r="E5575" t="inlineStr">
        <is>
          <t>LILLA EDET</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55292-2020</t>
        </is>
      </c>
      <c r="B5576" s="1" t="n">
        <v>44130</v>
      </c>
      <c r="C5576" s="1" t="n">
        <v>45212</v>
      </c>
      <c r="D5576" t="inlineStr">
        <is>
          <t>VÄSTRA GÖTALANDS LÄN</t>
        </is>
      </c>
      <c r="E5576" t="inlineStr">
        <is>
          <t>ULRICEHAMN</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55132-2020</t>
        </is>
      </c>
      <c r="B5577" s="1" t="n">
        <v>44130</v>
      </c>
      <c r="C5577" s="1" t="n">
        <v>45212</v>
      </c>
      <c r="D5577" t="inlineStr">
        <is>
          <t>VÄSTRA GÖTALANDS LÄN</t>
        </is>
      </c>
      <c r="E5577" t="inlineStr">
        <is>
          <t>GULLSPÅNG</t>
        </is>
      </c>
      <c r="G5577" t="n">
        <v>0.8</v>
      </c>
      <c r="H5577" t="n">
        <v>0</v>
      </c>
      <c r="I5577" t="n">
        <v>0</v>
      </c>
      <c r="J5577" t="n">
        <v>0</v>
      </c>
      <c r="K5577" t="n">
        <v>0</v>
      </c>
      <c r="L5577" t="n">
        <v>0</v>
      </c>
      <c r="M5577" t="n">
        <v>0</v>
      </c>
      <c r="N5577" t="n">
        <v>0</v>
      </c>
      <c r="O5577" t="n">
        <v>0</v>
      </c>
      <c r="P5577" t="n">
        <v>0</v>
      </c>
      <c r="Q5577" t="n">
        <v>0</v>
      </c>
      <c r="R5577" s="2" t="inlineStr"/>
    </row>
    <row r="5578" ht="15" customHeight="1">
      <c r="A5578" t="inlineStr">
        <is>
          <t>A 55286-2020</t>
        </is>
      </c>
      <c r="B5578" s="1" t="n">
        <v>44130</v>
      </c>
      <c r="C5578" s="1" t="n">
        <v>45212</v>
      </c>
      <c r="D5578" t="inlineStr">
        <is>
          <t>VÄSTRA GÖTALANDS LÄN</t>
        </is>
      </c>
      <c r="E5578" t="inlineStr">
        <is>
          <t>SVENLJUNGA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55296-2020</t>
        </is>
      </c>
      <c r="B5579" s="1" t="n">
        <v>44130</v>
      </c>
      <c r="C5579" s="1" t="n">
        <v>45212</v>
      </c>
      <c r="D5579" t="inlineStr">
        <is>
          <t>VÄSTRA GÖTALANDS LÄN</t>
        </is>
      </c>
      <c r="E5579" t="inlineStr">
        <is>
          <t>SVENLJUNGA</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55453-2020</t>
        </is>
      </c>
      <c r="B5580" s="1" t="n">
        <v>44130</v>
      </c>
      <c r="C5580" s="1" t="n">
        <v>45212</v>
      </c>
      <c r="D5580" t="inlineStr">
        <is>
          <t>VÄSTRA GÖTALANDS LÄN</t>
        </is>
      </c>
      <c r="E5580" t="inlineStr">
        <is>
          <t>ESSUNGA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55202-2020</t>
        </is>
      </c>
      <c r="B5581" s="1" t="n">
        <v>44130</v>
      </c>
      <c r="C5581" s="1" t="n">
        <v>45212</v>
      </c>
      <c r="D5581" t="inlineStr">
        <is>
          <t>VÄSTRA GÖTALANDS LÄN</t>
        </is>
      </c>
      <c r="E5581" t="inlineStr">
        <is>
          <t>MARIESTAD</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55295-2020</t>
        </is>
      </c>
      <c r="B5582" s="1" t="n">
        <v>44130</v>
      </c>
      <c r="C5582" s="1" t="n">
        <v>45212</v>
      </c>
      <c r="D5582" t="inlineStr">
        <is>
          <t>VÄSTRA GÖTALANDS LÄN</t>
        </is>
      </c>
      <c r="E5582" t="inlineStr">
        <is>
          <t>SVENLJUNGA</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55432-2020</t>
        </is>
      </c>
      <c r="B5583" s="1" t="n">
        <v>44130</v>
      </c>
      <c r="C5583" s="1" t="n">
        <v>45212</v>
      </c>
      <c r="D5583" t="inlineStr">
        <is>
          <t>VÄSTRA GÖTALANDS LÄN</t>
        </is>
      </c>
      <c r="E5583" t="inlineStr">
        <is>
          <t>TIDAHOLM</t>
        </is>
      </c>
      <c r="F5583" t="inlineStr">
        <is>
          <t>Kommuner</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55596-2020</t>
        </is>
      </c>
      <c r="B5584" s="1" t="n">
        <v>44131</v>
      </c>
      <c r="C5584" s="1" t="n">
        <v>45212</v>
      </c>
      <c r="D5584" t="inlineStr">
        <is>
          <t>VÄSTRA GÖTALANDS LÄN</t>
        </is>
      </c>
      <c r="E5584" t="inlineStr">
        <is>
          <t>TANUM</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55644-2020</t>
        </is>
      </c>
      <c r="B5585" s="1" t="n">
        <v>44131</v>
      </c>
      <c r="C5585" s="1" t="n">
        <v>45212</v>
      </c>
      <c r="D5585" t="inlineStr">
        <is>
          <t>VÄSTRA GÖTALANDS LÄN</t>
        </is>
      </c>
      <c r="E5585" t="inlineStr">
        <is>
          <t>SKÖVDE</t>
        </is>
      </c>
      <c r="G5585" t="n">
        <v>3.1</v>
      </c>
      <c r="H5585" t="n">
        <v>0</v>
      </c>
      <c r="I5585" t="n">
        <v>0</v>
      </c>
      <c r="J5585" t="n">
        <v>0</v>
      </c>
      <c r="K5585" t="n">
        <v>0</v>
      </c>
      <c r="L5585" t="n">
        <v>0</v>
      </c>
      <c r="M5585" t="n">
        <v>0</v>
      </c>
      <c r="N5585" t="n">
        <v>0</v>
      </c>
      <c r="O5585" t="n">
        <v>0</v>
      </c>
      <c r="P5585" t="n">
        <v>0</v>
      </c>
      <c r="Q5585" t="n">
        <v>0</v>
      </c>
      <c r="R5585" s="2" t="inlineStr"/>
    </row>
    <row r="5586" ht="15" customHeight="1">
      <c r="A5586" t="inlineStr">
        <is>
          <t>A 56006-2020</t>
        </is>
      </c>
      <c r="B5586" s="1" t="n">
        <v>44131</v>
      </c>
      <c r="C5586" s="1" t="n">
        <v>45212</v>
      </c>
      <c r="D5586" t="inlineStr">
        <is>
          <t>VÄSTRA GÖTALANDS LÄN</t>
        </is>
      </c>
      <c r="E5586" t="inlineStr">
        <is>
          <t>TANUM</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55504-2020</t>
        </is>
      </c>
      <c r="B5587" s="1" t="n">
        <v>44131</v>
      </c>
      <c r="C5587" s="1" t="n">
        <v>45212</v>
      </c>
      <c r="D5587" t="inlineStr">
        <is>
          <t>VÄSTRA GÖTALANDS LÄN</t>
        </is>
      </c>
      <c r="E5587" t="inlineStr">
        <is>
          <t>FALKÖPING</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55525-2020</t>
        </is>
      </c>
      <c r="B5588" s="1" t="n">
        <v>44131</v>
      </c>
      <c r="C5588" s="1" t="n">
        <v>45212</v>
      </c>
      <c r="D5588" t="inlineStr">
        <is>
          <t>VÄSTRA GÖTALANDS LÄN</t>
        </is>
      </c>
      <c r="E5588" t="inlineStr">
        <is>
          <t>ALINGSÅS</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55634-2020</t>
        </is>
      </c>
      <c r="B5589" s="1" t="n">
        <v>44131</v>
      </c>
      <c r="C5589" s="1" t="n">
        <v>45212</v>
      </c>
      <c r="D5589" t="inlineStr">
        <is>
          <t>VÄSTRA GÖTALANDS LÄN</t>
        </is>
      </c>
      <c r="E5589" t="inlineStr">
        <is>
          <t>FALKÖPING</t>
        </is>
      </c>
      <c r="G5589" t="n">
        <v>4.1</v>
      </c>
      <c r="H5589" t="n">
        <v>0</v>
      </c>
      <c r="I5589" t="n">
        <v>0</v>
      </c>
      <c r="J5589" t="n">
        <v>0</v>
      </c>
      <c r="K5589" t="n">
        <v>0</v>
      </c>
      <c r="L5589" t="n">
        <v>0</v>
      </c>
      <c r="M5589" t="n">
        <v>0</v>
      </c>
      <c r="N5589" t="n">
        <v>0</v>
      </c>
      <c r="O5589" t="n">
        <v>0</v>
      </c>
      <c r="P5589" t="n">
        <v>0</v>
      </c>
      <c r="Q5589" t="n">
        <v>0</v>
      </c>
      <c r="R5589" s="2" t="inlineStr"/>
    </row>
    <row r="5590" ht="15" customHeight="1">
      <c r="A5590" t="inlineStr">
        <is>
          <t>A 55792-2020</t>
        </is>
      </c>
      <c r="B5590" s="1" t="n">
        <v>44131</v>
      </c>
      <c r="C5590" s="1" t="n">
        <v>45212</v>
      </c>
      <c r="D5590" t="inlineStr">
        <is>
          <t>VÄSTRA GÖTALANDS LÄN</t>
        </is>
      </c>
      <c r="E5590" t="inlineStr">
        <is>
          <t>MELLERUD</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56004-2020</t>
        </is>
      </c>
      <c r="B5591" s="1" t="n">
        <v>44131</v>
      </c>
      <c r="C5591" s="1" t="n">
        <v>45212</v>
      </c>
      <c r="D5591" t="inlineStr">
        <is>
          <t>VÄSTRA GÖTALANDS LÄN</t>
        </is>
      </c>
      <c r="E5591" t="inlineStr">
        <is>
          <t>TANUM</t>
        </is>
      </c>
      <c r="G5591" t="n">
        <v>2.9</v>
      </c>
      <c r="H5591" t="n">
        <v>0</v>
      </c>
      <c r="I5591" t="n">
        <v>0</v>
      </c>
      <c r="J5591" t="n">
        <v>0</v>
      </c>
      <c r="K5591" t="n">
        <v>0</v>
      </c>
      <c r="L5591" t="n">
        <v>0</v>
      </c>
      <c r="M5591" t="n">
        <v>0</v>
      </c>
      <c r="N5591" t="n">
        <v>0</v>
      </c>
      <c r="O5591" t="n">
        <v>0</v>
      </c>
      <c r="P5591" t="n">
        <v>0</v>
      </c>
      <c r="Q5591" t="n">
        <v>0</v>
      </c>
      <c r="R5591" s="2" t="inlineStr"/>
    </row>
    <row r="5592" ht="15" customHeight="1">
      <c r="A5592" t="inlineStr">
        <is>
          <t>A 55366-2020</t>
        </is>
      </c>
      <c r="B5592" s="1" t="n">
        <v>44131</v>
      </c>
      <c r="C5592" s="1" t="n">
        <v>45212</v>
      </c>
      <c r="D5592" t="inlineStr">
        <is>
          <t>VÄSTRA GÖTALANDS LÄN</t>
        </is>
      </c>
      <c r="E5592" t="inlineStr">
        <is>
          <t>GRÄSTORP</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55479-2020</t>
        </is>
      </c>
      <c r="B5593" s="1" t="n">
        <v>44131</v>
      </c>
      <c r="C5593" s="1" t="n">
        <v>45212</v>
      </c>
      <c r="D5593" t="inlineStr">
        <is>
          <t>VÄSTRA GÖTALANDS LÄN</t>
        </is>
      </c>
      <c r="E5593" t="inlineStr">
        <is>
          <t>ALINGSÅS</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55517-2020</t>
        </is>
      </c>
      <c r="B5594" s="1" t="n">
        <v>44131</v>
      </c>
      <c r="C5594" s="1" t="n">
        <v>45212</v>
      </c>
      <c r="D5594" t="inlineStr">
        <is>
          <t>VÄSTRA GÖTALANDS LÄN</t>
        </is>
      </c>
      <c r="E5594" t="inlineStr">
        <is>
          <t>MARK</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55649-2020</t>
        </is>
      </c>
      <c r="B5595" s="1" t="n">
        <v>44131</v>
      </c>
      <c r="C5595" s="1" t="n">
        <v>45212</v>
      </c>
      <c r="D5595" t="inlineStr">
        <is>
          <t>VÄSTRA GÖTALANDS LÄN</t>
        </is>
      </c>
      <c r="E5595" t="inlineStr">
        <is>
          <t>LERUM</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55385-2020</t>
        </is>
      </c>
      <c r="B5596" s="1" t="n">
        <v>44131</v>
      </c>
      <c r="C5596" s="1" t="n">
        <v>45212</v>
      </c>
      <c r="D5596" t="inlineStr">
        <is>
          <t>VÄSTRA GÖTALANDS LÄN</t>
        </is>
      </c>
      <c r="E5596" t="inlineStr">
        <is>
          <t>MARK</t>
        </is>
      </c>
      <c r="G5596" t="n">
        <v>3.3</v>
      </c>
      <c r="H5596" t="n">
        <v>0</v>
      </c>
      <c r="I5596" t="n">
        <v>0</v>
      </c>
      <c r="J5596" t="n">
        <v>0</v>
      </c>
      <c r="K5596" t="n">
        <v>0</v>
      </c>
      <c r="L5596" t="n">
        <v>0</v>
      </c>
      <c r="M5596" t="n">
        <v>0</v>
      </c>
      <c r="N5596" t="n">
        <v>0</v>
      </c>
      <c r="O5596" t="n">
        <v>0</v>
      </c>
      <c r="P5596" t="n">
        <v>0</v>
      </c>
      <c r="Q5596" t="n">
        <v>0</v>
      </c>
      <c r="R5596" s="2" t="inlineStr"/>
    </row>
    <row r="5597" ht="15" customHeight="1">
      <c r="A5597" t="inlineStr">
        <is>
          <t>A 55514-2020</t>
        </is>
      </c>
      <c r="B5597" s="1" t="n">
        <v>44131</v>
      </c>
      <c r="C5597" s="1" t="n">
        <v>45212</v>
      </c>
      <c r="D5597" t="inlineStr">
        <is>
          <t>VÄSTRA GÖTALANDS LÄN</t>
        </is>
      </c>
      <c r="E5597" t="inlineStr">
        <is>
          <t>MARK</t>
        </is>
      </c>
      <c r="G5597" t="n">
        <v>1.2</v>
      </c>
      <c r="H5597" t="n">
        <v>0</v>
      </c>
      <c r="I5597" t="n">
        <v>0</v>
      </c>
      <c r="J5597" t="n">
        <v>0</v>
      </c>
      <c r="K5597" t="n">
        <v>0</v>
      </c>
      <c r="L5597" t="n">
        <v>0</v>
      </c>
      <c r="M5597" t="n">
        <v>0</v>
      </c>
      <c r="N5597" t="n">
        <v>0</v>
      </c>
      <c r="O5597" t="n">
        <v>0</v>
      </c>
      <c r="P5597" t="n">
        <v>0</v>
      </c>
      <c r="Q5597" t="n">
        <v>0</v>
      </c>
      <c r="R5597" s="2" t="inlineStr"/>
    </row>
    <row r="5598" ht="15" customHeight="1">
      <c r="A5598" t="inlineStr">
        <is>
          <t>A 55555-2020</t>
        </is>
      </c>
      <c r="B5598" s="1" t="n">
        <v>44131</v>
      </c>
      <c r="C5598" s="1" t="n">
        <v>45212</v>
      </c>
      <c r="D5598" t="inlineStr">
        <is>
          <t>VÄSTRA GÖTALANDS LÄN</t>
        </is>
      </c>
      <c r="E5598" t="inlineStr">
        <is>
          <t>GULLSPÅNG</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55584-2020</t>
        </is>
      </c>
      <c r="B5599" s="1" t="n">
        <v>44131</v>
      </c>
      <c r="C5599" s="1" t="n">
        <v>45212</v>
      </c>
      <c r="D5599" t="inlineStr">
        <is>
          <t>VÄSTRA GÖTALANDS LÄN</t>
        </is>
      </c>
      <c r="E5599" t="inlineStr">
        <is>
          <t>TIDAHOLM</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55728-2020</t>
        </is>
      </c>
      <c r="B5600" s="1" t="n">
        <v>44132</v>
      </c>
      <c r="C5600" s="1" t="n">
        <v>45212</v>
      </c>
      <c r="D5600" t="inlineStr">
        <is>
          <t>VÄSTRA GÖTALANDS LÄN</t>
        </is>
      </c>
      <c r="E5600" t="inlineStr">
        <is>
          <t>DALS-ED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55775-2020</t>
        </is>
      </c>
      <c r="B5601" s="1" t="n">
        <v>44132</v>
      </c>
      <c r="C5601" s="1" t="n">
        <v>45212</v>
      </c>
      <c r="D5601" t="inlineStr">
        <is>
          <t>VÄSTRA GÖTALANDS LÄN</t>
        </is>
      </c>
      <c r="E5601" t="inlineStr">
        <is>
          <t>VÅRGÅRDA</t>
        </is>
      </c>
      <c r="G5601" t="n">
        <v>0.4</v>
      </c>
      <c r="H5601" t="n">
        <v>0</v>
      </c>
      <c r="I5601" t="n">
        <v>0</v>
      </c>
      <c r="J5601" t="n">
        <v>0</v>
      </c>
      <c r="K5601" t="n">
        <v>0</v>
      </c>
      <c r="L5601" t="n">
        <v>0</v>
      </c>
      <c r="M5601" t="n">
        <v>0</v>
      </c>
      <c r="N5601" t="n">
        <v>0</v>
      </c>
      <c r="O5601" t="n">
        <v>0</v>
      </c>
      <c r="P5601" t="n">
        <v>0</v>
      </c>
      <c r="Q5601" t="n">
        <v>0</v>
      </c>
      <c r="R5601" s="2" t="inlineStr"/>
    </row>
    <row r="5602" ht="15" customHeight="1">
      <c r="A5602" t="inlineStr">
        <is>
          <t>A 55909-2020</t>
        </is>
      </c>
      <c r="B5602" s="1" t="n">
        <v>44132</v>
      </c>
      <c r="C5602" s="1" t="n">
        <v>45212</v>
      </c>
      <c r="D5602" t="inlineStr">
        <is>
          <t>VÄSTRA GÖTALANDS LÄN</t>
        </is>
      </c>
      <c r="E5602" t="inlineStr">
        <is>
          <t>BENGTSFORS</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55771-2020</t>
        </is>
      </c>
      <c r="B5603" s="1" t="n">
        <v>44132</v>
      </c>
      <c r="C5603" s="1" t="n">
        <v>45212</v>
      </c>
      <c r="D5603" t="inlineStr">
        <is>
          <t>VÄSTRA GÖTALANDS LÄN</t>
        </is>
      </c>
      <c r="E5603" t="inlineStr">
        <is>
          <t>VÅRGÅRDA</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55814-2020</t>
        </is>
      </c>
      <c r="B5604" s="1" t="n">
        <v>44132</v>
      </c>
      <c r="C5604" s="1" t="n">
        <v>45212</v>
      </c>
      <c r="D5604" t="inlineStr">
        <is>
          <t>VÄSTRA GÖTALANDS LÄN</t>
        </is>
      </c>
      <c r="E5604" t="inlineStr">
        <is>
          <t>FÄRGELANDA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55841-2020</t>
        </is>
      </c>
      <c r="B5605" s="1" t="n">
        <v>44132</v>
      </c>
      <c r="C5605" s="1" t="n">
        <v>45212</v>
      </c>
      <c r="D5605" t="inlineStr">
        <is>
          <t>VÄSTRA GÖTALANDS LÄN</t>
        </is>
      </c>
      <c r="E5605" t="inlineStr">
        <is>
          <t>SVENLJUNGA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55675-2020</t>
        </is>
      </c>
      <c r="B5606" s="1" t="n">
        <v>44132</v>
      </c>
      <c r="C5606" s="1" t="n">
        <v>45212</v>
      </c>
      <c r="D5606" t="inlineStr">
        <is>
          <t>VÄSTRA GÖTALANDS LÄN</t>
        </is>
      </c>
      <c r="E5606" t="inlineStr">
        <is>
          <t>TRANEMO</t>
        </is>
      </c>
      <c r="F5606" t="inlineStr">
        <is>
          <t>Sveaskog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55741-2020</t>
        </is>
      </c>
      <c r="B5607" s="1" t="n">
        <v>44132</v>
      </c>
      <c r="C5607" s="1" t="n">
        <v>45212</v>
      </c>
      <c r="D5607" t="inlineStr">
        <is>
          <t>VÄSTRA GÖTALANDS LÄN</t>
        </is>
      </c>
      <c r="E5607" t="inlineStr">
        <is>
          <t>BENGTSFORS</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55763-2020</t>
        </is>
      </c>
      <c r="B5608" s="1" t="n">
        <v>44132</v>
      </c>
      <c r="C5608" s="1" t="n">
        <v>45212</v>
      </c>
      <c r="D5608" t="inlineStr">
        <is>
          <t>VÄSTRA GÖTALANDS LÄN</t>
        </is>
      </c>
      <c r="E5608" t="inlineStr">
        <is>
          <t>DALS-ED</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55919-2020</t>
        </is>
      </c>
      <c r="B5609" s="1" t="n">
        <v>44132</v>
      </c>
      <c r="C5609" s="1" t="n">
        <v>45212</v>
      </c>
      <c r="D5609" t="inlineStr">
        <is>
          <t>VÄSTRA GÖTALANDS LÄN</t>
        </is>
      </c>
      <c r="E5609" t="inlineStr">
        <is>
          <t>ULRICEHAMN</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55940-2020</t>
        </is>
      </c>
      <c r="B5610" s="1" t="n">
        <v>44133</v>
      </c>
      <c r="C5610" s="1" t="n">
        <v>45212</v>
      </c>
      <c r="D5610" t="inlineStr">
        <is>
          <t>VÄSTRA GÖTALANDS LÄN</t>
        </is>
      </c>
      <c r="E5610" t="inlineStr">
        <is>
          <t>DALS-ED</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56099-2020</t>
        </is>
      </c>
      <c r="B5611" s="1" t="n">
        <v>44133</v>
      </c>
      <c r="C5611" s="1" t="n">
        <v>45212</v>
      </c>
      <c r="D5611" t="inlineStr">
        <is>
          <t>VÄSTRA GÖTALANDS LÄN</t>
        </is>
      </c>
      <c r="E5611" t="inlineStr">
        <is>
          <t>TRANEMO</t>
        </is>
      </c>
      <c r="G5611" t="n">
        <v>3.3</v>
      </c>
      <c r="H5611" t="n">
        <v>0</v>
      </c>
      <c r="I5611" t="n">
        <v>0</v>
      </c>
      <c r="J5611" t="n">
        <v>0</v>
      </c>
      <c r="K5611" t="n">
        <v>0</v>
      </c>
      <c r="L5611" t="n">
        <v>0</v>
      </c>
      <c r="M5611" t="n">
        <v>0</v>
      </c>
      <c r="N5611" t="n">
        <v>0</v>
      </c>
      <c r="O5611" t="n">
        <v>0</v>
      </c>
      <c r="P5611" t="n">
        <v>0</v>
      </c>
      <c r="Q5611" t="n">
        <v>0</v>
      </c>
      <c r="R5611" s="2" t="inlineStr"/>
    </row>
    <row r="5612" ht="15" customHeight="1">
      <c r="A5612" t="inlineStr">
        <is>
          <t>A 55938-2020</t>
        </is>
      </c>
      <c r="B5612" s="1" t="n">
        <v>44133</v>
      </c>
      <c r="C5612" s="1" t="n">
        <v>45212</v>
      </c>
      <c r="D5612" t="inlineStr">
        <is>
          <t>VÄSTRA GÖTALANDS LÄN</t>
        </is>
      </c>
      <c r="E5612" t="inlineStr">
        <is>
          <t>UDDEVALLA</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55936-2020</t>
        </is>
      </c>
      <c r="B5613" s="1" t="n">
        <v>44133</v>
      </c>
      <c r="C5613" s="1" t="n">
        <v>45212</v>
      </c>
      <c r="D5613" t="inlineStr">
        <is>
          <t>VÄSTRA GÖTALANDS LÄN</t>
        </is>
      </c>
      <c r="E5613" t="inlineStr">
        <is>
          <t>TIDAHOLM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55977-2020</t>
        </is>
      </c>
      <c r="B5614" s="1" t="n">
        <v>44133</v>
      </c>
      <c r="C5614" s="1" t="n">
        <v>45212</v>
      </c>
      <c r="D5614" t="inlineStr">
        <is>
          <t>VÄSTRA GÖTALANDS LÄN</t>
        </is>
      </c>
      <c r="E5614" t="inlineStr">
        <is>
          <t>VÅRGÅRDA</t>
        </is>
      </c>
      <c r="G5614" t="n">
        <v>0.4</v>
      </c>
      <c r="H5614" t="n">
        <v>0</v>
      </c>
      <c r="I5614" t="n">
        <v>0</v>
      </c>
      <c r="J5614" t="n">
        <v>0</v>
      </c>
      <c r="K5614" t="n">
        <v>0</v>
      </c>
      <c r="L5614" t="n">
        <v>0</v>
      </c>
      <c r="M5614" t="n">
        <v>0</v>
      </c>
      <c r="N5614" t="n">
        <v>0</v>
      </c>
      <c r="O5614" t="n">
        <v>0</v>
      </c>
      <c r="P5614" t="n">
        <v>0</v>
      </c>
      <c r="Q5614" t="n">
        <v>0</v>
      </c>
      <c r="R5614" s="2" t="inlineStr"/>
    </row>
    <row r="5615" ht="15" customHeight="1">
      <c r="A5615" t="inlineStr">
        <is>
          <t>A 55992-2020</t>
        </is>
      </c>
      <c r="B5615" s="1" t="n">
        <v>44133</v>
      </c>
      <c r="C5615" s="1" t="n">
        <v>45212</v>
      </c>
      <c r="D5615" t="inlineStr">
        <is>
          <t>VÄSTRA GÖTALANDS LÄN</t>
        </is>
      </c>
      <c r="E5615" t="inlineStr">
        <is>
          <t>SVENLJUNGA</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56002-2020</t>
        </is>
      </c>
      <c r="B5616" s="1" t="n">
        <v>44133</v>
      </c>
      <c r="C5616" s="1" t="n">
        <v>45212</v>
      </c>
      <c r="D5616" t="inlineStr">
        <is>
          <t>VÄSTRA GÖTALANDS LÄN</t>
        </is>
      </c>
      <c r="E5616" t="inlineStr">
        <is>
          <t>SVENLJUNGA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56016-2020</t>
        </is>
      </c>
      <c r="B5617" s="1" t="n">
        <v>44133</v>
      </c>
      <c r="C5617" s="1" t="n">
        <v>45212</v>
      </c>
      <c r="D5617" t="inlineStr">
        <is>
          <t>VÄSTRA GÖTALANDS LÄN</t>
        </is>
      </c>
      <c r="E5617" t="inlineStr">
        <is>
          <t>DALS-ED</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56318-2020</t>
        </is>
      </c>
      <c r="B5618" s="1" t="n">
        <v>44134</v>
      </c>
      <c r="C5618" s="1" t="n">
        <v>45212</v>
      </c>
      <c r="D5618" t="inlineStr">
        <is>
          <t>VÄSTRA GÖTALANDS LÄN</t>
        </is>
      </c>
      <c r="E5618" t="inlineStr">
        <is>
          <t>BENGTSFORS</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56282-2020</t>
        </is>
      </c>
      <c r="B5619" s="1" t="n">
        <v>44134</v>
      </c>
      <c r="C5619" s="1" t="n">
        <v>45212</v>
      </c>
      <c r="D5619" t="inlineStr">
        <is>
          <t>VÄSTRA GÖTALANDS LÄN</t>
        </is>
      </c>
      <c r="E5619" t="inlineStr">
        <is>
          <t>BENGTSFORS</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56345-2020</t>
        </is>
      </c>
      <c r="B5620" s="1" t="n">
        <v>44134</v>
      </c>
      <c r="C5620" s="1" t="n">
        <v>45212</v>
      </c>
      <c r="D5620" t="inlineStr">
        <is>
          <t>VÄSTRA GÖTALANDS LÄN</t>
        </is>
      </c>
      <c r="E5620" t="inlineStr">
        <is>
          <t>TIDAHOLM</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56235-2020</t>
        </is>
      </c>
      <c r="B5621" s="1" t="n">
        <v>44134</v>
      </c>
      <c r="C5621" s="1" t="n">
        <v>45212</v>
      </c>
      <c r="D5621" t="inlineStr">
        <is>
          <t>VÄSTRA GÖTALANDS LÄN</t>
        </is>
      </c>
      <c r="E5621" t="inlineStr">
        <is>
          <t>ESSUNGA</t>
        </is>
      </c>
      <c r="G5621" t="n">
        <v>1.6</v>
      </c>
      <c r="H5621" t="n">
        <v>0</v>
      </c>
      <c r="I5621" t="n">
        <v>0</v>
      </c>
      <c r="J5621" t="n">
        <v>0</v>
      </c>
      <c r="K5621" t="n">
        <v>0</v>
      </c>
      <c r="L5621" t="n">
        <v>0</v>
      </c>
      <c r="M5621" t="n">
        <v>0</v>
      </c>
      <c r="N5621" t="n">
        <v>0</v>
      </c>
      <c r="O5621" t="n">
        <v>0</v>
      </c>
      <c r="P5621" t="n">
        <v>0</v>
      </c>
      <c r="Q5621" t="n">
        <v>0</v>
      </c>
      <c r="R5621" s="2" t="inlineStr"/>
    </row>
    <row r="5622" ht="15" customHeight="1">
      <c r="A5622" t="inlineStr">
        <is>
          <t>A 56540-2020</t>
        </is>
      </c>
      <c r="B5622" s="1" t="n">
        <v>44137</v>
      </c>
      <c r="C5622" s="1" t="n">
        <v>45212</v>
      </c>
      <c r="D5622" t="inlineStr">
        <is>
          <t>VÄSTRA GÖTALANDS LÄN</t>
        </is>
      </c>
      <c r="E5622" t="inlineStr">
        <is>
          <t>BORÅS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56547-2020</t>
        </is>
      </c>
      <c r="B5623" s="1" t="n">
        <v>44137</v>
      </c>
      <c r="C5623" s="1" t="n">
        <v>45212</v>
      </c>
      <c r="D5623" t="inlineStr">
        <is>
          <t>VÄSTRA GÖTALANDS LÄN</t>
        </is>
      </c>
      <c r="E5623" t="inlineStr">
        <is>
          <t>TRANEMO</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56721-2020</t>
        </is>
      </c>
      <c r="B5624" s="1" t="n">
        <v>44137</v>
      </c>
      <c r="C5624" s="1" t="n">
        <v>45212</v>
      </c>
      <c r="D5624" t="inlineStr">
        <is>
          <t>VÄSTRA GÖTALANDS LÄN</t>
        </is>
      </c>
      <c r="E5624" t="inlineStr">
        <is>
          <t>ULRICEHAMN</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56937-2020</t>
        </is>
      </c>
      <c r="B5625" s="1" t="n">
        <v>44137</v>
      </c>
      <c r="C5625" s="1" t="n">
        <v>45212</v>
      </c>
      <c r="D5625" t="inlineStr">
        <is>
          <t>VÄSTRA GÖTALANDS LÄN</t>
        </is>
      </c>
      <c r="E5625" t="inlineStr">
        <is>
          <t>TÖREBODA</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56953-2020</t>
        </is>
      </c>
      <c r="B5626" s="1" t="n">
        <v>44137</v>
      </c>
      <c r="C5626" s="1" t="n">
        <v>45212</v>
      </c>
      <c r="D5626" t="inlineStr">
        <is>
          <t>VÄSTRA GÖTALANDS LÄN</t>
        </is>
      </c>
      <c r="E5626" t="inlineStr">
        <is>
          <t>BORÅS</t>
        </is>
      </c>
      <c r="G5626" t="n">
        <v>6.6</v>
      </c>
      <c r="H5626" t="n">
        <v>0</v>
      </c>
      <c r="I5626" t="n">
        <v>0</v>
      </c>
      <c r="J5626" t="n">
        <v>0</v>
      </c>
      <c r="K5626" t="n">
        <v>0</v>
      </c>
      <c r="L5626" t="n">
        <v>0</v>
      </c>
      <c r="M5626" t="n">
        <v>0</v>
      </c>
      <c r="N5626" t="n">
        <v>0</v>
      </c>
      <c r="O5626" t="n">
        <v>0</v>
      </c>
      <c r="P5626" t="n">
        <v>0</v>
      </c>
      <c r="Q5626" t="n">
        <v>0</v>
      </c>
      <c r="R5626" s="2" t="inlineStr"/>
    </row>
    <row r="5627" ht="15" customHeight="1">
      <c r="A5627" t="inlineStr">
        <is>
          <t>A 57022-2020</t>
        </is>
      </c>
      <c r="B5627" s="1" t="n">
        <v>44137</v>
      </c>
      <c r="C5627" s="1" t="n">
        <v>45212</v>
      </c>
      <c r="D5627" t="inlineStr">
        <is>
          <t>VÄSTRA GÖTALANDS LÄN</t>
        </is>
      </c>
      <c r="E5627" t="inlineStr">
        <is>
          <t>LIDKÖPING</t>
        </is>
      </c>
      <c r="G5627" t="n">
        <v>10.6</v>
      </c>
      <c r="H5627" t="n">
        <v>0</v>
      </c>
      <c r="I5627" t="n">
        <v>0</v>
      </c>
      <c r="J5627" t="n">
        <v>0</v>
      </c>
      <c r="K5627" t="n">
        <v>0</v>
      </c>
      <c r="L5627" t="n">
        <v>0</v>
      </c>
      <c r="M5627" t="n">
        <v>0</v>
      </c>
      <c r="N5627" t="n">
        <v>0</v>
      </c>
      <c r="O5627" t="n">
        <v>0</v>
      </c>
      <c r="P5627" t="n">
        <v>0</v>
      </c>
      <c r="Q5627" t="n">
        <v>0</v>
      </c>
      <c r="R5627" s="2" t="inlineStr"/>
    </row>
    <row r="5628" ht="15" customHeight="1">
      <c r="A5628" t="inlineStr">
        <is>
          <t>A 56693-2020</t>
        </is>
      </c>
      <c r="B5628" s="1" t="n">
        <v>44137</v>
      </c>
      <c r="C5628" s="1" t="n">
        <v>45212</v>
      </c>
      <c r="D5628" t="inlineStr">
        <is>
          <t>VÄSTRA GÖTALANDS LÄN</t>
        </is>
      </c>
      <c r="E5628" t="inlineStr">
        <is>
          <t>GULLSPÅNG</t>
        </is>
      </c>
      <c r="F5628" t="inlineStr">
        <is>
          <t>Kyrkan</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56706-2020</t>
        </is>
      </c>
      <c r="B5629" s="1" t="n">
        <v>44137</v>
      </c>
      <c r="C5629" s="1" t="n">
        <v>45212</v>
      </c>
      <c r="D5629" t="inlineStr">
        <is>
          <t>VÄSTRA GÖTALANDS LÄN</t>
        </is>
      </c>
      <c r="E5629" t="inlineStr">
        <is>
          <t>TRANEMO</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56928-2020</t>
        </is>
      </c>
      <c r="B5630" s="1" t="n">
        <v>44137</v>
      </c>
      <c r="C5630" s="1" t="n">
        <v>45212</v>
      </c>
      <c r="D5630" t="inlineStr">
        <is>
          <t>VÄSTRA GÖTALANDS LÄN</t>
        </is>
      </c>
      <c r="E5630" t="inlineStr">
        <is>
          <t>TÖREBODA</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56940-2020</t>
        </is>
      </c>
      <c r="B5631" s="1" t="n">
        <v>44137</v>
      </c>
      <c r="C5631" s="1" t="n">
        <v>45212</v>
      </c>
      <c r="D5631" t="inlineStr">
        <is>
          <t>VÄSTRA GÖTALANDS LÄN</t>
        </is>
      </c>
      <c r="E5631" t="inlineStr">
        <is>
          <t>TÖREBODA</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56954-2020</t>
        </is>
      </c>
      <c r="B5632" s="1" t="n">
        <v>44137</v>
      </c>
      <c r="C5632" s="1" t="n">
        <v>45212</v>
      </c>
      <c r="D5632" t="inlineStr">
        <is>
          <t>VÄSTRA GÖTALANDS LÄN</t>
        </is>
      </c>
      <c r="E5632" t="inlineStr">
        <is>
          <t>VARA</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56995-2020</t>
        </is>
      </c>
      <c r="B5633" s="1" t="n">
        <v>44137</v>
      </c>
      <c r="C5633" s="1" t="n">
        <v>45212</v>
      </c>
      <c r="D5633" t="inlineStr">
        <is>
          <t>VÄSTRA GÖTALANDS LÄN</t>
        </is>
      </c>
      <c r="E5633" t="inlineStr">
        <is>
          <t>SKARA</t>
        </is>
      </c>
      <c r="G5633" t="n">
        <v>7.8</v>
      </c>
      <c r="H5633" t="n">
        <v>0</v>
      </c>
      <c r="I5633" t="n">
        <v>0</v>
      </c>
      <c r="J5633" t="n">
        <v>0</v>
      </c>
      <c r="K5633" t="n">
        <v>0</v>
      </c>
      <c r="L5633" t="n">
        <v>0</v>
      </c>
      <c r="M5633" t="n">
        <v>0</v>
      </c>
      <c r="N5633" t="n">
        <v>0</v>
      </c>
      <c r="O5633" t="n">
        <v>0</v>
      </c>
      <c r="P5633" t="n">
        <v>0</v>
      </c>
      <c r="Q5633" t="n">
        <v>0</v>
      </c>
      <c r="R5633" s="2" t="inlineStr"/>
    </row>
    <row r="5634" ht="15" customHeight="1">
      <c r="A5634" t="inlineStr">
        <is>
          <t>A 56550-2020</t>
        </is>
      </c>
      <c r="B5634" s="1" t="n">
        <v>44137</v>
      </c>
      <c r="C5634" s="1" t="n">
        <v>45212</v>
      </c>
      <c r="D5634" t="inlineStr">
        <is>
          <t>VÄSTRA GÖTALANDS LÄN</t>
        </is>
      </c>
      <c r="E5634" t="inlineStr">
        <is>
          <t>TANUM</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56698-2020</t>
        </is>
      </c>
      <c r="B5635" s="1" t="n">
        <v>44137</v>
      </c>
      <c r="C5635" s="1" t="n">
        <v>45212</v>
      </c>
      <c r="D5635" t="inlineStr">
        <is>
          <t>VÄSTRA GÖTALANDS LÄN</t>
        </is>
      </c>
      <c r="E5635" t="inlineStr">
        <is>
          <t>SKÖVDE</t>
        </is>
      </c>
      <c r="G5635" t="n">
        <v>1.6</v>
      </c>
      <c r="H5635" t="n">
        <v>0</v>
      </c>
      <c r="I5635" t="n">
        <v>0</v>
      </c>
      <c r="J5635" t="n">
        <v>0</v>
      </c>
      <c r="K5635" t="n">
        <v>0</v>
      </c>
      <c r="L5635" t="n">
        <v>0</v>
      </c>
      <c r="M5635" t="n">
        <v>0</v>
      </c>
      <c r="N5635" t="n">
        <v>0</v>
      </c>
      <c r="O5635" t="n">
        <v>0</v>
      </c>
      <c r="P5635" t="n">
        <v>0</v>
      </c>
      <c r="Q5635" t="n">
        <v>0</v>
      </c>
      <c r="R5635" s="2" t="inlineStr"/>
    </row>
    <row r="5636" ht="15" customHeight="1">
      <c r="A5636" t="inlineStr">
        <is>
          <t>A 56929-2020</t>
        </is>
      </c>
      <c r="B5636" s="1" t="n">
        <v>44137</v>
      </c>
      <c r="C5636" s="1" t="n">
        <v>45212</v>
      </c>
      <c r="D5636" t="inlineStr">
        <is>
          <t>VÄSTRA GÖTALANDS LÄN</t>
        </is>
      </c>
      <c r="E5636" t="inlineStr">
        <is>
          <t>TÖREBODA</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56418-2020</t>
        </is>
      </c>
      <c r="B5637" s="1" t="n">
        <v>44137</v>
      </c>
      <c r="C5637" s="1" t="n">
        <v>45212</v>
      </c>
      <c r="D5637" t="inlineStr">
        <is>
          <t>VÄSTRA GÖTALANDS LÄN</t>
        </is>
      </c>
      <c r="E5637" t="inlineStr">
        <is>
          <t>MARK</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56433-2020</t>
        </is>
      </c>
      <c r="B5638" s="1" t="n">
        <v>44137</v>
      </c>
      <c r="C5638" s="1" t="n">
        <v>45212</v>
      </c>
      <c r="D5638" t="inlineStr">
        <is>
          <t>VÄSTRA GÖTALANDS LÄN</t>
        </is>
      </c>
      <c r="E5638" t="inlineStr">
        <is>
          <t>TANUM</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56546-2020</t>
        </is>
      </c>
      <c r="B5639" s="1" t="n">
        <v>44137</v>
      </c>
      <c r="C5639" s="1" t="n">
        <v>45212</v>
      </c>
      <c r="D5639" t="inlineStr">
        <is>
          <t>VÄSTRA GÖTALANDS LÄN</t>
        </is>
      </c>
      <c r="E5639" t="inlineStr">
        <is>
          <t>BORÅS</t>
        </is>
      </c>
      <c r="G5639" t="n">
        <v>0.3</v>
      </c>
      <c r="H5639" t="n">
        <v>0</v>
      </c>
      <c r="I5639" t="n">
        <v>0</v>
      </c>
      <c r="J5639" t="n">
        <v>0</v>
      </c>
      <c r="K5639" t="n">
        <v>0</v>
      </c>
      <c r="L5639" t="n">
        <v>0</v>
      </c>
      <c r="M5639" t="n">
        <v>0</v>
      </c>
      <c r="N5639" t="n">
        <v>0</v>
      </c>
      <c r="O5639" t="n">
        <v>0</v>
      </c>
      <c r="P5639" t="n">
        <v>0</v>
      </c>
      <c r="Q5639" t="n">
        <v>0</v>
      </c>
      <c r="R5639" s="2" t="inlineStr"/>
    </row>
    <row r="5640" ht="15" customHeight="1">
      <c r="A5640" t="inlineStr">
        <is>
          <t>A 56931-2020</t>
        </is>
      </c>
      <c r="B5640" s="1" t="n">
        <v>44137</v>
      </c>
      <c r="C5640" s="1" t="n">
        <v>45212</v>
      </c>
      <c r="D5640" t="inlineStr">
        <is>
          <t>VÄSTRA GÖTALANDS LÄN</t>
        </is>
      </c>
      <c r="E5640" t="inlineStr">
        <is>
          <t>TÖREBODA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56922-2020</t>
        </is>
      </c>
      <c r="B5641" s="1" t="n">
        <v>44138</v>
      </c>
      <c r="C5641" s="1" t="n">
        <v>45212</v>
      </c>
      <c r="D5641" t="inlineStr">
        <is>
          <t>VÄSTRA GÖTALANDS LÄN</t>
        </is>
      </c>
      <c r="E5641" t="inlineStr">
        <is>
          <t>SVENLJUNGA</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57050-2020</t>
        </is>
      </c>
      <c r="B5642" s="1" t="n">
        <v>44138</v>
      </c>
      <c r="C5642" s="1" t="n">
        <v>45212</v>
      </c>
      <c r="D5642" t="inlineStr">
        <is>
          <t>VÄSTRA GÖTALANDS LÄN</t>
        </is>
      </c>
      <c r="E5642" t="inlineStr">
        <is>
          <t>TROLLHÄTTAN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57121-2020</t>
        </is>
      </c>
      <c r="B5643" s="1" t="n">
        <v>44138</v>
      </c>
      <c r="C5643" s="1" t="n">
        <v>45212</v>
      </c>
      <c r="D5643" t="inlineStr">
        <is>
          <t>VÄSTRA GÖTALANDS LÄN</t>
        </is>
      </c>
      <c r="E5643" t="inlineStr">
        <is>
          <t>ULRICEHAMN</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56888-2020</t>
        </is>
      </c>
      <c r="B5644" s="1" t="n">
        <v>44138</v>
      </c>
      <c r="C5644" s="1" t="n">
        <v>45212</v>
      </c>
      <c r="D5644" t="inlineStr">
        <is>
          <t>VÄSTRA GÖTALANDS LÄN</t>
        </is>
      </c>
      <c r="E5644" t="inlineStr">
        <is>
          <t>FÄRGELANDA</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56925-2020</t>
        </is>
      </c>
      <c r="B5645" s="1" t="n">
        <v>44138</v>
      </c>
      <c r="C5645" s="1" t="n">
        <v>45212</v>
      </c>
      <c r="D5645" t="inlineStr">
        <is>
          <t>VÄSTRA GÖTALANDS LÄN</t>
        </is>
      </c>
      <c r="E5645" t="inlineStr">
        <is>
          <t>HERRLJUNGA</t>
        </is>
      </c>
      <c r="G5645" t="n">
        <v>2.4</v>
      </c>
      <c r="H5645" t="n">
        <v>0</v>
      </c>
      <c r="I5645" t="n">
        <v>0</v>
      </c>
      <c r="J5645" t="n">
        <v>0</v>
      </c>
      <c r="K5645" t="n">
        <v>0</v>
      </c>
      <c r="L5645" t="n">
        <v>0</v>
      </c>
      <c r="M5645" t="n">
        <v>0</v>
      </c>
      <c r="N5645" t="n">
        <v>0</v>
      </c>
      <c r="O5645" t="n">
        <v>0</v>
      </c>
      <c r="P5645" t="n">
        <v>0</v>
      </c>
      <c r="Q5645" t="n">
        <v>0</v>
      </c>
      <c r="R5645" s="2" t="inlineStr"/>
    </row>
    <row r="5646" ht="15" customHeight="1">
      <c r="A5646" t="inlineStr">
        <is>
          <t>A 57062-2020</t>
        </is>
      </c>
      <c r="B5646" s="1" t="n">
        <v>44138</v>
      </c>
      <c r="C5646" s="1" t="n">
        <v>45212</v>
      </c>
      <c r="D5646" t="inlineStr">
        <is>
          <t>VÄSTRA GÖTALANDS LÄN</t>
        </is>
      </c>
      <c r="E5646" t="inlineStr">
        <is>
          <t>BORÅS</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56920-2020</t>
        </is>
      </c>
      <c r="B5647" s="1" t="n">
        <v>44138</v>
      </c>
      <c r="C5647" s="1" t="n">
        <v>45212</v>
      </c>
      <c r="D5647" t="inlineStr">
        <is>
          <t>VÄSTRA GÖTALANDS LÄN</t>
        </is>
      </c>
      <c r="E5647" t="inlineStr">
        <is>
          <t>SVENLJUNGA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57067-2020</t>
        </is>
      </c>
      <c r="B5648" s="1" t="n">
        <v>44138</v>
      </c>
      <c r="C5648" s="1" t="n">
        <v>45212</v>
      </c>
      <c r="D5648" t="inlineStr">
        <is>
          <t>VÄSTRA GÖTALANDS LÄN</t>
        </is>
      </c>
      <c r="E5648" t="inlineStr">
        <is>
          <t>HÄRRYDA</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57131-2020</t>
        </is>
      </c>
      <c r="B5649" s="1" t="n">
        <v>44139</v>
      </c>
      <c r="C5649" s="1" t="n">
        <v>45212</v>
      </c>
      <c r="D5649" t="inlineStr">
        <is>
          <t>VÄSTRA GÖTALANDS LÄN</t>
        </is>
      </c>
      <c r="E5649" t="inlineStr">
        <is>
          <t>LILLA EDET</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57203-2020</t>
        </is>
      </c>
      <c r="B5650" s="1" t="n">
        <v>44139</v>
      </c>
      <c r="C5650" s="1" t="n">
        <v>45212</v>
      </c>
      <c r="D5650" t="inlineStr">
        <is>
          <t>VÄSTRA GÖTALANDS LÄN</t>
        </is>
      </c>
      <c r="E5650" t="inlineStr">
        <is>
          <t>ALINGSÅS</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57217-2020</t>
        </is>
      </c>
      <c r="B5651" s="1" t="n">
        <v>44139</v>
      </c>
      <c r="C5651" s="1" t="n">
        <v>45212</v>
      </c>
      <c r="D5651" t="inlineStr">
        <is>
          <t>VÄSTRA GÖTALANDS LÄN</t>
        </is>
      </c>
      <c r="E5651" t="inlineStr">
        <is>
          <t>STRÖMSTAD</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57323-2020</t>
        </is>
      </c>
      <c r="B5652" s="1" t="n">
        <v>44139</v>
      </c>
      <c r="C5652" s="1" t="n">
        <v>45212</v>
      </c>
      <c r="D5652" t="inlineStr">
        <is>
          <t>VÄSTRA GÖTALANDS LÄN</t>
        </is>
      </c>
      <c r="E5652" t="inlineStr">
        <is>
          <t>ÅMÅL</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57501-2020</t>
        </is>
      </c>
      <c r="B5653" s="1" t="n">
        <v>44139</v>
      </c>
      <c r="C5653" s="1" t="n">
        <v>45212</v>
      </c>
      <c r="D5653" t="inlineStr">
        <is>
          <t>VÄSTRA GÖTALANDS LÄN</t>
        </is>
      </c>
      <c r="E5653" t="inlineStr">
        <is>
          <t>TÖREBODA</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57614-2020</t>
        </is>
      </c>
      <c r="B5654" s="1" t="n">
        <v>44139</v>
      </c>
      <c r="C5654" s="1" t="n">
        <v>45212</v>
      </c>
      <c r="D5654" t="inlineStr">
        <is>
          <t>VÄSTRA GÖTALANDS LÄN</t>
        </is>
      </c>
      <c r="E5654" t="inlineStr">
        <is>
          <t>MARIESTAD</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57201-2020</t>
        </is>
      </c>
      <c r="B5655" s="1" t="n">
        <v>44139</v>
      </c>
      <c r="C5655" s="1" t="n">
        <v>45212</v>
      </c>
      <c r="D5655" t="inlineStr">
        <is>
          <t>VÄSTRA GÖTALANDS LÄN</t>
        </is>
      </c>
      <c r="E5655" t="inlineStr">
        <is>
          <t>DALS-ED</t>
        </is>
      </c>
      <c r="G5655" t="n">
        <v>10.8</v>
      </c>
      <c r="H5655" t="n">
        <v>0</v>
      </c>
      <c r="I5655" t="n">
        <v>0</v>
      </c>
      <c r="J5655" t="n">
        <v>0</v>
      </c>
      <c r="K5655" t="n">
        <v>0</v>
      </c>
      <c r="L5655" t="n">
        <v>0</v>
      </c>
      <c r="M5655" t="n">
        <v>0</v>
      </c>
      <c r="N5655" t="n">
        <v>0</v>
      </c>
      <c r="O5655" t="n">
        <v>0</v>
      </c>
      <c r="P5655" t="n">
        <v>0</v>
      </c>
      <c r="Q5655" t="n">
        <v>0</v>
      </c>
      <c r="R5655" s="2" t="inlineStr"/>
    </row>
    <row r="5656" ht="15" customHeight="1">
      <c r="A5656" t="inlineStr">
        <is>
          <t>A 57207-2020</t>
        </is>
      </c>
      <c r="B5656" s="1" t="n">
        <v>44139</v>
      </c>
      <c r="C5656" s="1" t="n">
        <v>45212</v>
      </c>
      <c r="D5656" t="inlineStr">
        <is>
          <t>VÄSTRA GÖTALANDS LÄN</t>
        </is>
      </c>
      <c r="E5656" t="inlineStr">
        <is>
          <t>SKARA</t>
        </is>
      </c>
      <c r="G5656" t="n">
        <v>9.199999999999999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57099-2020</t>
        </is>
      </c>
      <c r="B5657" s="1" t="n">
        <v>44139</v>
      </c>
      <c r="C5657" s="1" t="n">
        <v>45212</v>
      </c>
      <c r="D5657" t="inlineStr">
        <is>
          <t>VÄSTRA GÖTALANDS LÄN</t>
        </is>
      </c>
      <c r="E5657" t="inlineStr">
        <is>
          <t>MARIESTAD</t>
        </is>
      </c>
      <c r="F5657" t="inlineStr">
        <is>
          <t>Sveaskog</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57349-2020</t>
        </is>
      </c>
      <c r="B5658" s="1" t="n">
        <v>44139</v>
      </c>
      <c r="C5658" s="1" t="n">
        <v>45212</v>
      </c>
      <c r="D5658" t="inlineStr">
        <is>
          <t>VÄSTRA GÖTALANDS LÄN</t>
        </is>
      </c>
      <c r="E5658" t="inlineStr">
        <is>
          <t>GÖTENE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57565-2020</t>
        </is>
      </c>
      <c r="B5659" s="1" t="n">
        <v>44139</v>
      </c>
      <c r="C5659" s="1" t="n">
        <v>45212</v>
      </c>
      <c r="D5659" t="inlineStr">
        <is>
          <t>VÄSTRA GÖTALANDS LÄN</t>
        </is>
      </c>
      <c r="E5659" t="inlineStr">
        <is>
          <t>TRANEMO</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57618-2020</t>
        </is>
      </c>
      <c r="B5660" s="1" t="n">
        <v>44139</v>
      </c>
      <c r="C5660" s="1" t="n">
        <v>45212</v>
      </c>
      <c r="D5660" t="inlineStr">
        <is>
          <t>VÄSTRA GÖTALANDS LÄN</t>
        </is>
      </c>
      <c r="E5660" t="inlineStr">
        <is>
          <t>MARIESTAD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57509-2020</t>
        </is>
      </c>
      <c r="B5661" s="1" t="n">
        <v>44140</v>
      </c>
      <c r="C5661" s="1" t="n">
        <v>45212</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57560-2020</t>
        </is>
      </c>
      <c r="B5662" s="1" t="n">
        <v>44140</v>
      </c>
      <c r="C5662" s="1" t="n">
        <v>45212</v>
      </c>
      <c r="D5662" t="inlineStr">
        <is>
          <t>VÄSTRA GÖTALANDS LÄN</t>
        </is>
      </c>
      <c r="E5662" t="inlineStr">
        <is>
          <t>LIDKÖPING</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57628-2020</t>
        </is>
      </c>
      <c r="B5663" s="1" t="n">
        <v>44140</v>
      </c>
      <c r="C5663" s="1" t="n">
        <v>45212</v>
      </c>
      <c r="D5663" t="inlineStr">
        <is>
          <t>VÄSTRA GÖTALANDS LÄN</t>
        </is>
      </c>
      <c r="E5663" t="inlineStr">
        <is>
          <t>TROLLHÄTTAN</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57536-2020</t>
        </is>
      </c>
      <c r="B5664" s="1" t="n">
        <v>44140</v>
      </c>
      <c r="C5664" s="1" t="n">
        <v>45212</v>
      </c>
      <c r="D5664" t="inlineStr">
        <is>
          <t>VÄSTRA GÖTALANDS LÄN</t>
        </is>
      </c>
      <c r="E5664" t="inlineStr">
        <is>
          <t>HERRLJUNGA</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58244-2020</t>
        </is>
      </c>
      <c r="B5665" s="1" t="n">
        <v>44140</v>
      </c>
      <c r="C5665" s="1" t="n">
        <v>45212</v>
      </c>
      <c r="D5665" t="inlineStr">
        <is>
          <t>VÄSTRA GÖTALANDS LÄN</t>
        </is>
      </c>
      <c r="E5665" t="inlineStr">
        <is>
          <t>BORÅS</t>
        </is>
      </c>
      <c r="F5665" t="inlineStr">
        <is>
          <t>Kyrkan</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57487-2020</t>
        </is>
      </c>
      <c r="B5666" s="1" t="n">
        <v>44140</v>
      </c>
      <c r="C5666" s="1" t="n">
        <v>45212</v>
      </c>
      <c r="D5666" t="inlineStr">
        <is>
          <t>VÄSTRA GÖTALANDS LÄN</t>
        </is>
      </c>
      <c r="E5666" t="inlineStr">
        <is>
          <t>LIDKÖPING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57502-2020</t>
        </is>
      </c>
      <c r="B5667" s="1" t="n">
        <v>44140</v>
      </c>
      <c r="C5667" s="1" t="n">
        <v>45212</v>
      </c>
      <c r="D5667" t="inlineStr">
        <is>
          <t>VÄSTRA GÖTALANDS LÄN</t>
        </is>
      </c>
      <c r="E5667" t="inlineStr">
        <is>
          <t>LIDKÖPING</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58334-2020</t>
        </is>
      </c>
      <c r="B5668" s="1" t="n">
        <v>44141</v>
      </c>
      <c r="C5668" s="1" t="n">
        <v>45212</v>
      </c>
      <c r="D5668" t="inlineStr">
        <is>
          <t>VÄSTRA GÖTALANDS LÄN</t>
        </is>
      </c>
      <c r="E5668" t="inlineStr">
        <is>
          <t>KUNGÄLV</t>
        </is>
      </c>
      <c r="F5668" t="inlineStr">
        <is>
          <t>Övriga statliga verk och myndigheter</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58819-2020</t>
        </is>
      </c>
      <c r="B5669" s="1" t="n">
        <v>44141</v>
      </c>
      <c r="C5669" s="1" t="n">
        <v>45212</v>
      </c>
      <c r="D5669" t="inlineStr">
        <is>
          <t>VÄSTRA GÖTALANDS LÄN</t>
        </is>
      </c>
      <c r="E5669" t="inlineStr">
        <is>
          <t>ORUST</t>
        </is>
      </c>
      <c r="G5669" t="n">
        <v>3.6</v>
      </c>
      <c r="H5669" t="n">
        <v>0</v>
      </c>
      <c r="I5669" t="n">
        <v>0</v>
      </c>
      <c r="J5669" t="n">
        <v>0</v>
      </c>
      <c r="K5669" t="n">
        <v>0</v>
      </c>
      <c r="L5669" t="n">
        <v>0</v>
      </c>
      <c r="M5669" t="n">
        <v>0</v>
      </c>
      <c r="N5669" t="n">
        <v>0</v>
      </c>
      <c r="O5669" t="n">
        <v>0</v>
      </c>
      <c r="P5669" t="n">
        <v>0</v>
      </c>
      <c r="Q5669" t="n">
        <v>0</v>
      </c>
      <c r="R5669" s="2" t="inlineStr"/>
    </row>
    <row r="5670" ht="15" customHeight="1">
      <c r="A5670" t="inlineStr">
        <is>
          <t>A 57953-2020</t>
        </is>
      </c>
      <c r="B5670" s="1" t="n">
        <v>44142</v>
      </c>
      <c r="C5670" s="1" t="n">
        <v>45212</v>
      </c>
      <c r="D5670" t="inlineStr">
        <is>
          <t>VÄSTRA GÖTALANDS LÄN</t>
        </is>
      </c>
      <c r="E5670" t="inlineStr">
        <is>
          <t>FALKÖPING</t>
        </is>
      </c>
      <c r="G5670" t="n">
        <v>4</v>
      </c>
      <c r="H5670" t="n">
        <v>0</v>
      </c>
      <c r="I5670" t="n">
        <v>0</v>
      </c>
      <c r="J5670" t="n">
        <v>0</v>
      </c>
      <c r="K5670" t="n">
        <v>0</v>
      </c>
      <c r="L5670" t="n">
        <v>0</v>
      </c>
      <c r="M5670" t="n">
        <v>0</v>
      </c>
      <c r="N5670" t="n">
        <v>0</v>
      </c>
      <c r="O5670" t="n">
        <v>0</v>
      </c>
      <c r="P5670" t="n">
        <v>0</v>
      </c>
      <c r="Q5670" t="n">
        <v>0</v>
      </c>
      <c r="R5670" s="2" t="inlineStr"/>
    </row>
    <row r="5671" ht="15" customHeight="1">
      <c r="A5671" t="inlineStr">
        <is>
          <t>A 57952-2020</t>
        </is>
      </c>
      <c r="B5671" s="1" t="n">
        <v>44142</v>
      </c>
      <c r="C5671" s="1" t="n">
        <v>45212</v>
      </c>
      <c r="D5671" t="inlineStr">
        <is>
          <t>VÄSTRA GÖTALANDS LÄN</t>
        </is>
      </c>
      <c r="E5671" t="inlineStr">
        <is>
          <t>FALKÖPING</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57982-2020</t>
        </is>
      </c>
      <c r="B5672" s="1" t="n">
        <v>44143</v>
      </c>
      <c r="C5672" s="1" t="n">
        <v>45212</v>
      </c>
      <c r="D5672" t="inlineStr">
        <is>
          <t>VÄSTRA GÖTALANDS LÄN</t>
        </is>
      </c>
      <c r="E5672" t="inlineStr">
        <is>
          <t>TANUM</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58519-2020</t>
        </is>
      </c>
      <c r="B5673" s="1" t="n">
        <v>44144</v>
      </c>
      <c r="C5673" s="1" t="n">
        <v>45212</v>
      </c>
      <c r="D5673" t="inlineStr">
        <is>
          <t>VÄSTRA GÖTALANDS LÄN</t>
        </is>
      </c>
      <c r="E5673" t="inlineStr">
        <is>
          <t>VÄNERSBORG</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58166-2020</t>
        </is>
      </c>
      <c r="B5674" s="1" t="n">
        <v>44144</v>
      </c>
      <c r="C5674" s="1" t="n">
        <v>45212</v>
      </c>
      <c r="D5674" t="inlineStr">
        <is>
          <t>VÄSTRA GÖTALANDS LÄN</t>
        </is>
      </c>
      <c r="E5674" t="inlineStr">
        <is>
          <t>BENGTSFORS</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58361-2020</t>
        </is>
      </c>
      <c r="B5675" s="1" t="n">
        <v>44144</v>
      </c>
      <c r="C5675" s="1" t="n">
        <v>45212</v>
      </c>
      <c r="D5675" t="inlineStr">
        <is>
          <t>VÄSTRA GÖTALANDS LÄN</t>
        </is>
      </c>
      <c r="E5675" t="inlineStr">
        <is>
          <t>LIDKÖPING</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58052-2020</t>
        </is>
      </c>
      <c r="B5676" s="1" t="n">
        <v>44144</v>
      </c>
      <c r="C5676" s="1" t="n">
        <v>45212</v>
      </c>
      <c r="D5676" t="inlineStr">
        <is>
          <t>VÄSTRA GÖTALANDS LÄN</t>
        </is>
      </c>
      <c r="E5676" t="inlineStr">
        <is>
          <t>VÄNERSBORG</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58421-2020</t>
        </is>
      </c>
      <c r="B5677" s="1" t="n">
        <v>44144</v>
      </c>
      <c r="C5677" s="1" t="n">
        <v>45212</v>
      </c>
      <c r="D5677" t="inlineStr">
        <is>
          <t>VÄSTRA GÖTALANDS LÄN</t>
        </is>
      </c>
      <c r="E5677" t="inlineStr">
        <is>
          <t>GULLSPÅNG</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58077-2020</t>
        </is>
      </c>
      <c r="B5678" s="1" t="n">
        <v>44144</v>
      </c>
      <c r="C5678" s="1" t="n">
        <v>45212</v>
      </c>
      <c r="D5678" t="inlineStr">
        <is>
          <t>VÄSTRA GÖTALANDS LÄN</t>
        </is>
      </c>
      <c r="E5678" t="inlineStr">
        <is>
          <t>MARK</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58181-2020</t>
        </is>
      </c>
      <c r="B5679" s="1" t="n">
        <v>44144</v>
      </c>
      <c r="C5679" s="1" t="n">
        <v>45212</v>
      </c>
      <c r="D5679" t="inlineStr">
        <is>
          <t>VÄSTRA GÖTALANDS LÄN</t>
        </is>
      </c>
      <c r="E5679" t="inlineStr">
        <is>
          <t>KARLSBORG</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58358-2020</t>
        </is>
      </c>
      <c r="B5680" s="1" t="n">
        <v>44144</v>
      </c>
      <c r="C5680" s="1" t="n">
        <v>45212</v>
      </c>
      <c r="D5680" t="inlineStr">
        <is>
          <t>VÄSTRA GÖTALANDS LÄN</t>
        </is>
      </c>
      <c r="E5680" t="inlineStr">
        <is>
          <t>MELLERUD</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58099-2020</t>
        </is>
      </c>
      <c r="B5681" s="1" t="n">
        <v>44144</v>
      </c>
      <c r="C5681" s="1" t="n">
        <v>45212</v>
      </c>
      <c r="D5681" t="inlineStr">
        <is>
          <t>VÄSTRA GÖTALANDS LÄN</t>
        </is>
      </c>
      <c r="E5681" t="inlineStr">
        <is>
          <t>ALE</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58141-2020</t>
        </is>
      </c>
      <c r="B5682" s="1" t="n">
        <v>44144</v>
      </c>
      <c r="C5682" s="1" t="n">
        <v>45212</v>
      </c>
      <c r="D5682" t="inlineStr">
        <is>
          <t>VÄSTRA GÖTALANDS LÄN</t>
        </is>
      </c>
      <c r="E5682" t="inlineStr">
        <is>
          <t>LILLA EDET</t>
        </is>
      </c>
      <c r="G5682" t="n">
        <v>4.9</v>
      </c>
      <c r="H5682" t="n">
        <v>0</v>
      </c>
      <c r="I5682" t="n">
        <v>0</v>
      </c>
      <c r="J5682" t="n">
        <v>0</v>
      </c>
      <c r="K5682" t="n">
        <v>0</v>
      </c>
      <c r="L5682" t="n">
        <v>0</v>
      </c>
      <c r="M5682" t="n">
        <v>0</v>
      </c>
      <c r="N5682" t="n">
        <v>0</v>
      </c>
      <c r="O5682" t="n">
        <v>0</v>
      </c>
      <c r="P5682" t="n">
        <v>0</v>
      </c>
      <c r="Q5682" t="n">
        <v>0</v>
      </c>
      <c r="R5682" s="2" t="inlineStr"/>
    </row>
    <row r="5683" ht="15" customHeight="1">
      <c r="A5683" t="inlineStr">
        <is>
          <t>A 58167-2020</t>
        </is>
      </c>
      <c r="B5683" s="1" t="n">
        <v>44144</v>
      </c>
      <c r="C5683" s="1" t="n">
        <v>45212</v>
      </c>
      <c r="D5683" t="inlineStr">
        <is>
          <t>VÄSTRA GÖTALANDS LÄN</t>
        </is>
      </c>
      <c r="E5683" t="inlineStr">
        <is>
          <t>KARLSBORG</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58217-2020</t>
        </is>
      </c>
      <c r="B5684" s="1" t="n">
        <v>44144</v>
      </c>
      <c r="C5684" s="1" t="n">
        <v>45212</v>
      </c>
      <c r="D5684" t="inlineStr">
        <is>
          <t>VÄSTRA GÖTALANDS LÄN</t>
        </is>
      </c>
      <c r="E5684" t="inlineStr">
        <is>
          <t>ESSUNGA</t>
        </is>
      </c>
      <c r="G5684" t="n">
        <v>0.2</v>
      </c>
      <c r="H5684" t="n">
        <v>0</v>
      </c>
      <c r="I5684" t="n">
        <v>0</v>
      </c>
      <c r="J5684" t="n">
        <v>0</v>
      </c>
      <c r="K5684" t="n">
        <v>0</v>
      </c>
      <c r="L5684" t="n">
        <v>0</v>
      </c>
      <c r="M5684" t="n">
        <v>0</v>
      </c>
      <c r="N5684" t="n">
        <v>0</v>
      </c>
      <c r="O5684" t="n">
        <v>0</v>
      </c>
      <c r="P5684" t="n">
        <v>0</v>
      </c>
      <c r="Q5684" t="n">
        <v>0</v>
      </c>
      <c r="R5684" s="2" t="inlineStr"/>
    </row>
    <row r="5685" ht="15" customHeight="1">
      <c r="A5685" t="inlineStr">
        <is>
          <t>A 58478-2020</t>
        </is>
      </c>
      <c r="B5685" s="1" t="n">
        <v>44145</v>
      </c>
      <c r="C5685" s="1" t="n">
        <v>45212</v>
      </c>
      <c r="D5685" t="inlineStr">
        <is>
          <t>VÄSTRA GÖTALANDS LÄN</t>
        </is>
      </c>
      <c r="E5685" t="inlineStr">
        <is>
          <t>LYSEKIL</t>
        </is>
      </c>
      <c r="G5685" t="n">
        <v>4.5</v>
      </c>
      <c r="H5685" t="n">
        <v>0</v>
      </c>
      <c r="I5685" t="n">
        <v>0</v>
      </c>
      <c r="J5685" t="n">
        <v>0</v>
      </c>
      <c r="K5685" t="n">
        <v>0</v>
      </c>
      <c r="L5685" t="n">
        <v>0</v>
      </c>
      <c r="M5685" t="n">
        <v>0</v>
      </c>
      <c r="N5685" t="n">
        <v>0</v>
      </c>
      <c r="O5685" t="n">
        <v>0</v>
      </c>
      <c r="P5685" t="n">
        <v>0</v>
      </c>
      <c r="Q5685" t="n">
        <v>0</v>
      </c>
      <c r="R5685" s="2" t="inlineStr"/>
    </row>
    <row r="5686" ht="15" customHeight="1">
      <c r="A5686" t="inlineStr">
        <is>
          <t>A 58766-2020</t>
        </is>
      </c>
      <c r="B5686" s="1" t="n">
        <v>44145</v>
      </c>
      <c r="C5686" s="1" t="n">
        <v>45212</v>
      </c>
      <c r="D5686" t="inlineStr">
        <is>
          <t>VÄSTRA GÖTALANDS LÄN</t>
        </is>
      </c>
      <c r="E5686" t="inlineStr">
        <is>
          <t>LIDKÖPING</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58482-2020</t>
        </is>
      </c>
      <c r="B5687" s="1" t="n">
        <v>44145</v>
      </c>
      <c r="C5687" s="1" t="n">
        <v>45212</v>
      </c>
      <c r="D5687" t="inlineStr">
        <is>
          <t>VÄSTRA GÖTALANDS LÄN</t>
        </is>
      </c>
      <c r="E5687" t="inlineStr">
        <is>
          <t>GRÄSTORP</t>
        </is>
      </c>
      <c r="G5687" t="n">
        <v>0.4</v>
      </c>
      <c r="H5687" t="n">
        <v>0</v>
      </c>
      <c r="I5687" t="n">
        <v>0</v>
      </c>
      <c r="J5687" t="n">
        <v>0</v>
      </c>
      <c r="K5687" t="n">
        <v>0</v>
      </c>
      <c r="L5687" t="n">
        <v>0</v>
      </c>
      <c r="M5687" t="n">
        <v>0</v>
      </c>
      <c r="N5687" t="n">
        <v>0</v>
      </c>
      <c r="O5687" t="n">
        <v>0</v>
      </c>
      <c r="P5687" t="n">
        <v>0</v>
      </c>
      <c r="Q5687" t="n">
        <v>0</v>
      </c>
      <c r="R5687" s="2" t="inlineStr"/>
    </row>
    <row r="5688" ht="15" customHeight="1">
      <c r="A5688" t="inlineStr">
        <is>
          <t>A 58539-2020</t>
        </is>
      </c>
      <c r="B5688" s="1" t="n">
        <v>44145</v>
      </c>
      <c r="C5688" s="1" t="n">
        <v>45212</v>
      </c>
      <c r="D5688" t="inlineStr">
        <is>
          <t>VÄSTRA GÖTALANDS LÄN</t>
        </is>
      </c>
      <c r="E5688" t="inlineStr">
        <is>
          <t>ULRICEHAMN</t>
        </is>
      </c>
      <c r="G5688" t="n">
        <v>2.9</v>
      </c>
      <c r="H5688" t="n">
        <v>0</v>
      </c>
      <c r="I5688" t="n">
        <v>0</v>
      </c>
      <c r="J5688" t="n">
        <v>0</v>
      </c>
      <c r="K5688" t="n">
        <v>0</v>
      </c>
      <c r="L5688" t="n">
        <v>0</v>
      </c>
      <c r="M5688" t="n">
        <v>0</v>
      </c>
      <c r="N5688" t="n">
        <v>0</v>
      </c>
      <c r="O5688" t="n">
        <v>0</v>
      </c>
      <c r="P5688" t="n">
        <v>0</v>
      </c>
      <c r="Q5688" t="n">
        <v>0</v>
      </c>
      <c r="R5688" s="2" t="inlineStr"/>
    </row>
    <row r="5689" ht="15" customHeight="1">
      <c r="A5689" t="inlineStr">
        <is>
          <t>A 58551-2020</t>
        </is>
      </c>
      <c r="B5689" s="1" t="n">
        <v>44145</v>
      </c>
      <c r="C5689" s="1" t="n">
        <v>45212</v>
      </c>
      <c r="D5689" t="inlineStr">
        <is>
          <t>VÄSTRA GÖTALANDS LÄN</t>
        </is>
      </c>
      <c r="E5689" t="inlineStr">
        <is>
          <t>BORÅS</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58426-2020</t>
        </is>
      </c>
      <c r="B5690" s="1" t="n">
        <v>44145</v>
      </c>
      <c r="C5690" s="1" t="n">
        <v>45212</v>
      </c>
      <c r="D5690" t="inlineStr">
        <is>
          <t>VÄSTRA GÖTALANDS LÄN</t>
        </is>
      </c>
      <c r="E5690" t="inlineStr">
        <is>
          <t>FÄRGELANDA</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58712-2020</t>
        </is>
      </c>
      <c r="B5691" s="1" t="n">
        <v>44146</v>
      </c>
      <c r="C5691" s="1" t="n">
        <v>45212</v>
      </c>
      <c r="D5691" t="inlineStr">
        <is>
          <t>VÄSTRA GÖTALANDS LÄN</t>
        </is>
      </c>
      <c r="E5691" t="inlineStr">
        <is>
          <t>ÅMÅL</t>
        </is>
      </c>
      <c r="G5691" t="n">
        <v>5.2</v>
      </c>
      <c r="H5691" t="n">
        <v>0</v>
      </c>
      <c r="I5691" t="n">
        <v>0</v>
      </c>
      <c r="J5691" t="n">
        <v>0</v>
      </c>
      <c r="K5691" t="n">
        <v>0</v>
      </c>
      <c r="L5691" t="n">
        <v>0</v>
      </c>
      <c r="M5691" t="n">
        <v>0</v>
      </c>
      <c r="N5691" t="n">
        <v>0</v>
      </c>
      <c r="O5691" t="n">
        <v>0</v>
      </c>
      <c r="P5691" t="n">
        <v>0</v>
      </c>
      <c r="Q5691" t="n">
        <v>0</v>
      </c>
      <c r="R5691" s="2" t="inlineStr"/>
    </row>
    <row r="5692" ht="15" customHeight="1">
      <c r="A5692" t="inlineStr">
        <is>
          <t>A 59004-2020</t>
        </is>
      </c>
      <c r="B5692" s="1" t="n">
        <v>44146</v>
      </c>
      <c r="C5692" s="1" t="n">
        <v>45212</v>
      </c>
      <c r="D5692" t="inlineStr">
        <is>
          <t>VÄSTRA GÖTALANDS LÄN</t>
        </is>
      </c>
      <c r="E5692" t="inlineStr">
        <is>
          <t>FALKÖPING</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58878-2020</t>
        </is>
      </c>
      <c r="B5693" s="1" t="n">
        <v>44146</v>
      </c>
      <c r="C5693" s="1" t="n">
        <v>45212</v>
      </c>
      <c r="D5693" t="inlineStr">
        <is>
          <t>VÄSTRA GÖTALANDS LÄN</t>
        </is>
      </c>
      <c r="E5693" t="inlineStr">
        <is>
          <t>GULLSPÅNG</t>
        </is>
      </c>
      <c r="G5693" t="n">
        <v>3.2</v>
      </c>
      <c r="H5693" t="n">
        <v>0</v>
      </c>
      <c r="I5693" t="n">
        <v>0</v>
      </c>
      <c r="J5693" t="n">
        <v>0</v>
      </c>
      <c r="K5693" t="n">
        <v>0</v>
      </c>
      <c r="L5693" t="n">
        <v>0</v>
      </c>
      <c r="M5693" t="n">
        <v>0</v>
      </c>
      <c r="N5693" t="n">
        <v>0</v>
      </c>
      <c r="O5693" t="n">
        <v>0</v>
      </c>
      <c r="P5693" t="n">
        <v>0</v>
      </c>
      <c r="Q5693" t="n">
        <v>0</v>
      </c>
      <c r="R5693" s="2" t="inlineStr"/>
    </row>
    <row r="5694" ht="15" customHeight="1">
      <c r="A5694" t="inlineStr">
        <is>
          <t>A 58992-2020</t>
        </is>
      </c>
      <c r="B5694" s="1" t="n">
        <v>44146</v>
      </c>
      <c r="C5694" s="1" t="n">
        <v>45212</v>
      </c>
      <c r="D5694" t="inlineStr">
        <is>
          <t>VÄSTRA GÖTALANDS LÄN</t>
        </is>
      </c>
      <c r="E5694" t="inlineStr">
        <is>
          <t>FALKÖPING</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59217-2020</t>
        </is>
      </c>
      <c r="B5695" s="1" t="n">
        <v>44147</v>
      </c>
      <c r="C5695" s="1" t="n">
        <v>45212</v>
      </c>
      <c r="D5695" t="inlineStr">
        <is>
          <t>VÄSTRA GÖTALANDS LÄN</t>
        </is>
      </c>
      <c r="E5695" t="inlineStr">
        <is>
          <t>TRANEMO</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59232-2020</t>
        </is>
      </c>
      <c r="B5696" s="1" t="n">
        <v>44147</v>
      </c>
      <c r="C5696" s="1" t="n">
        <v>45212</v>
      </c>
      <c r="D5696" t="inlineStr">
        <is>
          <t>VÄSTRA GÖTALANDS LÄN</t>
        </is>
      </c>
      <c r="E5696" t="inlineStr">
        <is>
          <t>LILLA EDET</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59320-2020</t>
        </is>
      </c>
      <c r="B5697" s="1" t="n">
        <v>44147</v>
      </c>
      <c r="C5697" s="1" t="n">
        <v>45212</v>
      </c>
      <c r="D5697" t="inlineStr">
        <is>
          <t>VÄSTRA GÖTALANDS LÄN</t>
        </is>
      </c>
      <c r="E5697" t="inlineStr">
        <is>
          <t>ESSUNGA</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59045-2020</t>
        </is>
      </c>
      <c r="B5698" s="1" t="n">
        <v>44147</v>
      </c>
      <c r="C5698" s="1" t="n">
        <v>45212</v>
      </c>
      <c r="D5698" t="inlineStr">
        <is>
          <t>VÄSTRA GÖTALANDS LÄN</t>
        </is>
      </c>
      <c r="E5698" t="inlineStr">
        <is>
          <t>GÖTEBORG</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59059-2020</t>
        </is>
      </c>
      <c r="B5699" s="1" t="n">
        <v>44147</v>
      </c>
      <c r="C5699" s="1" t="n">
        <v>45212</v>
      </c>
      <c r="D5699" t="inlineStr">
        <is>
          <t>VÄSTRA GÖTALANDS LÄN</t>
        </is>
      </c>
      <c r="E5699" t="inlineStr">
        <is>
          <t>ALINGSÅS</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59205-2020</t>
        </is>
      </c>
      <c r="B5700" s="1" t="n">
        <v>44147</v>
      </c>
      <c r="C5700" s="1" t="n">
        <v>45212</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59138-2020</t>
        </is>
      </c>
      <c r="B5701" s="1" t="n">
        <v>44147</v>
      </c>
      <c r="C5701" s="1" t="n">
        <v>45212</v>
      </c>
      <c r="D5701" t="inlineStr">
        <is>
          <t>VÄSTRA GÖTALANDS LÄN</t>
        </is>
      </c>
      <c r="E5701" t="inlineStr">
        <is>
          <t>BENGTSFORS</t>
        </is>
      </c>
      <c r="G5701" t="n">
        <v>5.1</v>
      </c>
      <c r="H5701" t="n">
        <v>0</v>
      </c>
      <c r="I5701" t="n">
        <v>0</v>
      </c>
      <c r="J5701" t="n">
        <v>0</v>
      </c>
      <c r="K5701" t="n">
        <v>0</v>
      </c>
      <c r="L5701" t="n">
        <v>0</v>
      </c>
      <c r="M5701" t="n">
        <v>0</v>
      </c>
      <c r="N5701" t="n">
        <v>0</v>
      </c>
      <c r="O5701" t="n">
        <v>0</v>
      </c>
      <c r="P5701" t="n">
        <v>0</v>
      </c>
      <c r="Q5701" t="n">
        <v>0</v>
      </c>
      <c r="R5701" s="2" t="inlineStr"/>
    </row>
    <row r="5702" ht="15" customHeight="1">
      <c r="A5702" t="inlineStr">
        <is>
          <t>A 59250-2020</t>
        </is>
      </c>
      <c r="B5702" s="1" t="n">
        <v>44147</v>
      </c>
      <c r="C5702" s="1" t="n">
        <v>45212</v>
      </c>
      <c r="D5702" t="inlineStr">
        <is>
          <t>VÄSTRA GÖTALANDS LÄN</t>
        </is>
      </c>
      <c r="E5702" t="inlineStr">
        <is>
          <t>ULRICEHAMN</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59274-2020</t>
        </is>
      </c>
      <c r="B5703" s="1" t="n">
        <v>44147</v>
      </c>
      <c r="C5703" s="1" t="n">
        <v>45212</v>
      </c>
      <c r="D5703" t="inlineStr">
        <is>
          <t>VÄSTRA GÖTALANDS LÄN</t>
        </is>
      </c>
      <c r="E5703" t="inlineStr">
        <is>
          <t>SKARA</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59071-2020</t>
        </is>
      </c>
      <c r="B5704" s="1" t="n">
        <v>44147</v>
      </c>
      <c r="C5704" s="1" t="n">
        <v>45212</v>
      </c>
      <c r="D5704" t="inlineStr">
        <is>
          <t>VÄSTRA GÖTALANDS LÄN</t>
        </is>
      </c>
      <c r="E5704" t="inlineStr">
        <is>
          <t>BENGTSFORS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59085-2020</t>
        </is>
      </c>
      <c r="B5705" s="1" t="n">
        <v>44147</v>
      </c>
      <c r="C5705" s="1" t="n">
        <v>45212</v>
      </c>
      <c r="D5705" t="inlineStr">
        <is>
          <t>VÄSTRA GÖTALANDS LÄN</t>
        </is>
      </c>
      <c r="E5705" t="inlineStr">
        <is>
          <t>UDDEVALLA</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59467-2020</t>
        </is>
      </c>
      <c r="B5706" s="1" t="n">
        <v>44148</v>
      </c>
      <c r="C5706" s="1" t="n">
        <v>45212</v>
      </c>
      <c r="D5706" t="inlineStr">
        <is>
          <t>VÄSTRA GÖTALANDS LÄN</t>
        </is>
      </c>
      <c r="E5706" t="inlineStr">
        <is>
          <t>HÄRRYDA</t>
        </is>
      </c>
      <c r="G5706" t="n">
        <v>3.8</v>
      </c>
      <c r="H5706" t="n">
        <v>0</v>
      </c>
      <c r="I5706" t="n">
        <v>0</v>
      </c>
      <c r="J5706" t="n">
        <v>0</v>
      </c>
      <c r="K5706" t="n">
        <v>0</v>
      </c>
      <c r="L5706" t="n">
        <v>0</v>
      </c>
      <c r="M5706" t="n">
        <v>0</v>
      </c>
      <c r="N5706" t="n">
        <v>0</v>
      </c>
      <c r="O5706" t="n">
        <v>0</v>
      </c>
      <c r="P5706" t="n">
        <v>0</v>
      </c>
      <c r="Q5706" t="n">
        <v>0</v>
      </c>
      <c r="R5706" s="2" t="inlineStr"/>
    </row>
    <row r="5707" ht="15" customHeight="1">
      <c r="A5707" t="inlineStr">
        <is>
          <t>A 59964-2020</t>
        </is>
      </c>
      <c r="B5707" s="1" t="n">
        <v>44148</v>
      </c>
      <c r="C5707" s="1" t="n">
        <v>45212</v>
      </c>
      <c r="D5707" t="inlineStr">
        <is>
          <t>VÄSTRA GÖTALANDS LÄN</t>
        </is>
      </c>
      <c r="E5707" t="inlineStr">
        <is>
          <t>MUNKEDAL</t>
        </is>
      </c>
      <c r="F5707" t="inlineStr">
        <is>
          <t>Övriga Aktiebolag</t>
        </is>
      </c>
      <c r="G5707" t="n">
        <v>12.1</v>
      </c>
      <c r="H5707" t="n">
        <v>0</v>
      </c>
      <c r="I5707" t="n">
        <v>0</v>
      </c>
      <c r="J5707" t="n">
        <v>0</v>
      </c>
      <c r="K5707" t="n">
        <v>0</v>
      </c>
      <c r="L5707" t="n">
        <v>0</v>
      </c>
      <c r="M5707" t="n">
        <v>0</v>
      </c>
      <c r="N5707" t="n">
        <v>0</v>
      </c>
      <c r="O5707" t="n">
        <v>0</v>
      </c>
      <c r="P5707" t="n">
        <v>0</v>
      </c>
      <c r="Q5707" t="n">
        <v>0</v>
      </c>
      <c r="R5707" s="2" t="inlineStr"/>
    </row>
    <row r="5708" ht="15" customHeight="1">
      <c r="A5708" t="inlineStr">
        <is>
          <t>A 59387-2020</t>
        </is>
      </c>
      <c r="B5708" s="1" t="n">
        <v>44148</v>
      </c>
      <c r="C5708" s="1" t="n">
        <v>45212</v>
      </c>
      <c r="D5708" t="inlineStr">
        <is>
          <t>VÄSTRA GÖTALANDS LÄN</t>
        </is>
      </c>
      <c r="E5708" t="inlineStr">
        <is>
          <t>TÖREBODA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59497-2020</t>
        </is>
      </c>
      <c r="B5709" s="1" t="n">
        <v>44148</v>
      </c>
      <c r="C5709" s="1" t="n">
        <v>45212</v>
      </c>
      <c r="D5709" t="inlineStr">
        <is>
          <t>VÄSTRA GÖTALANDS LÄN</t>
        </is>
      </c>
      <c r="E5709" t="inlineStr">
        <is>
          <t>SKARA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59544-2020</t>
        </is>
      </c>
      <c r="B5710" s="1" t="n">
        <v>44148</v>
      </c>
      <c r="C5710" s="1" t="n">
        <v>45212</v>
      </c>
      <c r="D5710" t="inlineStr">
        <is>
          <t>VÄSTRA GÖTALANDS LÄN</t>
        </is>
      </c>
      <c r="E5710" t="inlineStr">
        <is>
          <t>VÅRGÅRDA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59498-2020</t>
        </is>
      </c>
      <c r="B5711" s="1" t="n">
        <v>44148</v>
      </c>
      <c r="C5711" s="1" t="n">
        <v>45212</v>
      </c>
      <c r="D5711" t="inlineStr">
        <is>
          <t>VÄSTRA GÖTALANDS LÄN</t>
        </is>
      </c>
      <c r="E5711" t="inlineStr">
        <is>
          <t>SKARA</t>
        </is>
      </c>
      <c r="G5711" t="n">
        <v>2.2</v>
      </c>
      <c r="H5711" t="n">
        <v>0</v>
      </c>
      <c r="I5711" t="n">
        <v>0</v>
      </c>
      <c r="J5711" t="n">
        <v>0</v>
      </c>
      <c r="K5711" t="n">
        <v>0</v>
      </c>
      <c r="L5711" t="n">
        <v>0</v>
      </c>
      <c r="M5711" t="n">
        <v>0</v>
      </c>
      <c r="N5711" t="n">
        <v>0</v>
      </c>
      <c r="O5711" t="n">
        <v>0</v>
      </c>
      <c r="P5711" t="n">
        <v>0</v>
      </c>
      <c r="Q5711" t="n">
        <v>0</v>
      </c>
      <c r="R5711" s="2" t="inlineStr"/>
    </row>
    <row r="5712" ht="15" customHeight="1">
      <c r="A5712" t="inlineStr">
        <is>
          <t>A 59651-2020</t>
        </is>
      </c>
      <c r="B5712" s="1" t="n">
        <v>44151</v>
      </c>
      <c r="C5712" s="1" t="n">
        <v>45212</v>
      </c>
      <c r="D5712" t="inlineStr">
        <is>
          <t>VÄSTRA GÖTALANDS LÄN</t>
        </is>
      </c>
      <c r="E5712" t="inlineStr">
        <is>
          <t>GÖTENE</t>
        </is>
      </c>
      <c r="G5712" t="n">
        <v>2</v>
      </c>
      <c r="H5712" t="n">
        <v>0</v>
      </c>
      <c r="I5712" t="n">
        <v>0</v>
      </c>
      <c r="J5712" t="n">
        <v>0</v>
      </c>
      <c r="K5712" t="n">
        <v>0</v>
      </c>
      <c r="L5712" t="n">
        <v>0</v>
      </c>
      <c r="M5712" t="n">
        <v>0</v>
      </c>
      <c r="N5712" t="n">
        <v>0</v>
      </c>
      <c r="O5712" t="n">
        <v>0</v>
      </c>
      <c r="P5712" t="n">
        <v>0</v>
      </c>
      <c r="Q5712" t="n">
        <v>0</v>
      </c>
      <c r="R5712" s="2" t="inlineStr"/>
    </row>
    <row r="5713" ht="15" customHeight="1">
      <c r="A5713" t="inlineStr">
        <is>
          <t>A 59943-2020</t>
        </is>
      </c>
      <c r="B5713" s="1" t="n">
        <v>44151</v>
      </c>
      <c r="C5713" s="1" t="n">
        <v>45212</v>
      </c>
      <c r="D5713" t="inlineStr">
        <is>
          <t>VÄSTRA GÖTALANDS LÄN</t>
        </is>
      </c>
      <c r="E5713" t="inlineStr">
        <is>
          <t>DALS-ED</t>
        </is>
      </c>
      <c r="G5713" t="n">
        <v>3.4</v>
      </c>
      <c r="H5713" t="n">
        <v>0</v>
      </c>
      <c r="I5713" t="n">
        <v>0</v>
      </c>
      <c r="J5713" t="n">
        <v>0</v>
      </c>
      <c r="K5713" t="n">
        <v>0</v>
      </c>
      <c r="L5713" t="n">
        <v>0</v>
      </c>
      <c r="M5713" t="n">
        <v>0</v>
      </c>
      <c r="N5713" t="n">
        <v>0</v>
      </c>
      <c r="O5713" t="n">
        <v>0</v>
      </c>
      <c r="P5713" t="n">
        <v>0</v>
      </c>
      <c r="Q5713" t="n">
        <v>0</v>
      </c>
      <c r="R5713" s="2" t="inlineStr"/>
    </row>
    <row r="5714" ht="15" customHeight="1">
      <c r="A5714" t="inlineStr">
        <is>
          <t>A 59974-2020</t>
        </is>
      </c>
      <c r="B5714" s="1" t="n">
        <v>44151</v>
      </c>
      <c r="C5714" s="1" t="n">
        <v>45212</v>
      </c>
      <c r="D5714" t="inlineStr">
        <is>
          <t>VÄSTRA GÖTALANDS LÄN</t>
        </is>
      </c>
      <c r="E5714" t="inlineStr">
        <is>
          <t>STRÖMSTAD</t>
        </is>
      </c>
      <c r="F5714" t="inlineStr">
        <is>
          <t>Kommuner</t>
        </is>
      </c>
      <c r="G5714" t="n">
        <v>3.5</v>
      </c>
      <c r="H5714" t="n">
        <v>0</v>
      </c>
      <c r="I5714" t="n">
        <v>0</v>
      </c>
      <c r="J5714" t="n">
        <v>0</v>
      </c>
      <c r="K5714" t="n">
        <v>0</v>
      </c>
      <c r="L5714" t="n">
        <v>0</v>
      </c>
      <c r="M5714" t="n">
        <v>0</v>
      </c>
      <c r="N5714" t="n">
        <v>0</v>
      </c>
      <c r="O5714" t="n">
        <v>0</v>
      </c>
      <c r="P5714" t="n">
        <v>0</v>
      </c>
      <c r="Q5714" t="n">
        <v>0</v>
      </c>
      <c r="R5714" s="2" t="inlineStr"/>
    </row>
    <row r="5715" ht="15" customHeight="1">
      <c r="A5715" t="inlineStr">
        <is>
          <t>A 60280-2020</t>
        </is>
      </c>
      <c r="B5715" s="1" t="n">
        <v>44151</v>
      </c>
      <c r="C5715" s="1" t="n">
        <v>45212</v>
      </c>
      <c r="D5715" t="inlineStr">
        <is>
          <t>VÄSTRA GÖTALANDS LÄN</t>
        </is>
      </c>
      <c r="E5715" t="inlineStr">
        <is>
          <t>TANUM</t>
        </is>
      </c>
      <c r="G5715" t="n">
        <v>4</v>
      </c>
      <c r="H5715" t="n">
        <v>0</v>
      </c>
      <c r="I5715" t="n">
        <v>0</v>
      </c>
      <c r="J5715" t="n">
        <v>0</v>
      </c>
      <c r="K5715" t="n">
        <v>0</v>
      </c>
      <c r="L5715" t="n">
        <v>0</v>
      </c>
      <c r="M5715" t="n">
        <v>0</v>
      </c>
      <c r="N5715" t="n">
        <v>0</v>
      </c>
      <c r="O5715" t="n">
        <v>0</v>
      </c>
      <c r="P5715" t="n">
        <v>0</v>
      </c>
      <c r="Q5715" t="n">
        <v>0</v>
      </c>
      <c r="R5715" s="2" t="inlineStr"/>
    </row>
    <row r="5716" ht="15" customHeight="1">
      <c r="A5716" t="inlineStr">
        <is>
          <t>A 59650-2020</t>
        </is>
      </c>
      <c r="B5716" s="1" t="n">
        <v>44151</v>
      </c>
      <c r="C5716" s="1" t="n">
        <v>45212</v>
      </c>
      <c r="D5716" t="inlineStr">
        <is>
          <t>VÄSTRA GÖTALANDS LÄN</t>
        </is>
      </c>
      <c r="E5716" t="inlineStr">
        <is>
          <t>GÖTENE</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59791-2020</t>
        </is>
      </c>
      <c r="B5717" s="1" t="n">
        <v>44151</v>
      </c>
      <c r="C5717" s="1" t="n">
        <v>45212</v>
      </c>
      <c r="D5717" t="inlineStr">
        <is>
          <t>VÄSTRA GÖTALANDS LÄN</t>
        </is>
      </c>
      <c r="E5717" t="inlineStr">
        <is>
          <t>VARA</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60283-2020</t>
        </is>
      </c>
      <c r="B5718" s="1" t="n">
        <v>44151</v>
      </c>
      <c r="C5718" s="1" t="n">
        <v>45212</v>
      </c>
      <c r="D5718" t="inlineStr">
        <is>
          <t>VÄSTRA GÖTALANDS LÄN</t>
        </is>
      </c>
      <c r="E5718" t="inlineStr">
        <is>
          <t>TANUM</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59726-2020</t>
        </is>
      </c>
      <c r="B5719" s="1" t="n">
        <v>44151</v>
      </c>
      <c r="C5719" s="1" t="n">
        <v>45212</v>
      </c>
      <c r="D5719" t="inlineStr">
        <is>
          <t>VÄSTRA GÖTALANDS LÄN</t>
        </is>
      </c>
      <c r="E5719" t="inlineStr">
        <is>
          <t>ÅMÅL</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59798-2020</t>
        </is>
      </c>
      <c r="B5720" s="1" t="n">
        <v>44151</v>
      </c>
      <c r="C5720" s="1" t="n">
        <v>45212</v>
      </c>
      <c r="D5720" t="inlineStr">
        <is>
          <t>VÄSTRA GÖTALANDS LÄN</t>
        </is>
      </c>
      <c r="E5720" t="inlineStr">
        <is>
          <t>VARA</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59810-2020</t>
        </is>
      </c>
      <c r="B5721" s="1" t="n">
        <v>44151</v>
      </c>
      <c r="C5721" s="1" t="n">
        <v>45212</v>
      </c>
      <c r="D5721" t="inlineStr">
        <is>
          <t>VÄSTRA GÖTALANDS LÄN</t>
        </is>
      </c>
      <c r="E5721" t="inlineStr">
        <is>
          <t>STRÖMSTAD</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59958-2020</t>
        </is>
      </c>
      <c r="B5722" s="1" t="n">
        <v>44151</v>
      </c>
      <c r="C5722" s="1" t="n">
        <v>45212</v>
      </c>
      <c r="D5722" t="inlineStr">
        <is>
          <t>VÄSTRA GÖTALANDS LÄN</t>
        </is>
      </c>
      <c r="E5722" t="inlineStr">
        <is>
          <t>TROLLHÄTTAN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60339-2020</t>
        </is>
      </c>
      <c r="B5723" s="1" t="n">
        <v>44152</v>
      </c>
      <c r="C5723" s="1" t="n">
        <v>45212</v>
      </c>
      <c r="D5723" t="inlineStr">
        <is>
          <t>VÄSTRA GÖTALANDS LÄN</t>
        </is>
      </c>
      <c r="E5723" t="inlineStr">
        <is>
          <t>SKÖVDE</t>
        </is>
      </c>
      <c r="G5723" t="n">
        <v>5</v>
      </c>
      <c r="H5723" t="n">
        <v>0</v>
      </c>
      <c r="I5723" t="n">
        <v>0</v>
      </c>
      <c r="J5723" t="n">
        <v>0</v>
      </c>
      <c r="K5723" t="n">
        <v>0</v>
      </c>
      <c r="L5723" t="n">
        <v>0</v>
      </c>
      <c r="M5723" t="n">
        <v>0</v>
      </c>
      <c r="N5723" t="n">
        <v>0</v>
      </c>
      <c r="O5723" t="n">
        <v>0</v>
      </c>
      <c r="P5723" t="n">
        <v>0</v>
      </c>
      <c r="Q5723" t="n">
        <v>0</v>
      </c>
      <c r="R5723" s="2" t="inlineStr"/>
    </row>
    <row r="5724" ht="15" customHeight="1">
      <c r="A5724" t="inlineStr">
        <is>
          <t>A 60500-2020</t>
        </is>
      </c>
      <c r="B5724" s="1" t="n">
        <v>44152</v>
      </c>
      <c r="C5724" s="1" t="n">
        <v>45212</v>
      </c>
      <c r="D5724" t="inlineStr">
        <is>
          <t>VÄSTRA GÖTALANDS LÄN</t>
        </is>
      </c>
      <c r="E5724" t="inlineStr">
        <is>
          <t>BORÅS</t>
        </is>
      </c>
      <c r="G5724" t="n">
        <v>2</v>
      </c>
      <c r="H5724" t="n">
        <v>0</v>
      </c>
      <c r="I5724" t="n">
        <v>0</v>
      </c>
      <c r="J5724" t="n">
        <v>0</v>
      </c>
      <c r="K5724" t="n">
        <v>0</v>
      </c>
      <c r="L5724" t="n">
        <v>0</v>
      </c>
      <c r="M5724" t="n">
        <v>0</v>
      </c>
      <c r="N5724" t="n">
        <v>0</v>
      </c>
      <c r="O5724" t="n">
        <v>0</v>
      </c>
      <c r="P5724" t="n">
        <v>0</v>
      </c>
      <c r="Q5724" t="n">
        <v>0</v>
      </c>
      <c r="R5724" s="2" t="inlineStr"/>
    </row>
    <row r="5725" ht="15" customHeight="1">
      <c r="A5725" t="inlineStr">
        <is>
          <t>A 60123-2020</t>
        </is>
      </c>
      <c r="B5725" s="1" t="n">
        <v>44152</v>
      </c>
      <c r="C5725" s="1" t="n">
        <v>45212</v>
      </c>
      <c r="D5725" t="inlineStr">
        <is>
          <t>VÄSTRA GÖTALANDS LÄN</t>
        </is>
      </c>
      <c r="E5725" t="inlineStr">
        <is>
          <t>BENGTSFORS</t>
        </is>
      </c>
      <c r="G5725" t="n">
        <v>2.2</v>
      </c>
      <c r="H5725" t="n">
        <v>0</v>
      </c>
      <c r="I5725" t="n">
        <v>0</v>
      </c>
      <c r="J5725" t="n">
        <v>0</v>
      </c>
      <c r="K5725" t="n">
        <v>0</v>
      </c>
      <c r="L5725" t="n">
        <v>0</v>
      </c>
      <c r="M5725" t="n">
        <v>0</v>
      </c>
      <c r="N5725" t="n">
        <v>0</v>
      </c>
      <c r="O5725" t="n">
        <v>0</v>
      </c>
      <c r="P5725" t="n">
        <v>0</v>
      </c>
      <c r="Q5725" t="n">
        <v>0</v>
      </c>
      <c r="R5725" s="2" t="inlineStr"/>
    </row>
    <row r="5726" ht="15" customHeight="1">
      <c r="A5726" t="inlineStr">
        <is>
          <t>A 60189-2020</t>
        </is>
      </c>
      <c r="B5726" s="1" t="n">
        <v>44152</v>
      </c>
      <c r="C5726" s="1" t="n">
        <v>45212</v>
      </c>
      <c r="D5726" t="inlineStr">
        <is>
          <t>VÄSTRA GÖTALANDS LÄN</t>
        </is>
      </c>
      <c r="E5726" t="inlineStr">
        <is>
          <t>MARIESTAD</t>
        </is>
      </c>
      <c r="G5726" t="n">
        <v>4.3</v>
      </c>
      <c r="H5726" t="n">
        <v>0</v>
      </c>
      <c r="I5726" t="n">
        <v>0</v>
      </c>
      <c r="J5726" t="n">
        <v>0</v>
      </c>
      <c r="K5726" t="n">
        <v>0</v>
      </c>
      <c r="L5726" t="n">
        <v>0</v>
      </c>
      <c r="M5726" t="n">
        <v>0</v>
      </c>
      <c r="N5726" t="n">
        <v>0</v>
      </c>
      <c r="O5726" t="n">
        <v>0</v>
      </c>
      <c r="P5726" t="n">
        <v>0</v>
      </c>
      <c r="Q5726" t="n">
        <v>0</v>
      </c>
      <c r="R5726" s="2" t="inlineStr"/>
    </row>
    <row r="5727" ht="15" customHeight="1">
      <c r="A5727" t="inlineStr">
        <is>
          <t>A 60207-2020</t>
        </is>
      </c>
      <c r="B5727" s="1" t="n">
        <v>44152</v>
      </c>
      <c r="C5727" s="1" t="n">
        <v>45212</v>
      </c>
      <c r="D5727" t="inlineStr">
        <is>
          <t>VÄSTRA GÖTALANDS LÄN</t>
        </is>
      </c>
      <c r="E5727" t="inlineStr">
        <is>
          <t>MUNKEDAL</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60233-2020</t>
        </is>
      </c>
      <c r="B5728" s="1" t="n">
        <v>44152</v>
      </c>
      <c r="C5728" s="1" t="n">
        <v>45212</v>
      </c>
      <c r="D5728" t="inlineStr">
        <is>
          <t>VÄSTRA GÖTALANDS LÄN</t>
        </is>
      </c>
      <c r="E5728" t="inlineStr">
        <is>
          <t>TRANEMO</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60344-2020</t>
        </is>
      </c>
      <c r="B5729" s="1" t="n">
        <v>44152</v>
      </c>
      <c r="C5729" s="1" t="n">
        <v>45212</v>
      </c>
      <c r="D5729" t="inlineStr">
        <is>
          <t>VÄSTRA GÖTALANDS LÄN</t>
        </is>
      </c>
      <c r="E5729" t="inlineStr">
        <is>
          <t>SKÖVDE</t>
        </is>
      </c>
      <c r="G5729" t="n">
        <v>1.9</v>
      </c>
      <c r="H5729" t="n">
        <v>0</v>
      </c>
      <c r="I5729" t="n">
        <v>0</v>
      </c>
      <c r="J5729" t="n">
        <v>0</v>
      </c>
      <c r="K5729" t="n">
        <v>0</v>
      </c>
      <c r="L5729" t="n">
        <v>0</v>
      </c>
      <c r="M5729" t="n">
        <v>0</v>
      </c>
      <c r="N5729" t="n">
        <v>0</v>
      </c>
      <c r="O5729" t="n">
        <v>0</v>
      </c>
      <c r="P5729" t="n">
        <v>0</v>
      </c>
      <c r="Q5729" t="n">
        <v>0</v>
      </c>
      <c r="R5729" s="2" t="inlineStr"/>
    </row>
    <row r="5730" ht="15" customHeight="1">
      <c r="A5730" t="inlineStr">
        <is>
          <t>A 60173-2020</t>
        </is>
      </c>
      <c r="B5730" s="1" t="n">
        <v>44152</v>
      </c>
      <c r="C5730" s="1" t="n">
        <v>45212</v>
      </c>
      <c r="D5730" t="inlineStr">
        <is>
          <t>VÄSTRA GÖTALANDS LÄN</t>
        </is>
      </c>
      <c r="E5730" t="inlineStr">
        <is>
          <t>MARIESTAD</t>
        </is>
      </c>
      <c r="G5730" t="n">
        <v>9.4</v>
      </c>
      <c r="H5730" t="n">
        <v>0</v>
      </c>
      <c r="I5730" t="n">
        <v>0</v>
      </c>
      <c r="J5730" t="n">
        <v>0</v>
      </c>
      <c r="K5730" t="n">
        <v>0</v>
      </c>
      <c r="L5730" t="n">
        <v>0</v>
      </c>
      <c r="M5730" t="n">
        <v>0</v>
      </c>
      <c r="N5730" t="n">
        <v>0</v>
      </c>
      <c r="O5730" t="n">
        <v>0</v>
      </c>
      <c r="P5730" t="n">
        <v>0</v>
      </c>
      <c r="Q5730" t="n">
        <v>0</v>
      </c>
      <c r="R5730" s="2" t="inlineStr"/>
    </row>
    <row r="5731" ht="15" customHeight="1">
      <c r="A5731" t="inlineStr">
        <is>
          <t>A 60208-2020</t>
        </is>
      </c>
      <c r="B5731" s="1" t="n">
        <v>44152</v>
      </c>
      <c r="C5731" s="1" t="n">
        <v>45212</v>
      </c>
      <c r="D5731" t="inlineStr">
        <is>
          <t>VÄSTRA GÖTALANDS LÄN</t>
        </is>
      </c>
      <c r="E5731" t="inlineStr">
        <is>
          <t>BENGTSFORS</t>
        </is>
      </c>
      <c r="G5731" t="n">
        <v>11.7</v>
      </c>
      <c r="H5731" t="n">
        <v>0</v>
      </c>
      <c r="I5731" t="n">
        <v>0</v>
      </c>
      <c r="J5731" t="n">
        <v>0</v>
      </c>
      <c r="K5731" t="n">
        <v>0</v>
      </c>
      <c r="L5731" t="n">
        <v>0</v>
      </c>
      <c r="M5731" t="n">
        <v>0</v>
      </c>
      <c r="N5731" t="n">
        <v>0</v>
      </c>
      <c r="O5731" t="n">
        <v>0</v>
      </c>
      <c r="P5731" t="n">
        <v>0</v>
      </c>
      <c r="Q5731" t="n">
        <v>0</v>
      </c>
      <c r="R5731" s="2" t="inlineStr"/>
    </row>
    <row r="5732" ht="15" customHeight="1">
      <c r="A5732" t="inlineStr">
        <is>
          <t>A 60291-2020</t>
        </is>
      </c>
      <c r="B5732" s="1" t="n">
        <v>44152</v>
      </c>
      <c r="C5732" s="1" t="n">
        <v>45212</v>
      </c>
      <c r="D5732" t="inlineStr">
        <is>
          <t>VÄSTRA GÖTALANDS LÄN</t>
        </is>
      </c>
      <c r="E5732" t="inlineStr">
        <is>
          <t>HJO</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60348-2020</t>
        </is>
      </c>
      <c r="B5733" s="1" t="n">
        <v>44152</v>
      </c>
      <c r="C5733" s="1" t="n">
        <v>45212</v>
      </c>
      <c r="D5733" t="inlineStr">
        <is>
          <t>VÄSTRA GÖTALANDS LÄN</t>
        </is>
      </c>
      <c r="E5733" t="inlineStr">
        <is>
          <t>TIBRO</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60662-2020</t>
        </is>
      </c>
      <c r="B5734" s="1" t="n">
        <v>44152</v>
      </c>
      <c r="C5734" s="1" t="n">
        <v>45212</v>
      </c>
      <c r="D5734" t="inlineStr">
        <is>
          <t>VÄSTRA GÖTALANDS LÄN</t>
        </is>
      </c>
      <c r="E5734" t="inlineStr">
        <is>
          <t>VÅRGÅRDA</t>
        </is>
      </c>
      <c r="G5734" t="n">
        <v>1.2</v>
      </c>
      <c r="H5734" t="n">
        <v>0</v>
      </c>
      <c r="I5734" t="n">
        <v>0</v>
      </c>
      <c r="J5734" t="n">
        <v>0</v>
      </c>
      <c r="K5734" t="n">
        <v>0</v>
      </c>
      <c r="L5734" t="n">
        <v>0</v>
      </c>
      <c r="M5734" t="n">
        <v>0</v>
      </c>
      <c r="N5734" t="n">
        <v>0</v>
      </c>
      <c r="O5734" t="n">
        <v>0</v>
      </c>
      <c r="P5734" t="n">
        <v>0</v>
      </c>
      <c r="Q5734" t="n">
        <v>0</v>
      </c>
      <c r="R5734" s="2" t="inlineStr"/>
    </row>
    <row r="5735" ht="15" customHeight="1">
      <c r="A5735" t="inlineStr">
        <is>
          <t>A 60209-2020</t>
        </is>
      </c>
      <c r="B5735" s="1" t="n">
        <v>44152</v>
      </c>
      <c r="C5735" s="1" t="n">
        <v>45212</v>
      </c>
      <c r="D5735" t="inlineStr">
        <is>
          <t>VÄSTRA GÖTALANDS LÄN</t>
        </is>
      </c>
      <c r="E5735" t="inlineStr">
        <is>
          <t>MUNKEDAL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60310-2020</t>
        </is>
      </c>
      <c r="B5736" s="1" t="n">
        <v>44152</v>
      </c>
      <c r="C5736" s="1" t="n">
        <v>45212</v>
      </c>
      <c r="D5736" t="inlineStr">
        <is>
          <t>VÄSTRA GÖTALANDS LÄN</t>
        </is>
      </c>
      <c r="E5736" t="inlineStr">
        <is>
          <t>TROLLHÄTTAN</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60440-2020</t>
        </is>
      </c>
      <c r="B5737" s="1" t="n">
        <v>44152</v>
      </c>
      <c r="C5737" s="1" t="n">
        <v>45212</v>
      </c>
      <c r="D5737" t="inlineStr">
        <is>
          <t>VÄSTRA GÖTALANDS LÄN</t>
        </is>
      </c>
      <c r="E5737" t="inlineStr">
        <is>
          <t>TÖREBODA</t>
        </is>
      </c>
      <c r="G5737" t="n">
        <v>18.7</v>
      </c>
      <c r="H5737" t="n">
        <v>0</v>
      </c>
      <c r="I5737" t="n">
        <v>0</v>
      </c>
      <c r="J5737" t="n">
        <v>0</v>
      </c>
      <c r="K5737" t="n">
        <v>0</v>
      </c>
      <c r="L5737" t="n">
        <v>0</v>
      </c>
      <c r="M5737" t="n">
        <v>0</v>
      </c>
      <c r="N5737" t="n">
        <v>0</v>
      </c>
      <c r="O5737" t="n">
        <v>0</v>
      </c>
      <c r="P5737" t="n">
        <v>0</v>
      </c>
      <c r="Q5737" t="n">
        <v>0</v>
      </c>
      <c r="R5737" s="2" t="inlineStr"/>
    </row>
    <row r="5738" ht="15" customHeight="1">
      <c r="A5738" t="inlineStr">
        <is>
          <t>A 60507-2020</t>
        </is>
      </c>
      <c r="B5738" s="1" t="n">
        <v>44153</v>
      </c>
      <c r="C5738" s="1" t="n">
        <v>45212</v>
      </c>
      <c r="D5738" t="inlineStr">
        <is>
          <t>VÄSTRA GÖTALANDS LÄN</t>
        </is>
      </c>
      <c r="E5738" t="inlineStr">
        <is>
          <t>MUNKEDAL</t>
        </is>
      </c>
      <c r="G5738" t="n">
        <v>12.4</v>
      </c>
      <c r="H5738" t="n">
        <v>0</v>
      </c>
      <c r="I5738" t="n">
        <v>0</v>
      </c>
      <c r="J5738" t="n">
        <v>0</v>
      </c>
      <c r="K5738" t="n">
        <v>0</v>
      </c>
      <c r="L5738" t="n">
        <v>0</v>
      </c>
      <c r="M5738" t="n">
        <v>0</v>
      </c>
      <c r="N5738" t="n">
        <v>0</v>
      </c>
      <c r="O5738" t="n">
        <v>0</v>
      </c>
      <c r="P5738" t="n">
        <v>0</v>
      </c>
      <c r="Q5738" t="n">
        <v>0</v>
      </c>
      <c r="R5738" s="2" t="inlineStr"/>
    </row>
    <row r="5739" ht="15" customHeight="1">
      <c r="A5739" t="inlineStr">
        <is>
          <t>A 60560-2020</t>
        </is>
      </c>
      <c r="B5739" s="1" t="n">
        <v>44153</v>
      </c>
      <c r="C5739" s="1" t="n">
        <v>45212</v>
      </c>
      <c r="D5739" t="inlineStr">
        <is>
          <t>VÄSTRA GÖTALANDS LÄN</t>
        </is>
      </c>
      <c r="E5739" t="inlineStr">
        <is>
          <t>FALKÖPING</t>
        </is>
      </c>
      <c r="G5739" t="n">
        <v>1.6</v>
      </c>
      <c r="H5739" t="n">
        <v>0</v>
      </c>
      <c r="I5739" t="n">
        <v>0</v>
      </c>
      <c r="J5739" t="n">
        <v>0</v>
      </c>
      <c r="K5739" t="n">
        <v>0</v>
      </c>
      <c r="L5739" t="n">
        <v>0</v>
      </c>
      <c r="M5739" t="n">
        <v>0</v>
      </c>
      <c r="N5739" t="n">
        <v>0</v>
      </c>
      <c r="O5739" t="n">
        <v>0</v>
      </c>
      <c r="P5739" t="n">
        <v>0</v>
      </c>
      <c r="Q5739" t="n">
        <v>0</v>
      </c>
      <c r="R5739" s="2" t="inlineStr"/>
    </row>
    <row r="5740" ht="15" customHeight="1">
      <c r="A5740" t="inlineStr">
        <is>
          <t>A 60620-2020</t>
        </is>
      </c>
      <c r="B5740" s="1" t="n">
        <v>44153</v>
      </c>
      <c r="C5740" s="1" t="n">
        <v>45212</v>
      </c>
      <c r="D5740" t="inlineStr">
        <is>
          <t>VÄSTRA GÖTALANDS LÄN</t>
        </is>
      </c>
      <c r="E5740" t="inlineStr">
        <is>
          <t>LERUM</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60653-2020</t>
        </is>
      </c>
      <c r="B5741" s="1" t="n">
        <v>44153</v>
      </c>
      <c r="C5741" s="1" t="n">
        <v>45212</v>
      </c>
      <c r="D5741" t="inlineStr">
        <is>
          <t>VÄSTRA GÖTALANDS LÄN</t>
        </is>
      </c>
      <c r="E5741" t="inlineStr">
        <is>
          <t>LERUM</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60690-2020</t>
        </is>
      </c>
      <c r="B5742" s="1" t="n">
        <v>44153</v>
      </c>
      <c r="C5742" s="1" t="n">
        <v>45212</v>
      </c>
      <c r="D5742" t="inlineStr">
        <is>
          <t>VÄSTRA GÖTALANDS LÄN</t>
        </is>
      </c>
      <c r="E5742" t="inlineStr">
        <is>
          <t>MARK</t>
        </is>
      </c>
      <c r="G5742" t="n">
        <v>4.6</v>
      </c>
      <c r="H5742" t="n">
        <v>0</v>
      </c>
      <c r="I5742" t="n">
        <v>0</v>
      </c>
      <c r="J5742" t="n">
        <v>0</v>
      </c>
      <c r="K5742" t="n">
        <v>0</v>
      </c>
      <c r="L5742" t="n">
        <v>0</v>
      </c>
      <c r="M5742" t="n">
        <v>0</v>
      </c>
      <c r="N5742" t="n">
        <v>0</v>
      </c>
      <c r="O5742" t="n">
        <v>0</v>
      </c>
      <c r="P5742" t="n">
        <v>0</v>
      </c>
      <c r="Q5742" t="n">
        <v>0</v>
      </c>
      <c r="R5742" s="2" t="inlineStr"/>
    </row>
    <row r="5743" ht="15" customHeight="1">
      <c r="A5743" t="inlineStr">
        <is>
          <t>A 60704-2020</t>
        </is>
      </c>
      <c r="B5743" s="1" t="n">
        <v>44153</v>
      </c>
      <c r="C5743" s="1" t="n">
        <v>45212</v>
      </c>
      <c r="D5743" t="inlineStr">
        <is>
          <t>VÄSTRA GÖTALANDS LÄN</t>
        </is>
      </c>
      <c r="E5743" t="inlineStr">
        <is>
          <t>LERUM</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60416-2020</t>
        </is>
      </c>
      <c r="B5744" s="1" t="n">
        <v>44153</v>
      </c>
      <c r="C5744" s="1" t="n">
        <v>45212</v>
      </c>
      <c r="D5744" t="inlineStr">
        <is>
          <t>VÄSTRA GÖTALANDS LÄN</t>
        </is>
      </c>
      <c r="E5744" t="inlineStr">
        <is>
          <t>MUNKEDAL</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60613-2020</t>
        </is>
      </c>
      <c r="B5745" s="1" t="n">
        <v>44153</v>
      </c>
      <c r="C5745" s="1" t="n">
        <v>45212</v>
      </c>
      <c r="D5745" t="inlineStr">
        <is>
          <t>VÄSTRA GÖTALANDS LÄN</t>
        </is>
      </c>
      <c r="E5745" t="inlineStr">
        <is>
          <t>LERUM</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60706-2020</t>
        </is>
      </c>
      <c r="B5746" s="1" t="n">
        <v>44153</v>
      </c>
      <c r="C5746" s="1" t="n">
        <v>45212</v>
      </c>
      <c r="D5746" t="inlineStr">
        <is>
          <t>VÄSTRA GÖTALANDS LÄN</t>
        </is>
      </c>
      <c r="E5746" t="inlineStr">
        <is>
          <t>LERUM</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60677-2020</t>
        </is>
      </c>
      <c r="B5747" s="1" t="n">
        <v>44153</v>
      </c>
      <c r="C5747" s="1" t="n">
        <v>45212</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60699-2020</t>
        </is>
      </c>
      <c r="B5748" s="1" t="n">
        <v>44153</v>
      </c>
      <c r="C5748" s="1" t="n">
        <v>45212</v>
      </c>
      <c r="D5748" t="inlineStr">
        <is>
          <t>VÄSTRA GÖTALANDS LÄN</t>
        </is>
      </c>
      <c r="E5748" t="inlineStr">
        <is>
          <t>LERUM</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60705-2020</t>
        </is>
      </c>
      <c r="B5749" s="1" t="n">
        <v>44153</v>
      </c>
      <c r="C5749" s="1" t="n">
        <v>45212</v>
      </c>
      <c r="D5749" t="inlineStr">
        <is>
          <t>VÄSTRA GÖTALANDS LÄN</t>
        </is>
      </c>
      <c r="E5749" t="inlineStr">
        <is>
          <t>LILLA EDET</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60741-2020</t>
        </is>
      </c>
      <c r="B5750" s="1" t="n">
        <v>44153</v>
      </c>
      <c r="C5750" s="1" t="n">
        <v>45212</v>
      </c>
      <c r="D5750" t="inlineStr">
        <is>
          <t>VÄSTRA GÖTALANDS LÄN</t>
        </is>
      </c>
      <c r="E5750" t="inlineStr">
        <is>
          <t>TRANEMO</t>
        </is>
      </c>
      <c r="G5750" t="n">
        <v>3.8</v>
      </c>
      <c r="H5750" t="n">
        <v>0</v>
      </c>
      <c r="I5750" t="n">
        <v>0</v>
      </c>
      <c r="J5750" t="n">
        <v>0</v>
      </c>
      <c r="K5750" t="n">
        <v>0</v>
      </c>
      <c r="L5750" t="n">
        <v>0</v>
      </c>
      <c r="M5750" t="n">
        <v>0</v>
      </c>
      <c r="N5750" t="n">
        <v>0</v>
      </c>
      <c r="O5750" t="n">
        <v>0</v>
      </c>
      <c r="P5750" t="n">
        <v>0</v>
      </c>
      <c r="Q5750" t="n">
        <v>0</v>
      </c>
      <c r="R5750" s="2" t="inlineStr"/>
    </row>
    <row r="5751" ht="15" customHeight="1">
      <c r="A5751" t="inlineStr">
        <is>
          <t>A 60782-2020</t>
        </is>
      </c>
      <c r="B5751" s="1" t="n">
        <v>44153</v>
      </c>
      <c r="C5751" s="1" t="n">
        <v>45212</v>
      </c>
      <c r="D5751" t="inlineStr">
        <is>
          <t>VÄSTRA GÖTALANDS LÄN</t>
        </is>
      </c>
      <c r="E5751" t="inlineStr">
        <is>
          <t>VARA</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60892-2020</t>
        </is>
      </c>
      <c r="B5752" s="1" t="n">
        <v>44153</v>
      </c>
      <c r="C5752" s="1" t="n">
        <v>45212</v>
      </c>
      <c r="D5752" t="inlineStr">
        <is>
          <t>VÄSTRA GÖTALANDS LÄN</t>
        </is>
      </c>
      <c r="E5752" t="inlineStr">
        <is>
          <t>STENUNGSUND</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60605-2020</t>
        </is>
      </c>
      <c r="B5753" s="1" t="n">
        <v>44153</v>
      </c>
      <c r="C5753" s="1" t="n">
        <v>45212</v>
      </c>
      <c r="D5753" t="inlineStr">
        <is>
          <t>VÄSTRA GÖTALANDS LÄN</t>
        </is>
      </c>
      <c r="E5753" t="inlineStr">
        <is>
          <t>BOLLEBYGD</t>
        </is>
      </c>
      <c r="G5753" t="n">
        <v>2.1</v>
      </c>
      <c r="H5753" t="n">
        <v>0</v>
      </c>
      <c r="I5753" t="n">
        <v>0</v>
      </c>
      <c r="J5753" t="n">
        <v>0</v>
      </c>
      <c r="K5753" t="n">
        <v>0</v>
      </c>
      <c r="L5753" t="n">
        <v>0</v>
      </c>
      <c r="M5753" t="n">
        <v>0</v>
      </c>
      <c r="N5753" t="n">
        <v>0</v>
      </c>
      <c r="O5753" t="n">
        <v>0</v>
      </c>
      <c r="P5753" t="n">
        <v>0</v>
      </c>
      <c r="Q5753" t="n">
        <v>0</v>
      </c>
      <c r="R5753" s="2" t="inlineStr"/>
    </row>
    <row r="5754" ht="15" customHeight="1">
      <c r="A5754" t="inlineStr">
        <is>
          <t>A 60627-2020</t>
        </is>
      </c>
      <c r="B5754" s="1" t="n">
        <v>44153</v>
      </c>
      <c r="C5754" s="1" t="n">
        <v>45212</v>
      </c>
      <c r="D5754" t="inlineStr">
        <is>
          <t>VÄSTRA GÖTALANDS LÄN</t>
        </is>
      </c>
      <c r="E5754" t="inlineStr">
        <is>
          <t>LERUM</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60668-2020</t>
        </is>
      </c>
      <c r="B5755" s="1" t="n">
        <v>44153</v>
      </c>
      <c r="C5755" s="1" t="n">
        <v>45212</v>
      </c>
      <c r="D5755" t="inlineStr">
        <is>
          <t>VÄSTRA GÖTALANDS LÄN</t>
        </is>
      </c>
      <c r="E5755" t="inlineStr">
        <is>
          <t>BORÅS</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60679-2020</t>
        </is>
      </c>
      <c r="B5756" s="1" t="n">
        <v>44153</v>
      </c>
      <c r="C5756" s="1" t="n">
        <v>45212</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60713-2020</t>
        </is>
      </c>
      <c r="B5757" s="1" t="n">
        <v>44153</v>
      </c>
      <c r="C5757" s="1" t="n">
        <v>45212</v>
      </c>
      <c r="D5757" t="inlineStr">
        <is>
          <t>VÄSTRA GÖTALANDS LÄN</t>
        </is>
      </c>
      <c r="E5757" t="inlineStr">
        <is>
          <t>LERUM</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60721-2020</t>
        </is>
      </c>
      <c r="B5758" s="1" t="n">
        <v>44153</v>
      </c>
      <c r="C5758" s="1" t="n">
        <v>45212</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60954-2020</t>
        </is>
      </c>
      <c r="B5759" s="1" t="n">
        <v>44154</v>
      </c>
      <c r="C5759" s="1" t="n">
        <v>45212</v>
      </c>
      <c r="D5759" t="inlineStr">
        <is>
          <t>VÄSTRA GÖTALANDS LÄN</t>
        </is>
      </c>
      <c r="E5759" t="inlineStr">
        <is>
          <t>UDDEVALLA</t>
        </is>
      </c>
      <c r="G5759" t="n">
        <v>0.8</v>
      </c>
      <c r="H5759" t="n">
        <v>0</v>
      </c>
      <c r="I5759" t="n">
        <v>0</v>
      </c>
      <c r="J5759" t="n">
        <v>0</v>
      </c>
      <c r="K5759" t="n">
        <v>0</v>
      </c>
      <c r="L5759" t="n">
        <v>0</v>
      </c>
      <c r="M5759" t="n">
        <v>0</v>
      </c>
      <c r="N5759" t="n">
        <v>0</v>
      </c>
      <c r="O5759" t="n">
        <v>0</v>
      </c>
      <c r="P5759" t="n">
        <v>0</v>
      </c>
      <c r="Q5759" t="n">
        <v>0</v>
      </c>
      <c r="R5759" s="2" t="inlineStr"/>
    </row>
    <row r="5760" ht="15" customHeight="1">
      <c r="A5760" t="inlineStr">
        <is>
          <t>A 60968-2020</t>
        </is>
      </c>
      <c r="B5760" s="1" t="n">
        <v>44154</v>
      </c>
      <c r="C5760" s="1" t="n">
        <v>45212</v>
      </c>
      <c r="D5760" t="inlineStr">
        <is>
          <t>VÄSTRA GÖTALANDS LÄN</t>
        </is>
      </c>
      <c r="E5760" t="inlineStr">
        <is>
          <t>SVENLJUNGA</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61070-2020</t>
        </is>
      </c>
      <c r="B5761" s="1" t="n">
        <v>44154</v>
      </c>
      <c r="C5761" s="1" t="n">
        <v>45212</v>
      </c>
      <c r="D5761" t="inlineStr">
        <is>
          <t>VÄSTRA GÖTALANDS LÄN</t>
        </is>
      </c>
      <c r="E5761" t="inlineStr">
        <is>
          <t>MARK</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60765-2020</t>
        </is>
      </c>
      <c r="B5762" s="1" t="n">
        <v>44154</v>
      </c>
      <c r="C5762" s="1" t="n">
        <v>45212</v>
      </c>
      <c r="D5762" t="inlineStr">
        <is>
          <t>VÄSTRA GÖTALANDS LÄN</t>
        </is>
      </c>
      <c r="E5762" t="inlineStr">
        <is>
          <t>TRANEMO</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60766-2020</t>
        </is>
      </c>
      <c r="B5763" s="1" t="n">
        <v>44154</v>
      </c>
      <c r="C5763" s="1" t="n">
        <v>45212</v>
      </c>
      <c r="D5763" t="inlineStr">
        <is>
          <t>VÄSTRA GÖTALANDS LÄN</t>
        </is>
      </c>
      <c r="E5763" t="inlineStr">
        <is>
          <t>TRANEMO</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60863-2020</t>
        </is>
      </c>
      <c r="B5764" s="1" t="n">
        <v>44154</v>
      </c>
      <c r="C5764" s="1" t="n">
        <v>45212</v>
      </c>
      <c r="D5764" t="inlineStr">
        <is>
          <t>VÄSTRA GÖTALANDS LÄN</t>
        </is>
      </c>
      <c r="E5764" t="inlineStr">
        <is>
          <t>ULRICEHAMN</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60991-2020</t>
        </is>
      </c>
      <c r="B5765" s="1" t="n">
        <v>44154</v>
      </c>
      <c r="C5765" s="1" t="n">
        <v>45212</v>
      </c>
      <c r="D5765" t="inlineStr">
        <is>
          <t>VÄSTRA GÖTALANDS LÄN</t>
        </is>
      </c>
      <c r="E5765" t="inlineStr">
        <is>
          <t>BOLLEBYGD</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61017-2020</t>
        </is>
      </c>
      <c r="B5766" s="1" t="n">
        <v>44154</v>
      </c>
      <c r="C5766" s="1" t="n">
        <v>45212</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61253-2020</t>
        </is>
      </c>
      <c r="B5767" s="1" t="n">
        <v>44155</v>
      </c>
      <c r="C5767" s="1" t="n">
        <v>45212</v>
      </c>
      <c r="D5767" t="inlineStr">
        <is>
          <t>VÄSTRA GÖTALANDS LÄN</t>
        </is>
      </c>
      <c r="E5767" t="inlineStr">
        <is>
          <t>FALKÖPING</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62257-2020</t>
        </is>
      </c>
      <c r="B5768" s="1" t="n">
        <v>44155</v>
      </c>
      <c r="C5768" s="1" t="n">
        <v>45212</v>
      </c>
      <c r="D5768" t="inlineStr">
        <is>
          <t>VÄSTRA GÖTALANDS LÄN</t>
        </is>
      </c>
      <c r="E5768" t="inlineStr">
        <is>
          <t>MUNKEDAL</t>
        </is>
      </c>
      <c r="F5768" t="inlineStr">
        <is>
          <t>Kommuner</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61306-2020</t>
        </is>
      </c>
      <c r="B5769" s="1" t="n">
        <v>44155</v>
      </c>
      <c r="C5769" s="1" t="n">
        <v>45212</v>
      </c>
      <c r="D5769" t="inlineStr">
        <is>
          <t>VÄSTRA GÖTALANDS LÄN</t>
        </is>
      </c>
      <c r="E5769" t="inlineStr">
        <is>
          <t>ORUST</t>
        </is>
      </c>
      <c r="G5769" t="n">
        <v>8.5</v>
      </c>
      <c r="H5769" t="n">
        <v>0</v>
      </c>
      <c r="I5769" t="n">
        <v>0</v>
      </c>
      <c r="J5769" t="n">
        <v>0</v>
      </c>
      <c r="K5769" t="n">
        <v>0</v>
      </c>
      <c r="L5769" t="n">
        <v>0</v>
      </c>
      <c r="M5769" t="n">
        <v>0</v>
      </c>
      <c r="N5769" t="n">
        <v>0</v>
      </c>
      <c r="O5769" t="n">
        <v>0</v>
      </c>
      <c r="P5769" t="n">
        <v>0</v>
      </c>
      <c r="Q5769" t="n">
        <v>0</v>
      </c>
      <c r="R5769" s="2" t="inlineStr"/>
    </row>
    <row r="5770" ht="15" customHeight="1">
      <c r="A5770" t="inlineStr">
        <is>
          <t>A 61357-2020</t>
        </is>
      </c>
      <c r="B5770" s="1" t="n">
        <v>44155</v>
      </c>
      <c r="C5770" s="1" t="n">
        <v>45212</v>
      </c>
      <c r="D5770" t="inlineStr">
        <is>
          <t>VÄSTRA GÖTALANDS LÄN</t>
        </is>
      </c>
      <c r="E5770" t="inlineStr">
        <is>
          <t>TÖREBODA</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61877-2020</t>
        </is>
      </c>
      <c r="B5771" s="1" t="n">
        <v>44155</v>
      </c>
      <c r="C5771" s="1" t="n">
        <v>45212</v>
      </c>
      <c r="D5771" t="inlineStr">
        <is>
          <t>VÄSTRA GÖTALANDS LÄN</t>
        </is>
      </c>
      <c r="E5771" t="inlineStr">
        <is>
          <t>BENGTSFORS</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61283-2020</t>
        </is>
      </c>
      <c r="B5772" s="1" t="n">
        <v>44155</v>
      </c>
      <c r="C5772" s="1" t="n">
        <v>45212</v>
      </c>
      <c r="D5772" t="inlineStr">
        <is>
          <t>VÄSTRA GÖTALANDS LÄN</t>
        </is>
      </c>
      <c r="E5772" t="inlineStr">
        <is>
          <t>HJO</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61175-2020</t>
        </is>
      </c>
      <c r="B5773" s="1" t="n">
        <v>44155</v>
      </c>
      <c r="C5773" s="1" t="n">
        <v>45212</v>
      </c>
      <c r="D5773" t="inlineStr">
        <is>
          <t>VÄSTRA GÖTALANDS LÄN</t>
        </is>
      </c>
      <c r="E5773" t="inlineStr">
        <is>
          <t>TRANEMO</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61314-2020</t>
        </is>
      </c>
      <c r="B5774" s="1" t="n">
        <v>44155</v>
      </c>
      <c r="C5774" s="1" t="n">
        <v>45212</v>
      </c>
      <c r="D5774" t="inlineStr">
        <is>
          <t>VÄSTRA GÖTALANDS LÄN</t>
        </is>
      </c>
      <c r="E5774" t="inlineStr">
        <is>
          <t>BOLLEBYGD</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62015-2020</t>
        </is>
      </c>
      <c r="B5775" s="1" t="n">
        <v>44157</v>
      </c>
      <c r="C5775" s="1" t="n">
        <v>45212</v>
      </c>
      <c r="D5775" t="inlineStr">
        <is>
          <t>VÄSTRA GÖTALANDS LÄN</t>
        </is>
      </c>
      <c r="E5775" t="inlineStr">
        <is>
          <t>VARA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61985-2020</t>
        </is>
      </c>
      <c r="B5776" s="1" t="n">
        <v>44157</v>
      </c>
      <c r="C5776" s="1" t="n">
        <v>45212</v>
      </c>
      <c r="D5776" t="inlineStr">
        <is>
          <t>VÄSTRA GÖTALANDS LÄN</t>
        </is>
      </c>
      <c r="E5776" t="inlineStr">
        <is>
          <t>FALKÖPING</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62034-2020</t>
        </is>
      </c>
      <c r="B5777" s="1" t="n">
        <v>44157</v>
      </c>
      <c r="C5777" s="1" t="n">
        <v>45212</v>
      </c>
      <c r="D5777" t="inlineStr">
        <is>
          <t>VÄSTRA GÖTALANDS LÄN</t>
        </is>
      </c>
      <c r="E5777" t="inlineStr">
        <is>
          <t>FALKÖPING</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61983-2020</t>
        </is>
      </c>
      <c r="B5778" s="1" t="n">
        <v>44157</v>
      </c>
      <c r="C5778" s="1" t="n">
        <v>45212</v>
      </c>
      <c r="D5778" t="inlineStr">
        <is>
          <t>VÄSTRA GÖTALANDS LÄN</t>
        </is>
      </c>
      <c r="E5778" t="inlineStr">
        <is>
          <t>FALKÖPING</t>
        </is>
      </c>
      <c r="G5778" t="n">
        <v>1.8</v>
      </c>
      <c r="H5778" t="n">
        <v>0</v>
      </c>
      <c r="I5778" t="n">
        <v>0</v>
      </c>
      <c r="J5778" t="n">
        <v>0</v>
      </c>
      <c r="K5778" t="n">
        <v>0</v>
      </c>
      <c r="L5778" t="n">
        <v>0</v>
      </c>
      <c r="M5778" t="n">
        <v>0</v>
      </c>
      <c r="N5778" t="n">
        <v>0</v>
      </c>
      <c r="O5778" t="n">
        <v>0</v>
      </c>
      <c r="P5778" t="n">
        <v>0</v>
      </c>
      <c r="Q5778" t="n">
        <v>0</v>
      </c>
      <c r="R5778" s="2" t="inlineStr"/>
    </row>
    <row r="5779" ht="15" customHeight="1">
      <c r="A5779" t="inlineStr">
        <is>
          <t>A 61778-2020</t>
        </is>
      </c>
      <c r="B5779" s="1" t="n">
        <v>44158</v>
      </c>
      <c r="C5779" s="1" t="n">
        <v>45212</v>
      </c>
      <c r="D5779" t="inlineStr">
        <is>
          <t>VÄSTRA GÖTALANDS LÄN</t>
        </is>
      </c>
      <c r="E5779" t="inlineStr">
        <is>
          <t>TIBRO</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61780-2020</t>
        </is>
      </c>
      <c r="B5780" s="1" t="n">
        <v>44158</v>
      </c>
      <c r="C5780" s="1" t="n">
        <v>45212</v>
      </c>
      <c r="D5780" t="inlineStr">
        <is>
          <t>VÄSTRA GÖTALANDS LÄN</t>
        </is>
      </c>
      <c r="E5780" t="inlineStr">
        <is>
          <t>TRANEMO</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61639-2020</t>
        </is>
      </c>
      <c r="B5781" s="1" t="n">
        <v>44158</v>
      </c>
      <c r="C5781" s="1" t="n">
        <v>45212</v>
      </c>
      <c r="D5781" t="inlineStr">
        <is>
          <t>VÄSTRA GÖTALANDS LÄN</t>
        </is>
      </c>
      <c r="E5781" t="inlineStr">
        <is>
          <t>MARK</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61739-2020</t>
        </is>
      </c>
      <c r="B5782" s="1" t="n">
        <v>44158</v>
      </c>
      <c r="C5782" s="1" t="n">
        <v>45212</v>
      </c>
      <c r="D5782" t="inlineStr">
        <is>
          <t>VÄSTRA GÖTALANDS LÄN</t>
        </is>
      </c>
      <c r="E5782" t="inlineStr">
        <is>
          <t>ÅMÅL</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62104-2020</t>
        </is>
      </c>
      <c r="B5783" s="1" t="n">
        <v>44159</v>
      </c>
      <c r="C5783" s="1" t="n">
        <v>45212</v>
      </c>
      <c r="D5783" t="inlineStr">
        <is>
          <t>VÄSTRA GÖTALANDS LÄN</t>
        </is>
      </c>
      <c r="E5783" t="inlineStr">
        <is>
          <t>MARK</t>
        </is>
      </c>
      <c r="F5783" t="inlineStr">
        <is>
          <t>Kommuner</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62010-2020</t>
        </is>
      </c>
      <c r="B5784" s="1" t="n">
        <v>44159</v>
      </c>
      <c r="C5784" s="1" t="n">
        <v>45212</v>
      </c>
      <c r="D5784" t="inlineStr">
        <is>
          <t>VÄSTRA GÖTALANDS LÄN</t>
        </is>
      </c>
      <c r="E5784" t="inlineStr">
        <is>
          <t>TRANEMO</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62176-2020</t>
        </is>
      </c>
      <c r="B5785" s="1" t="n">
        <v>44159</v>
      </c>
      <c r="C5785" s="1" t="n">
        <v>45212</v>
      </c>
      <c r="D5785" t="inlineStr">
        <is>
          <t>VÄSTRA GÖTALANDS LÄN</t>
        </is>
      </c>
      <c r="E5785" t="inlineStr">
        <is>
          <t>GULLSPÅNG</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62099-2020</t>
        </is>
      </c>
      <c r="B5786" s="1" t="n">
        <v>44159</v>
      </c>
      <c r="C5786" s="1" t="n">
        <v>45212</v>
      </c>
      <c r="D5786" t="inlineStr">
        <is>
          <t>VÄSTRA GÖTALANDS LÄN</t>
        </is>
      </c>
      <c r="E5786" t="inlineStr">
        <is>
          <t>MARK</t>
        </is>
      </c>
      <c r="G5786" t="n">
        <v>7.1</v>
      </c>
      <c r="H5786" t="n">
        <v>0</v>
      </c>
      <c r="I5786" t="n">
        <v>0</v>
      </c>
      <c r="J5786" t="n">
        <v>0</v>
      </c>
      <c r="K5786" t="n">
        <v>0</v>
      </c>
      <c r="L5786" t="n">
        <v>0</v>
      </c>
      <c r="M5786" t="n">
        <v>0</v>
      </c>
      <c r="N5786" t="n">
        <v>0</v>
      </c>
      <c r="O5786" t="n">
        <v>0</v>
      </c>
      <c r="P5786" t="n">
        <v>0</v>
      </c>
      <c r="Q5786" t="n">
        <v>0</v>
      </c>
      <c r="R5786" s="2" t="inlineStr"/>
    </row>
    <row r="5787" ht="15" customHeight="1">
      <c r="A5787" t="inlineStr">
        <is>
          <t>A 62126-2020</t>
        </is>
      </c>
      <c r="B5787" s="1" t="n">
        <v>44159</v>
      </c>
      <c r="C5787" s="1" t="n">
        <v>45212</v>
      </c>
      <c r="D5787" t="inlineStr">
        <is>
          <t>VÄSTRA GÖTALANDS LÄN</t>
        </is>
      </c>
      <c r="E5787" t="inlineStr">
        <is>
          <t>SVENLJUNGA</t>
        </is>
      </c>
      <c r="G5787" t="n">
        <v>2.2</v>
      </c>
      <c r="H5787" t="n">
        <v>0</v>
      </c>
      <c r="I5787" t="n">
        <v>0</v>
      </c>
      <c r="J5787" t="n">
        <v>0</v>
      </c>
      <c r="K5787" t="n">
        <v>0</v>
      </c>
      <c r="L5787" t="n">
        <v>0</v>
      </c>
      <c r="M5787" t="n">
        <v>0</v>
      </c>
      <c r="N5787" t="n">
        <v>0</v>
      </c>
      <c r="O5787" t="n">
        <v>0</v>
      </c>
      <c r="P5787" t="n">
        <v>0</v>
      </c>
      <c r="Q5787" t="n">
        <v>0</v>
      </c>
      <c r="R5787" s="2" t="inlineStr"/>
    </row>
    <row r="5788" ht="15" customHeight="1">
      <c r="A5788" t="inlineStr">
        <is>
          <t>A 62144-2020</t>
        </is>
      </c>
      <c r="B5788" s="1" t="n">
        <v>44159</v>
      </c>
      <c r="C5788" s="1" t="n">
        <v>45212</v>
      </c>
      <c r="D5788" t="inlineStr">
        <is>
          <t>VÄSTRA GÖTALANDS LÄN</t>
        </is>
      </c>
      <c r="E5788" t="inlineStr">
        <is>
          <t>SVENLJUNGA</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61850-2020</t>
        </is>
      </c>
      <c r="B5789" s="1" t="n">
        <v>44159</v>
      </c>
      <c r="C5789" s="1" t="n">
        <v>45212</v>
      </c>
      <c r="D5789" t="inlineStr">
        <is>
          <t>VÄSTRA GÖTALANDS LÄN</t>
        </is>
      </c>
      <c r="E5789" t="inlineStr">
        <is>
          <t>TÖREBODA</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61883-2020</t>
        </is>
      </c>
      <c r="B5790" s="1" t="n">
        <v>44159</v>
      </c>
      <c r="C5790" s="1" t="n">
        <v>45212</v>
      </c>
      <c r="D5790" t="inlineStr">
        <is>
          <t>VÄSTRA GÖTALANDS LÄN</t>
        </is>
      </c>
      <c r="E5790" t="inlineStr">
        <is>
          <t>BORÅS</t>
        </is>
      </c>
      <c r="G5790" t="n">
        <v>1.8</v>
      </c>
      <c r="H5790" t="n">
        <v>0</v>
      </c>
      <c r="I5790" t="n">
        <v>0</v>
      </c>
      <c r="J5790" t="n">
        <v>0</v>
      </c>
      <c r="K5790" t="n">
        <v>0</v>
      </c>
      <c r="L5790" t="n">
        <v>0</v>
      </c>
      <c r="M5790" t="n">
        <v>0</v>
      </c>
      <c r="N5790" t="n">
        <v>0</v>
      </c>
      <c r="O5790" t="n">
        <v>0</v>
      </c>
      <c r="P5790" t="n">
        <v>0</v>
      </c>
      <c r="Q5790" t="n">
        <v>0</v>
      </c>
      <c r="R5790" s="2" t="inlineStr"/>
    </row>
    <row r="5791" ht="15" customHeight="1">
      <c r="A5791" t="inlineStr">
        <is>
          <t>A 62101-2020</t>
        </is>
      </c>
      <c r="B5791" s="1" t="n">
        <v>44159</v>
      </c>
      <c r="C5791" s="1" t="n">
        <v>45212</v>
      </c>
      <c r="D5791" t="inlineStr">
        <is>
          <t>VÄSTRA GÖTALANDS LÄN</t>
        </is>
      </c>
      <c r="E5791" t="inlineStr">
        <is>
          <t>GRÄSTORP</t>
        </is>
      </c>
      <c r="F5791" t="inlineStr">
        <is>
          <t>Kyrkan</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62182-2020</t>
        </is>
      </c>
      <c r="B5792" s="1" t="n">
        <v>44159</v>
      </c>
      <c r="C5792" s="1" t="n">
        <v>45212</v>
      </c>
      <c r="D5792" t="inlineStr">
        <is>
          <t>VÄSTRA GÖTALANDS LÄN</t>
        </is>
      </c>
      <c r="E5792" t="inlineStr">
        <is>
          <t>VÄNERSBORG</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62263-2020</t>
        </is>
      </c>
      <c r="B5793" s="1" t="n">
        <v>44159</v>
      </c>
      <c r="C5793" s="1" t="n">
        <v>45212</v>
      </c>
      <c r="D5793" t="inlineStr">
        <is>
          <t>VÄSTRA GÖTALANDS LÄN</t>
        </is>
      </c>
      <c r="E5793" t="inlineStr">
        <is>
          <t>LYSEKIL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62313-2020</t>
        </is>
      </c>
      <c r="B5794" s="1" t="n">
        <v>44160</v>
      </c>
      <c r="C5794" s="1" t="n">
        <v>45212</v>
      </c>
      <c r="D5794" t="inlineStr">
        <is>
          <t>VÄSTRA GÖTALANDS LÄN</t>
        </is>
      </c>
      <c r="E5794" t="inlineStr">
        <is>
          <t>MUNKEDAL</t>
        </is>
      </c>
      <c r="G5794" t="n">
        <v>5.9</v>
      </c>
      <c r="H5794" t="n">
        <v>0</v>
      </c>
      <c r="I5794" t="n">
        <v>0</v>
      </c>
      <c r="J5794" t="n">
        <v>0</v>
      </c>
      <c r="K5794" t="n">
        <v>0</v>
      </c>
      <c r="L5794" t="n">
        <v>0</v>
      </c>
      <c r="M5794" t="n">
        <v>0</v>
      </c>
      <c r="N5794" t="n">
        <v>0</v>
      </c>
      <c r="O5794" t="n">
        <v>0</v>
      </c>
      <c r="P5794" t="n">
        <v>0</v>
      </c>
      <c r="Q5794" t="n">
        <v>0</v>
      </c>
      <c r="R5794" s="2" t="inlineStr"/>
    </row>
    <row r="5795" ht="15" customHeight="1">
      <c r="A5795" t="inlineStr">
        <is>
          <t>A 62530-2020</t>
        </is>
      </c>
      <c r="B5795" s="1" t="n">
        <v>44160</v>
      </c>
      <c r="C5795" s="1" t="n">
        <v>45212</v>
      </c>
      <c r="D5795" t="inlineStr">
        <is>
          <t>VÄSTRA GÖTALANDS LÄN</t>
        </is>
      </c>
      <c r="E5795" t="inlineStr">
        <is>
          <t>BORÅS</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62319-2020</t>
        </is>
      </c>
      <c r="B5796" s="1" t="n">
        <v>44160</v>
      </c>
      <c r="C5796" s="1" t="n">
        <v>45212</v>
      </c>
      <c r="D5796" t="inlineStr">
        <is>
          <t>VÄSTRA GÖTALANDS LÄN</t>
        </is>
      </c>
      <c r="E5796" t="inlineStr">
        <is>
          <t>ULRICEHAMN</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62345-2020</t>
        </is>
      </c>
      <c r="B5797" s="1" t="n">
        <v>44160</v>
      </c>
      <c r="C5797" s="1" t="n">
        <v>45212</v>
      </c>
      <c r="D5797" t="inlineStr">
        <is>
          <t>VÄSTRA GÖTALANDS LÄN</t>
        </is>
      </c>
      <c r="E5797" t="inlineStr">
        <is>
          <t>GULLSPÅNG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62265-2020</t>
        </is>
      </c>
      <c r="B5798" s="1" t="n">
        <v>44160</v>
      </c>
      <c r="C5798" s="1" t="n">
        <v>45212</v>
      </c>
      <c r="D5798" t="inlineStr">
        <is>
          <t>VÄSTRA GÖTALANDS LÄN</t>
        </is>
      </c>
      <c r="E5798" t="inlineStr">
        <is>
          <t>STENUNGSUND</t>
        </is>
      </c>
      <c r="F5798" t="inlineStr">
        <is>
          <t>Kyrkan</t>
        </is>
      </c>
      <c r="G5798" t="n">
        <v>3.2</v>
      </c>
      <c r="H5798" t="n">
        <v>0</v>
      </c>
      <c r="I5798" t="n">
        <v>0</v>
      </c>
      <c r="J5798" t="n">
        <v>0</v>
      </c>
      <c r="K5798" t="n">
        <v>0</v>
      </c>
      <c r="L5798" t="n">
        <v>0</v>
      </c>
      <c r="M5798" t="n">
        <v>0</v>
      </c>
      <c r="N5798" t="n">
        <v>0</v>
      </c>
      <c r="O5798" t="n">
        <v>0</v>
      </c>
      <c r="P5798" t="n">
        <v>0</v>
      </c>
      <c r="Q5798" t="n">
        <v>0</v>
      </c>
      <c r="R5798" s="2" t="inlineStr"/>
    </row>
    <row r="5799" ht="15" customHeight="1">
      <c r="A5799" t="inlineStr">
        <is>
          <t>A 62315-2020</t>
        </is>
      </c>
      <c r="B5799" s="1" t="n">
        <v>44160</v>
      </c>
      <c r="C5799" s="1" t="n">
        <v>45212</v>
      </c>
      <c r="D5799" t="inlineStr">
        <is>
          <t>VÄSTRA GÖTALANDS LÄN</t>
        </is>
      </c>
      <c r="E5799" t="inlineStr">
        <is>
          <t>ULRICEHAMN</t>
        </is>
      </c>
      <c r="G5799" t="n">
        <v>1.9</v>
      </c>
      <c r="H5799" t="n">
        <v>0</v>
      </c>
      <c r="I5799" t="n">
        <v>0</v>
      </c>
      <c r="J5799" t="n">
        <v>0</v>
      </c>
      <c r="K5799" t="n">
        <v>0</v>
      </c>
      <c r="L5799" t="n">
        <v>0</v>
      </c>
      <c r="M5799" t="n">
        <v>0</v>
      </c>
      <c r="N5799" t="n">
        <v>0</v>
      </c>
      <c r="O5799" t="n">
        <v>0</v>
      </c>
      <c r="P5799" t="n">
        <v>0</v>
      </c>
      <c r="Q5799" t="n">
        <v>0</v>
      </c>
      <c r="R5799" s="2" t="inlineStr"/>
    </row>
    <row r="5800" ht="15" customHeight="1">
      <c r="A5800" t="inlineStr">
        <is>
          <t>A 62409-2020</t>
        </is>
      </c>
      <c r="B5800" s="1" t="n">
        <v>44160</v>
      </c>
      <c r="C5800" s="1" t="n">
        <v>45212</v>
      </c>
      <c r="D5800" t="inlineStr">
        <is>
          <t>VÄSTRA GÖTALANDS LÄN</t>
        </is>
      </c>
      <c r="E5800" t="inlineStr">
        <is>
          <t>LYSEKIL</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62646-2020</t>
        </is>
      </c>
      <c r="B5801" s="1" t="n">
        <v>44161</v>
      </c>
      <c r="C5801" s="1" t="n">
        <v>45212</v>
      </c>
      <c r="D5801" t="inlineStr">
        <is>
          <t>VÄSTRA GÖTALANDS LÄN</t>
        </is>
      </c>
      <c r="E5801" t="inlineStr">
        <is>
          <t>ULRICEHAMN</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62744-2020</t>
        </is>
      </c>
      <c r="B5802" s="1" t="n">
        <v>44161</v>
      </c>
      <c r="C5802" s="1" t="n">
        <v>45212</v>
      </c>
      <c r="D5802" t="inlineStr">
        <is>
          <t>VÄSTRA GÖTALANDS LÄN</t>
        </is>
      </c>
      <c r="E5802" t="inlineStr">
        <is>
          <t>ULRICEHAMN</t>
        </is>
      </c>
      <c r="F5802" t="inlineStr">
        <is>
          <t>Kommuner</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62950-2020</t>
        </is>
      </c>
      <c r="B5803" s="1" t="n">
        <v>44161</v>
      </c>
      <c r="C5803" s="1" t="n">
        <v>45212</v>
      </c>
      <c r="D5803" t="inlineStr">
        <is>
          <t>VÄSTRA GÖTALANDS LÄN</t>
        </is>
      </c>
      <c r="E5803" t="inlineStr">
        <is>
          <t>MARIESTAD</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63459-2020</t>
        </is>
      </c>
      <c r="B5804" s="1" t="n">
        <v>44161</v>
      </c>
      <c r="C5804" s="1" t="n">
        <v>45212</v>
      </c>
      <c r="D5804" t="inlineStr">
        <is>
          <t>VÄSTRA GÖTALANDS LÄN</t>
        </is>
      </c>
      <c r="E5804" t="inlineStr">
        <is>
          <t>GULLSPÅNG</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62743-2020</t>
        </is>
      </c>
      <c r="B5805" s="1" t="n">
        <v>44161</v>
      </c>
      <c r="C5805" s="1" t="n">
        <v>45212</v>
      </c>
      <c r="D5805" t="inlineStr">
        <is>
          <t>VÄSTRA GÖTALANDS LÄN</t>
        </is>
      </c>
      <c r="E5805" t="inlineStr">
        <is>
          <t>ULRICEHAMN</t>
        </is>
      </c>
      <c r="F5805" t="inlineStr">
        <is>
          <t>Kommuner</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62683-2020</t>
        </is>
      </c>
      <c r="B5806" s="1" t="n">
        <v>44161</v>
      </c>
      <c r="C5806" s="1" t="n">
        <v>45212</v>
      </c>
      <c r="D5806" t="inlineStr">
        <is>
          <t>VÄSTRA GÖTALANDS LÄN</t>
        </is>
      </c>
      <c r="E5806" t="inlineStr">
        <is>
          <t>TANUM</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62712-2020</t>
        </is>
      </c>
      <c r="B5807" s="1" t="n">
        <v>44161</v>
      </c>
      <c r="C5807" s="1" t="n">
        <v>45212</v>
      </c>
      <c r="D5807" t="inlineStr">
        <is>
          <t>VÄSTRA GÖTALANDS LÄN</t>
        </is>
      </c>
      <c r="E5807" t="inlineStr">
        <is>
          <t>MUNKEDAL</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63460-2020</t>
        </is>
      </c>
      <c r="B5808" s="1" t="n">
        <v>44161</v>
      </c>
      <c r="C5808" s="1" t="n">
        <v>45212</v>
      </c>
      <c r="D5808" t="inlineStr">
        <is>
          <t>VÄSTRA GÖTALANDS LÄN</t>
        </is>
      </c>
      <c r="E5808" t="inlineStr">
        <is>
          <t>ÅMÅL</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63643-2020</t>
        </is>
      </c>
      <c r="B5809" s="1" t="n">
        <v>44161</v>
      </c>
      <c r="C5809" s="1" t="n">
        <v>45212</v>
      </c>
      <c r="D5809" t="inlineStr">
        <is>
          <t>VÄSTRA GÖTALANDS LÄN</t>
        </is>
      </c>
      <c r="E5809" t="inlineStr">
        <is>
          <t>ULRICEHAMN</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62620-2020</t>
        </is>
      </c>
      <c r="B5810" s="1" t="n">
        <v>44161</v>
      </c>
      <c r="C5810" s="1" t="n">
        <v>45212</v>
      </c>
      <c r="D5810" t="inlineStr">
        <is>
          <t>VÄSTRA GÖTALANDS LÄN</t>
        </is>
      </c>
      <c r="E5810" t="inlineStr">
        <is>
          <t>TRANEMO</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62643-2020</t>
        </is>
      </c>
      <c r="B5811" s="1" t="n">
        <v>44161</v>
      </c>
      <c r="C5811" s="1" t="n">
        <v>45212</v>
      </c>
      <c r="D5811" t="inlineStr">
        <is>
          <t>VÄSTRA GÖTALANDS LÄN</t>
        </is>
      </c>
      <c r="E5811" t="inlineStr">
        <is>
          <t>UDDEVALLA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62746-2020</t>
        </is>
      </c>
      <c r="B5812" s="1" t="n">
        <v>44161</v>
      </c>
      <c r="C5812" s="1" t="n">
        <v>45212</v>
      </c>
      <c r="D5812" t="inlineStr">
        <is>
          <t>VÄSTRA GÖTALANDS LÄN</t>
        </is>
      </c>
      <c r="E5812" t="inlineStr">
        <is>
          <t>ULRICEHAMN</t>
        </is>
      </c>
      <c r="F5812" t="inlineStr">
        <is>
          <t>Kommuner</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62851-2020</t>
        </is>
      </c>
      <c r="B5813" s="1" t="n">
        <v>44161</v>
      </c>
      <c r="C5813" s="1" t="n">
        <v>45212</v>
      </c>
      <c r="D5813" t="inlineStr">
        <is>
          <t>VÄSTRA GÖTALANDS LÄN</t>
        </is>
      </c>
      <c r="E5813" t="inlineStr">
        <is>
          <t>BENGTSFORS</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63650-2020</t>
        </is>
      </c>
      <c r="B5814" s="1" t="n">
        <v>44161</v>
      </c>
      <c r="C5814" s="1" t="n">
        <v>45212</v>
      </c>
      <c r="D5814" t="inlineStr">
        <is>
          <t>VÄSTRA GÖTALANDS LÄN</t>
        </is>
      </c>
      <c r="E5814" t="inlineStr">
        <is>
          <t>ULRICEHAMN</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62919-2020</t>
        </is>
      </c>
      <c r="B5815" s="1" t="n">
        <v>44162</v>
      </c>
      <c r="C5815" s="1" t="n">
        <v>45212</v>
      </c>
      <c r="D5815" t="inlineStr">
        <is>
          <t>VÄSTRA GÖTALANDS LÄN</t>
        </is>
      </c>
      <c r="E5815" t="inlineStr">
        <is>
          <t>LILLA EDET</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63027-2020</t>
        </is>
      </c>
      <c r="B5816" s="1" t="n">
        <v>44162</v>
      </c>
      <c r="C5816" s="1" t="n">
        <v>45212</v>
      </c>
      <c r="D5816" t="inlineStr">
        <is>
          <t>VÄSTRA GÖTALANDS LÄN</t>
        </is>
      </c>
      <c r="E5816" t="inlineStr">
        <is>
          <t>FALKÖPING</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62910-2020</t>
        </is>
      </c>
      <c r="B5817" s="1" t="n">
        <v>44162</v>
      </c>
      <c r="C5817" s="1" t="n">
        <v>45212</v>
      </c>
      <c r="D5817" t="inlineStr">
        <is>
          <t>VÄSTRA GÖTALANDS LÄN</t>
        </is>
      </c>
      <c r="E5817" t="inlineStr">
        <is>
          <t>STENUNGSUND</t>
        </is>
      </c>
      <c r="G5817" t="n">
        <v>6.8</v>
      </c>
      <c r="H5817" t="n">
        <v>0</v>
      </c>
      <c r="I5817" t="n">
        <v>0</v>
      </c>
      <c r="J5817" t="n">
        <v>0</v>
      </c>
      <c r="K5817" t="n">
        <v>0</v>
      </c>
      <c r="L5817" t="n">
        <v>0</v>
      </c>
      <c r="M5817" t="n">
        <v>0</v>
      </c>
      <c r="N5817" t="n">
        <v>0</v>
      </c>
      <c r="O5817" t="n">
        <v>0</v>
      </c>
      <c r="P5817" t="n">
        <v>0</v>
      </c>
      <c r="Q5817" t="n">
        <v>0</v>
      </c>
      <c r="R5817" s="2" t="inlineStr"/>
    </row>
    <row r="5818" ht="15" customHeight="1">
      <c r="A5818" t="inlineStr">
        <is>
          <t>A 63065-2020</t>
        </is>
      </c>
      <c r="B5818" s="1" t="n">
        <v>44162</v>
      </c>
      <c r="C5818" s="1" t="n">
        <v>45212</v>
      </c>
      <c r="D5818" t="inlineStr">
        <is>
          <t>VÄSTRA GÖTALANDS LÄN</t>
        </is>
      </c>
      <c r="E5818" t="inlineStr">
        <is>
          <t>VARA</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62896-2020</t>
        </is>
      </c>
      <c r="B5819" s="1" t="n">
        <v>44162</v>
      </c>
      <c r="C5819" s="1" t="n">
        <v>45212</v>
      </c>
      <c r="D5819" t="inlineStr">
        <is>
          <t>VÄSTRA GÖTALANDS LÄN</t>
        </is>
      </c>
      <c r="E5819" t="inlineStr">
        <is>
          <t>SVENLJUNGA</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63025-2020</t>
        </is>
      </c>
      <c r="B5820" s="1" t="n">
        <v>44162</v>
      </c>
      <c r="C5820" s="1" t="n">
        <v>45212</v>
      </c>
      <c r="D5820" t="inlineStr">
        <is>
          <t>VÄSTRA GÖTALANDS LÄN</t>
        </is>
      </c>
      <c r="E5820" t="inlineStr">
        <is>
          <t>FALKÖPING</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63061-2020</t>
        </is>
      </c>
      <c r="B5821" s="1" t="n">
        <v>44162</v>
      </c>
      <c r="C5821" s="1" t="n">
        <v>45212</v>
      </c>
      <c r="D5821" t="inlineStr">
        <is>
          <t>VÄSTRA GÖTALANDS LÄN</t>
        </is>
      </c>
      <c r="E5821" t="inlineStr">
        <is>
          <t>VARA</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63118-2020</t>
        </is>
      </c>
      <c r="B5822" s="1" t="n">
        <v>44162</v>
      </c>
      <c r="C5822" s="1" t="n">
        <v>45212</v>
      </c>
      <c r="D5822" t="inlineStr">
        <is>
          <t>VÄSTRA GÖTALANDS LÄN</t>
        </is>
      </c>
      <c r="E5822" t="inlineStr">
        <is>
          <t>ALINGSÅS</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63807-2020</t>
        </is>
      </c>
      <c r="B5823" s="1" t="n">
        <v>44164</v>
      </c>
      <c r="C5823" s="1" t="n">
        <v>45212</v>
      </c>
      <c r="D5823" t="inlineStr">
        <is>
          <t>VÄSTRA GÖTALANDS LÄN</t>
        </is>
      </c>
      <c r="E5823" t="inlineStr">
        <is>
          <t>LYSEKIL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63245-2020</t>
        </is>
      </c>
      <c r="B5824" s="1" t="n">
        <v>44164</v>
      </c>
      <c r="C5824" s="1" t="n">
        <v>45212</v>
      </c>
      <c r="D5824" t="inlineStr">
        <is>
          <t>VÄSTRA GÖTALANDS LÄN</t>
        </is>
      </c>
      <c r="E5824" t="inlineStr">
        <is>
          <t>VÄNERSBORG</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63268-2020</t>
        </is>
      </c>
      <c r="B5825" s="1" t="n">
        <v>44164</v>
      </c>
      <c r="C5825" s="1" t="n">
        <v>45212</v>
      </c>
      <c r="D5825" t="inlineStr">
        <is>
          <t>VÄSTRA GÖTALANDS LÄN</t>
        </is>
      </c>
      <c r="E5825" t="inlineStr">
        <is>
          <t>ULRICEHAMN</t>
        </is>
      </c>
      <c r="G5825" t="n">
        <v>2.3</v>
      </c>
      <c r="H5825" t="n">
        <v>0</v>
      </c>
      <c r="I5825" t="n">
        <v>0</v>
      </c>
      <c r="J5825" t="n">
        <v>0</v>
      </c>
      <c r="K5825" t="n">
        <v>0</v>
      </c>
      <c r="L5825" t="n">
        <v>0</v>
      </c>
      <c r="M5825" t="n">
        <v>0</v>
      </c>
      <c r="N5825" t="n">
        <v>0</v>
      </c>
      <c r="O5825" t="n">
        <v>0</v>
      </c>
      <c r="P5825" t="n">
        <v>0</v>
      </c>
      <c r="Q5825" t="n">
        <v>0</v>
      </c>
      <c r="R5825" s="2" t="inlineStr"/>
    </row>
    <row r="5826" ht="15" customHeight="1">
      <c r="A5826" t="inlineStr">
        <is>
          <t>A 63823-2020</t>
        </is>
      </c>
      <c r="B5826" s="1" t="n">
        <v>44164</v>
      </c>
      <c r="C5826" s="1" t="n">
        <v>45212</v>
      </c>
      <c r="D5826" t="inlineStr">
        <is>
          <t>VÄSTRA GÖTALANDS LÄN</t>
        </is>
      </c>
      <c r="E5826" t="inlineStr">
        <is>
          <t>LYSEKIL</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63280-2020</t>
        </is>
      </c>
      <c r="B5827" s="1" t="n">
        <v>44165</v>
      </c>
      <c r="C5827" s="1" t="n">
        <v>45212</v>
      </c>
      <c r="D5827" t="inlineStr">
        <is>
          <t>VÄSTRA GÖTALANDS LÄN</t>
        </is>
      </c>
      <c r="E5827" t="inlineStr">
        <is>
          <t>DALS-ED</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63569-2020</t>
        </is>
      </c>
      <c r="B5828" s="1" t="n">
        <v>44165</v>
      </c>
      <c r="C5828" s="1" t="n">
        <v>45212</v>
      </c>
      <c r="D5828" t="inlineStr">
        <is>
          <t>VÄSTRA GÖTALANDS LÄN</t>
        </is>
      </c>
      <c r="E5828" t="inlineStr">
        <is>
          <t>BENGTSFORS</t>
        </is>
      </c>
      <c r="G5828" t="n">
        <v>6.2</v>
      </c>
      <c r="H5828" t="n">
        <v>0</v>
      </c>
      <c r="I5828" t="n">
        <v>0</v>
      </c>
      <c r="J5828" t="n">
        <v>0</v>
      </c>
      <c r="K5828" t="n">
        <v>0</v>
      </c>
      <c r="L5828" t="n">
        <v>0</v>
      </c>
      <c r="M5828" t="n">
        <v>0</v>
      </c>
      <c r="N5828" t="n">
        <v>0</v>
      </c>
      <c r="O5828" t="n">
        <v>0</v>
      </c>
      <c r="P5828" t="n">
        <v>0</v>
      </c>
      <c r="Q5828" t="n">
        <v>0</v>
      </c>
      <c r="R5828" s="2" t="inlineStr"/>
    </row>
    <row r="5829" ht="15" customHeight="1">
      <c r="A5829" t="inlineStr">
        <is>
          <t>A 63630-2020</t>
        </is>
      </c>
      <c r="B5829" s="1" t="n">
        <v>44165</v>
      </c>
      <c r="C5829" s="1" t="n">
        <v>45212</v>
      </c>
      <c r="D5829" t="inlineStr">
        <is>
          <t>VÄSTRA GÖTALANDS LÄN</t>
        </is>
      </c>
      <c r="E5829" t="inlineStr">
        <is>
          <t>TRANEMO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63891-2020</t>
        </is>
      </c>
      <c r="B5830" s="1" t="n">
        <v>44165</v>
      </c>
      <c r="C5830" s="1" t="n">
        <v>45212</v>
      </c>
      <c r="D5830" t="inlineStr">
        <is>
          <t>VÄSTRA GÖTALANDS LÄN</t>
        </is>
      </c>
      <c r="E5830" t="inlineStr">
        <is>
          <t>MARIESTAD</t>
        </is>
      </c>
      <c r="G5830" t="n">
        <v>4.7</v>
      </c>
      <c r="H5830" t="n">
        <v>0</v>
      </c>
      <c r="I5830" t="n">
        <v>0</v>
      </c>
      <c r="J5830" t="n">
        <v>0</v>
      </c>
      <c r="K5830" t="n">
        <v>0</v>
      </c>
      <c r="L5830" t="n">
        <v>0</v>
      </c>
      <c r="M5830" t="n">
        <v>0</v>
      </c>
      <c r="N5830" t="n">
        <v>0</v>
      </c>
      <c r="O5830" t="n">
        <v>0</v>
      </c>
      <c r="P5830" t="n">
        <v>0</v>
      </c>
      <c r="Q5830" t="n">
        <v>0</v>
      </c>
      <c r="R5830" s="2" t="inlineStr"/>
    </row>
    <row r="5831" ht="15" customHeight="1">
      <c r="A5831" t="inlineStr">
        <is>
          <t>A 63959-2020</t>
        </is>
      </c>
      <c r="B5831" s="1" t="n">
        <v>44165</v>
      </c>
      <c r="C5831" s="1" t="n">
        <v>45212</v>
      </c>
      <c r="D5831" t="inlineStr">
        <is>
          <t>VÄSTRA GÖTALANDS LÄN</t>
        </is>
      </c>
      <c r="E5831" t="inlineStr">
        <is>
          <t>BENGTSFORS</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63372-2020</t>
        </is>
      </c>
      <c r="B5832" s="1" t="n">
        <v>44165</v>
      </c>
      <c r="C5832" s="1" t="n">
        <v>45212</v>
      </c>
      <c r="D5832" t="inlineStr">
        <is>
          <t>VÄSTRA GÖTALANDS LÄN</t>
        </is>
      </c>
      <c r="E5832" t="inlineStr">
        <is>
          <t>SVENLJUNGA</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63535-2020</t>
        </is>
      </c>
      <c r="B5833" s="1" t="n">
        <v>44165</v>
      </c>
      <c r="C5833" s="1" t="n">
        <v>45212</v>
      </c>
      <c r="D5833" t="inlineStr">
        <is>
          <t>VÄSTRA GÖTALANDS LÄN</t>
        </is>
      </c>
      <c r="E5833" t="inlineStr">
        <is>
          <t>TRANEMO</t>
        </is>
      </c>
      <c r="F5833" t="inlineStr">
        <is>
          <t>Kyrkan</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63895-2020</t>
        </is>
      </c>
      <c r="B5834" s="1" t="n">
        <v>44165</v>
      </c>
      <c r="C5834" s="1" t="n">
        <v>45212</v>
      </c>
      <c r="D5834" t="inlineStr">
        <is>
          <t>VÄSTRA GÖTALANDS LÄN</t>
        </is>
      </c>
      <c r="E5834" t="inlineStr">
        <is>
          <t>MARIESTAD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64037-2020</t>
        </is>
      </c>
      <c r="B5835" s="1" t="n">
        <v>44165</v>
      </c>
      <c r="C5835" s="1" t="n">
        <v>45212</v>
      </c>
      <c r="D5835" t="inlineStr">
        <is>
          <t>VÄSTRA GÖTALANDS LÄN</t>
        </is>
      </c>
      <c r="E5835" t="inlineStr">
        <is>
          <t>MARIESTAD</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63331-2020</t>
        </is>
      </c>
      <c r="B5836" s="1" t="n">
        <v>44165</v>
      </c>
      <c r="C5836" s="1" t="n">
        <v>45212</v>
      </c>
      <c r="D5836" t="inlineStr">
        <is>
          <t>VÄSTRA GÖTALANDS LÄN</t>
        </is>
      </c>
      <c r="E5836" t="inlineStr">
        <is>
          <t>MELLERUD</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63406-2020</t>
        </is>
      </c>
      <c r="B5837" s="1" t="n">
        <v>44165</v>
      </c>
      <c r="C5837" s="1" t="n">
        <v>45212</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63302-2020</t>
        </is>
      </c>
      <c r="B5838" s="1" t="n">
        <v>44165</v>
      </c>
      <c r="C5838" s="1" t="n">
        <v>45212</v>
      </c>
      <c r="D5838" t="inlineStr">
        <is>
          <t>VÄSTRA GÖTALANDS LÄN</t>
        </is>
      </c>
      <c r="E5838" t="inlineStr">
        <is>
          <t>ULRICEHAMN</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63348-2020</t>
        </is>
      </c>
      <c r="B5839" s="1" t="n">
        <v>44165</v>
      </c>
      <c r="C5839" s="1" t="n">
        <v>45212</v>
      </c>
      <c r="D5839" t="inlineStr">
        <is>
          <t>VÄSTRA GÖTALANDS LÄN</t>
        </is>
      </c>
      <c r="E5839" t="inlineStr">
        <is>
          <t>FALKÖPING</t>
        </is>
      </c>
      <c r="G5839" t="n">
        <v>15.2</v>
      </c>
      <c r="H5839" t="n">
        <v>0</v>
      </c>
      <c r="I5839" t="n">
        <v>0</v>
      </c>
      <c r="J5839" t="n">
        <v>0</v>
      </c>
      <c r="K5839" t="n">
        <v>0</v>
      </c>
      <c r="L5839" t="n">
        <v>0</v>
      </c>
      <c r="M5839" t="n">
        <v>0</v>
      </c>
      <c r="N5839" t="n">
        <v>0</v>
      </c>
      <c r="O5839" t="n">
        <v>0</v>
      </c>
      <c r="P5839" t="n">
        <v>0</v>
      </c>
      <c r="Q5839" t="n">
        <v>0</v>
      </c>
      <c r="R5839" s="2" t="inlineStr"/>
    </row>
    <row r="5840" ht="15" customHeight="1">
      <c r="A5840" t="inlineStr">
        <is>
          <t>A 63537-2020</t>
        </is>
      </c>
      <c r="B5840" s="1" t="n">
        <v>44165</v>
      </c>
      <c r="C5840" s="1" t="n">
        <v>45212</v>
      </c>
      <c r="D5840" t="inlineStr">
        <is>
          <t>VÄSTRA GÖTALANDS LÄN</t>
        </is>
      </c>
      <c r="E5840" t="inlineStr">
        <is>
          <t>TRANEMO</t>
        </is>
      </c>
      <c r="F5840" t="inlineStr">
        <is>
          <t>Kyrkan</t>
        </is>
      </c>
      <c r="G5840" t="n">
        <v>10</v>
      </c>
      <c r="H5840" t="n">
        <v>0</v>
      </c>
      <c r="I5840" t="n">
        <v>0</v>
      </c>
      <c r="J5840" t="n">
        <v>0</v>
      </c>
      <c r="K5840" t="n">
        <v>0</v>
      </c>
      <c r="L5840" t="n">
        <v>0</v>
      </c>
      <c r="M5840" t="n">
        <v>0</v>
      </c>
      <c r="N5840" t="n">
        <v>0</v>
      </c>
      <c r="O5840" t="n">
        <v>0</v>
      </c>
      <c r="P5840" t="n">
        <v>0</v>
      </c>
      <c r="Q5840" t="n">
        <v>0</v>
      </c>
      <c r="R5840" s="2" t="inlineStr"/>
    </row>
    <row r="5841" ht="15" customHeight="1">
      <c r="A5841" t="inlineStr">
        <is>
          <t>A 63880-2020</t>
        </is>
      </c>
      <c r="B5841" s="1" t="n">
        <v>44165</v>
      </c>
      <c r="C5841" s="1" t="n">
        <v>45212</v>
      </c>
      <c r="D5841" t="inlineStr">
        <is>
          <t>VÄSTRA GÖTALANDS LÄN</t>
        </is>
      </c>
      <c r="E5841" t="inlineStr">
        <is>
          <t>VARA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64094-2020</t>
        </is>
      </c>
      <c r="B5842" s="1" t="n">
        <v>44165</v>
      </c>
      <c r="C5842" s="1" t="n">
        <v>45212</v>
      </c>
      <c r="D5842" t="inlineStr">
        <is>
          <t>VÄSTRA GÖTALANDS LÄN</t>
        </is>
      </c>
      <c r="E5842" t="inlineStr">
        <is>
          <t>VÄNERSBORG</t>
        </is>
      </c>
      <c r="G5842" t="n">
        <v>21.3</v>
      </c>
      <c r="H5842" t="n">
        <v>0</v>
      </c>
      <c r="I5842" t="n">
        <v>0</v>
      </c>
      <c r="J5842" t="n">
        <v>0</v>
      </c>
      <c r="K5842" t="n">
        <v>0</v>
      </c>
      <c r="L5842" t="n">
        <v>0</v>
      </c>
      <c r="M5842" t="n">
        <v>0</v>
      </c>
      <c r="N5842" t="n">
        <v>0</v>
      </c>
      <c r="O5842" t="n">
        <v>0</v>
      </c>
      <c r="P5842" t="n">
        <v>0</v>
      </c>
      <c r="Q5842" t="n">
        <v>0</v>
      </c>
      <c r="R5842" s="2" t="inlineStr"/>
    </row>
    <row r="5843" ht="15" customHeight="1">
      <c r="A5843" t="inlineStr">
        <is>
          <t>A 63883-2020</t>
        </is>
      </c>
      <c r="B5843" s="1" t="n">
        <v>44166</v>
      </c>
      <c r="C5843" s="1" t="n">
        <v>45212</v>
      </c>
      <c r="D5843" t="inlineStr">
        <is>
          <t>VÄSTRA GÖTALANDS LÄN</t>
        </is>
      </c>
      <c r="E5843" t="inlineStr">
        <is>
          <t>MÖLNDAL</t>
        </is>
      </c>
      <c r="G5843" t="n">
        <v>0.2</v>
      </c>
      <c r="H5843" t="n">
        <v>0</v>
      </c>
      <c r="I5843" t="n">
        <v>0</v>
      </c>
      <c r="J5843" t="n">
        <v>0</v>
      </c>
      <c r="K5843" t="n">
        <v>0</v>
      </c>
      <c r="L5843" t="n">
        <v>0</v>
      </c>
      <c r="M5843" t="n">
        <v>0</v>
      </c>
      <c r="N5843" t="n">
        <v>0</v>
      </c>
      <c r="O5843" t="n">
        <v>0</v>
      </c>
      <c r="P5843" t="n">
        <v>0</v>
      </c>
      <c r="Q5843" t="n">
        <v>0</v>
      </c>
      <c r="R5843" s="2" t="inlineStr"/>
    </row>
    <row r="5844" ht="15" customHeight="1">
      <c r="A5844" t="inlineStr">
        <is>
          <t>A 64250-2020</t>
        </is>
      </c>
      <c r="B5844" s="1" t="n">
        <v>44166</v>
      </c>
      <c r="C5844" s="1" t="n">
        <v>45212</v>
      </c>
      <c r="D5844" t="inlineStr">
        <is>
          <t>VÄSTRA GÖTALANDS LÄN</t>
        </is>
      </c>
      <c r="E5844" t="inlineStr">
        <is>
          <t>BORÅS</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63700-2020</t>
        </is>
      </c>
      <c r="B5845" s="1" t="n">
        <v>44166</v>
      </c>
      <c r="C5845" s="1" t="n">
        <v>45212</v>
      </c>
      <c r="D5845" t="inlineStr">
        <is>
          <t>VÄSTRA GÖTALANDS LÄN</t>
        </is>
      </c>
      <c r="E5845" t="inlineStr">
        <is>
          <t>ÅMÅL</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63756-2020</t>
        </is>
      </c>
      <c r="B5846" s="1" t="n">
        <v>44166</v>
      </c>
      <c r="C5846" s="1" t="n">
        <v>45212</v>
      </c>
      <c r="D5846" t="inlineStr">
        <is>
          <t>VÄSTRA GÖTALANDS LÄN</t>
        </is>
      </c>
      <c r="E5846" t="inlineStr">
        <is>
          <t>VARA</t>
        </is>
      </c>
      <c r="G5846" t="n">
        <v>4.7</v>
      </c>
      <c r="H5846" t="n">
        <v>0</v>
      </c>
      <c r="I5846" t="n">
        <v>0</v>
      </c>
      <c r="J5846" t="n">
        <v>0</v>
      </c>
      <c r="K5846" t="n">
        <v>0</v>
      </c>
      <c r="L5846" t="n">
        <v>0</v>
      </c>
      <c r="M5846" t="n">
        <v>0</v>
      </c>
      <c r="N5846" t="n">
        <v>0</v>
      </c>
      <c r="O5846" t="n">
        <v>0</v>
      </c>
      <c r="P5846" t="n">
        <v>0</v>
      </c>
      <c r="Q5846" t="n">
        <v>0</v>
      </c>
      <c r="R5846" s="2" t="inlineStr"/>
    </row>
    <row r="5847" ht="15" customHeight="1">
      <c r="A5847" t="inlineStr">
        <is>
          <t>A 64122-2020</t>
        </is>
      </c>
      <c r="B5847" s="1" t="n">
        <v>44166</v>
      </c>
      <c r="C5847" s="1" t="n">
        <v>45212</v>
      </c>
      <c r="D5847" t="inlineStr">
        <is>
          <t>VÄSTRA GÖTALANDS LÄN</t>
        </is>
      </c>
      <c r="E5847" t="inlineStr">
        <is>
          <t>MUNKEDAL</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64253-2020</t>
        </is>
      </c>
      <c r="B5848" s="1" t="n">
        <v>44166</v>
      </c>
      <c r="C5848" s="1" t="n">
        <v>45212</v>
      </c>
      <c r="D5848" t="inlineStr">
        <is>
          <t>VÄSTRA GÖTALANDS LÄN</t>
        </is>
      </c>
      <c r="E5848" t="inlineStr">
        <is>
          <t>BORÅS</t>
        </is>
      </c>
      <c r="G5848" t="n">
        <v>1.5</v>
      </c>
      <c r="H5848" t="n">
        <v>0</v>
      </c>
      <c r="I5848" t="n">
        <v>0</v>
      </c>
      <c r="J5848" t="n">
        <v>0</v>
      </c>
      <c r="K5848" t="n">
        <v>0</v>
      </c>
      <c r="L5848" t="n">
        <v>0</v>
      </c>
      <c r="M5848" t="n">
        <v>0</v>
      </c>
      <c r="N5848" t="n">
        <v>0</v>
      </c>
      <c r="O5848" t="n">
        <v>0</v>
      </c>
      <c r="P5848" t="n">
        <v>0</v>
      </c>
      <c r="Q5848" t="n">
        <v>0</v>
      </c>
      <c r="R5848" s="2" t="inlineStr"/>
    </row>
    <row r="5849" ht="15" customHeight="1">
      <c r="A5849" t="inlineStr">
        <is>
          <t>A 64352-2020</t>
        </is>
      </c>
      <c r="B5849" s="1" t="n">
        <v>44166</v>
      </c>
      <c r="C5849" s="1" t="n">
        <v>45212</v>
      </c>
      <c r="D5849" t="inlineStr">
        <is>
          <t>VÄSTRA GÖTALANDS LÄN</t>
        </is>
      </c>
      <c r="E5849" t="inlineStr">
        <is>
          <t>GRÄSTORP</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63967-2020</t>
        </is>
      </c>
      <c r="B5850" s="1" t="n">
        <v>44167</v>
      </c>
      <c r="C5850" s="1" t="n">
        <v>45212</v>
      </c>
      <c r="D5850" t="inlineStr">
        <is>
          <t>VÄSTRA GÖTALANDS LÄN</t>
        </is>
      </c>
      <c r="E5850" t="inlineStr">
        <is>
          <t>MARIESTAD</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64132-2020</t>
        </is>
      </c>
      <c r="B5851" s="1" t="n">
        <v>44167</v>
      </c>
      <c r="C5851" s="1" t="n">
        <v>45212</v>
      </c>
      <c r="D5851" t="inlineStr">
        <is>
          <t>VÄSTRA GÖTALANDS LÄN</t>
        </is>
      </c>
      <c r="E5851" t="inlineStr">
        <is>
          <t>HÄRRYDA</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64163-2020</t>
        </is>
      </c>
      <c r="B5852" s="1" t="n">
        <v>44167</v>
      </c>
      <c r="C5852" s="1" t="n">
        <v>45212</v>
      </c>
      <c r="D5852" t="inlineStr">
        <is>
          <t>VÄSTRA GÖTALANDS LÄN</t>
        </is>
      </c>
      <c r="E5852" t="inlineStr">
        <is>
          <t>BORÅS</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64169-2020</t>
        </is>
      </c>
      <c r="B5853" s="1" t="n">
        <v>44167</v>
      </c>
      <c r="C5853" s="1" t="n">
        <v>45212</v>
      </c>
      <c r="D5853" t="inlineStr">
        <is>
          <t>VÄSTRA GÖTALANDS LÄN</t>
        </is>
      </c>
      <c r="E5853" t="inlineStr">
        <is>
          <t>VARA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63943-2020</t>
        </is>
      </c>
      <c r="B5854" s="1" t="n">
        <v>44167</v>
      </c>
      <c r="C5854" s="1" t="n">
        <v>45212</v>
      </c>
      <c r="D5854" t="inlineStr">
        <is>
          <t>VÄSTRA GÖTALANDS LÄN</t>
        </is>
      </c>
      <c r="E5854" t="inlineStr">
        <is>
          <t>GÖTENE</t>
        </is>
      </c>
      <c r="F5854" t="inlineStr">
        <is>
          <t>Sveaskog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63970-2020</t>
        </is>
      </c>
      <c r="B5855" s="1" t="n">
        <v>44167</v>
      </c>
      <c r="C5855" s="1" t="n">
        <v>45212</v>
      </c>
      <c r="D5855" t="inlineStr">
        <is>
          <t>VÄSTRA GÖTALANDS LÄN</t>
        </is>
      </c>
      <c r="E5855" t="inlineStr">
        <is>
          <t>ALINGSÅS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64039-2020</t>
        </is>
      </c>
      <c r="B5856" s="1" t="n">
        <v>44167</v>
      </c>
      <c r="C5856" s="1" t="n">
        <v>45212</v>
      </c>
      <c r="D5856" t="inlineStr">
        <is>
          <t>VÄSTRA GÖTALANDS LÄN</t>
        </is>
      </c>
      <c r="E5856" t="inlineStr">
        <is>
          <t>MARIESTAD</t>
        </is>
      </c>
      <c r="G5856" t="n">
        <v>3.4</v>
      </c>
      <c r="H5856" t="n">
        <v>0</v>
      </c>
      <c r="I5856" t="n">
        <v>0</v>
      </c>
      <c r="J5856" t="n">
        <v>0</v>
      </c>
      <c r="K5856" t="n">
        <v>0</v>
      </c>
      <c r="L5856" t="n">
        <v>0</v>
      </c>
      <c r="M5856" t="n">
        <v>0</v>
      </c>
      <c r="N5856" t="n">
        <v>0</v>
      </c>
      <c r="O5856" t="n">
        <v>0</v>
      </c>
      <c r="P5856" t="n">
        <v>0</v>
      </c>
      <c r="Q5856" t="n">
        <v>0</v>
      </c>
      <c r="R5856" s="2" t="inlineStr"/>
    </row>
    <row r="5857" ht="15" customHeight="1">
      <c r="A5857" t="inlineStr">
        <is>
          <t>A 64165-2020</t>
        </is>
      </c>
      <c r="B5857" s="1" t="n">
        <v>44167</v>
      </c>
      <c r="C5857" s="1" t="n">
        <v>45212</v>
      </c>
      <c r="D5857" t="inlineStr">
        <is>
          <t>VÄSTRA GÖTALANDS LÄN</t>
        </is>
      </c>
      <c r="E5857" t="inlineStr">
        <is>
          <t>BORÅS</t>
        </is>
      </c>
      <c r="G5857" t="n">
        <v>4</v>
      </c>
      <c r="H5857" t="n">
        <v>0</v>
      </c>
      <c r="I5857" t="n">
        <v>0</v>
      </c>
      <c r="J5857" t="n">
        <v>0</v>
      </c>
      <c r="K5857" t="n">
        <v>0</v>
      </c>
      <c r="L5857" t="n">
        <v>0</v>
      </c>
      <c r="M5857" t="n">
        <v>0</v>
      </c>
      <c r="N5857" t="n">
        <v>0</v>
      </c>
      <c r="O5857" t="n">
        <v>0</v>
      </c>
      <c r="P5857" t="n">
        <v>0</v>
      </c>
      <c r="Q5857" t="n">
        <v>0</v>
      </c>
      <c r="R5857" s="2" t="inlineStr"/>
    </row>
    <row r="5858" ht="15" customHeight="1">
      <c r="A5858" t="inlineStr">
        <is>
          <t>A 64782-2020</t>
        </is>
      </c>
      <c r="B5858" s="1" t="n">
        <v>44167</v>
      </c>
      <c r="C5858" s="1" t="n">
        <v>45212</v>
      </c>
      <c r="D5858" t="inlineStr">
        <is>
          <t>VÄSTRA GÖTALANDS LÄN</t>
        </is>
      </c>
      <c r="E5858" t="inlineStr">
        <is>
          <t>FÄRGELANDA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64033-2020</t>
        </is>
      </c>
      <c r="B5859" s="1" t="n">
        <v>44167</v>
      </c>
      <c r="C5859" s="1" t="n">
        <v>45212</v>
      </c>
      <c r="D5859" t="inlineStr">
        <is>
          <t>VÄSTRA GÖTALANDS LÄN</t>
        </is>
      </c>
      <c r="E5859" t="inlineStr">
        <is>
          <t>GRÄSTORP</t>
        </is>
      </c>
      <c r="G5859" t="n">
        <v>0.3</v>
      </c>
      <c r="H5859" t="n">
        <v>0</v>
      </c>
      <c r="I5859" t="n">
        <v>0</v>
      </c>
      <c r="J5859" t="n">
        <v>0</v>
      </c>
      <c r="K5859" t="n">
        <v>0</v>
      </c>
      <c r="L5859" t="n">
        <v>0</v>
      </c>
      <c r="M5859" t="n">
        <v>0</v>
      </c>
      <c r="N5859" t="n">
        <v>0</v>
      </c>
      <c r="O5859" t="n">
        <v>0</v>
      </c>
      <c r="P5859" t="n">
        <v>0</v>
      </c>
      <c r="Q5859" t="n">
        <v>0</v>
      </c>
      <c r="R5859" s="2" t="inlineStr"/>
    </row>
    <row r="5860" ht="15" customHeight="1">
      <c r="A5860" t="inlineStr">
        <is>
          <t>A 64167-2020</t>
        </is>
      </c>
      <c r="B5860" s="1" t="n">
        <v>44167</v>
      </c>
      <c r="C5860" s="1" t="n">
        <v>45212</v>
      </c>
      <c r="D5860" t="inlineStr">
        <is>
          <t>VÄSTRA GÖTALANDS LÄN</t>
        </is>
      </c>
      <c r="E5860" t="inlineStr">
        <is>
          <t>FÄRGELANDA</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64168-2020</t>
        </is>
      </c>
      <c r="B5861" s="1" t="n">
        <v>44167</v>
      </c>
      <c r="C5861" s="1" t="n">
        <v>45212</v>
      </c>
      <c r="D5861" t="inlineStr">
        <is>
          <t>VÄSTRA GÖTALANDS LÄN</t>
        </is>
      </c>
      <c r="E5861" t="inlineStr">
        <is>
          <t>BORÅS</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64711-2020</t>
        </is>
      </c>
      <c r="B5862" s="1" t="n">
        <v>44167</v>
      </c>
      <c r="C5862" s="1" t="n">
        <v>45212</v>
      </c>
      <c r="D5862" t="inlineStr">
        <is>
          <t>VÄSTRA GÖTALANDS LÄN</t>
        </is>
      </c>
      <c r="E5862" t="inlineStr">
        <is>
          <t>STENUNGSUND</t>
        </is>
      </c>
      <c r="G5862" t="n">
        <v>6.2</v>
      </c>
      <c r="H5862" t="n">
        <v>0</v>
      </c>
      <c r="I5862" t="n">
        <v>0</v>
      </c>
      <c r="J5862" t="n">
        <v>0</v>
      </c>
      <c r="K5862" t="n">
        <v>0</v>
      </c>
      <c r="L5862" t="n">
        <v>0</v>
      </c>
      <c r="M5862" t="n">
        <v>0</v>
      </c>
      <c r="N5862" t="n">
        <v>0</v>
      </c>
      <c r="O5862" t="n">
        <v>0</v>
      </c>
      <c r="P5862" t="n">
        <v>0</v>
      </c>
      <c r="Q5862" t="n">
        <v>0</v>
      </c>
      <c r="R5862" s="2" t="inlineStr"/>
    </row>
    <row r="5863" ht="15" customHeight="1">
      <c r="A5863" t="inlineStr">
        <is>
          <t>A 65036-2020</t>
        </is>
      </c>
      <c r="B5863" s="1" t="n">
        <v>44167</v>
      </c>
      <c r="C5863" s="1" t="n">
        <v>45212</v>
      </c>
      <c r="D5863" t="inlineStr">
        <is>
          <t>VÄSTRA GÖTALANDS LÄN</t>
        </is>
      </c>
      <c r="E5863" t="inlineStr">
        <is>
          <t>BENGTSFORS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64403-2020</t>
        </is>
      </c>
      <c r="B5864" s="1" t="n">
        <v>44168</v>
      </c>
      <c r="C5864" s="1" t="n">
        <v>45212</v>
      </c>
      <c r="D5864" t="inlineStr">
        <is>
          <t>VÄSTRA GÖTALANDS LÄN</t>
        </is>
      </c>
      <c r="E5864" t="inlineStr">
        <is>
          <t>GULLSPÅNG</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64429-2020</t>
        </is>
      </c>
      <c r="B5865" s="1" t="n">
        <v>44168</v>
      </c>
      <c r="C5865" s="1" t="n">
        <v>45212</v>
      </c>
      <c r="D5865" t="inlineStr">
        <is>
          <t>VÄSTRA GÖTALANDS LÄN</t>
        </is>
      </c>
      <c r="E5865" t="inlineStr">
        <is>
          <t>BORÅS</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64454-2020</t>
        </is>
      </c>
      <c r="B5866" s="1" t="n">
        <v>44168</v>
      </c>
      <c r="C5866" s="1" t="n">
        <v>45212</v>
      </c>
      <c r="D5866" t="inlineStr">
        <is>
          <t>VÄSTRA GÖTALANDS LÄN</t>
        </is>
      </c>
      <c r="E5866" t="inlineStr">
        <is>
          <t>GULLSPÅNG</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65325-2020</t>
        </is>
      </c>
      <c r="B5867" s="1" t="n">
        <v>44168</v>
      </c>
      <c r="C5867" s="1" t="n">
        <v>45212</v>
      </c>
      <c r="D5867" t="inlineStr">
        <is>
          <t>VÄSTRA GÖTALANDS LÄN</t>
        </is>
      </c>
      <c r="E5867" t="inlineStr">
        <is>
          <t>UDDEVALLA</t>
        </is>
      </c>
      <c r="G5867" t="n">
        <v>0.4</v>
      </c>
      <c r="H5867" t="n">
        <v>0</v>
      </c>
      <c r="I5867" t="n">
        <v>0</v>
      </c>
      <c r="J5867" t="n">
        <v>0</v>
      </c>
      <c r="K5867" t="n">
        <v>0</v>
      </c>
      <c r="L5867" t="n">
        <v>0</v>
      </c>
      <c r="M5867" t="n">
        <v>0</v>
      </c>
      <c r="N5867" t="n">
        <v>0</v>
      </c>
      <c r="O5867" t="n">
        <v>0</v>
      </c>
      <c r="P5867" t="n">
        <v>0</v>
      </c>
      <c r="Q5867" t="n">
        <v>0</v>
      </c>
      <c r="R5867" s="2" t="inlineStr"/>
    </row>
    <row r="5868" ht="15" customHeight="1">
      <c r="A5868" t="inlineStr">
        <is>
          <t>A 64406-2020</t>
        </is>
      </c>
      <c r="B5868" s="1" t="n">
        <v>44168</v>
      </c>
      <c r="C5868" s="1" t="n">
        <v>45212</v>
      </c>
      <c r="D5868" t="inlineStr">
        <is>
          <t>VÄSTRA GÖTALANDS LÄN</t>
        </is>
      </c>
      <c r="E5868" t="inlineStr">
        <is>
          <t>SVENLJUNGA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64432-2020</t>
        </is>
      </c>
      <c r="B5869" s="1" t="n">
        <v>44168</v>
      </c>
      <c r="C5869" s="1" t="n">
        <v>45212</v>
      </c>
      <c r="D5869" t="inlineStr">
        <is>
          <t>VÄSTRA GÖTALANDS LÄN</t>
        </is>
      </c>
      <c r="E5869" t="inlineStr">
        <is>
          <t>BORÅS</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65174-2020</t>
        </is>
      </c>
      <c r="B5870" s="1" t="n">
        <v>44168</v>
      </c>
      <c r="C5870" s="1" t="n">
        <v>45212</v>
      </c>
      <c r="D5870" t="inlineStr">
        <is>
          <t>VÄSTRA GÖTALANDS LÄN</t>
        </is>
      </c>
      <c r="E5870" t="inlineStr">
        <is>
          <t>DALS-ED</t>
        </is>
      </c>
      <c r="F5870" t="inlineStr">
        <is>
          <t>Kyrkan</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64430-2020</t>
        </is>
      </c>
      <c r="B5871" s="1" t="n">
        <v>44168</v>
      </c>
      <c r="C5871" s="1" t="n">
        <v>45212</v>
      </c>
      <c r="D5871" t="inlineStr">
        <is>
          <t>VÄSTRA GÖTALANDS LÄN</t>
        </is>
      </c>
      <c r="E5871" t="inlineStr">
        <is>
          <t>STRÖMSTAD</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64459-2020</t>
        </is>
      </c>
      <c r="B5872" s="1" t="n">
        <v>44168</v>
      </c>
      <c r="C5872" s="1" t="n">
        <v>45212</v>
      </c>
      <c r="D5872" t="inlineStr">
        <is>
          <t>VÄSTRA GÖTALANDS LÄN</t>
        </is>
      </c>
      <c r="E5872" t="inlineStr">
        <is>
          <t>MARK</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65328-2020</t>
        </is>
      </c>
      <c r="B5873" s="1" t="n">
        <v>44168</v>
      </c>
      <c r="C5873" s="1" t="n">
        <v>45212</v>
      </c>
      <c r="D5873" t="inlineStr">
        <is>
          <t>VÄSTRA GÖTALANDS LÄN</t>
        </is>
      </c>
      <c r="E5873" t="inlineStr">
        <is>
          <t>UDDEVALLA</t>
        </is>
      </c>
      <c r="G5873" t="n">
        <v>1.7</v>
      </c>
      <c r="H5873" t="n">
        <v>0</v>
      </c>
      <c r="I5873" t="n">
        <v>0</v>
      </c>
      <c r="J5873" t="n">
        <v>0</v>
      </c>
      <c r="K5873" t="n">
        <v>0</v>
      </c>
      <c r="L5873" t="n">
        <v>0</v>
      </c>
      <c r="M5873" t="n">
        <v>0</v>
      </c>
      <c r="N5873" t="n">
        <v>0</v>
      </c>
      <c r="O5873" t="n">
        <v>0</v>
      </c>
      <c r="P5873" t="n">
        <v>0</v>
      </c>
      <c r="Q5873" t="n">
        <v>0</v>
      </c>
      <c r="R5873" s="2" t="inlineStr"/>
    </row>
    <row r="5874" ht="15" customHeight="1">
      <c r="A5874" t="inlineStr">
        <is>
          <t>A 64569-2020</t>
        </is>
      </c>
      <c r="B5874" s="1" t="n">
        <v>44169</v>
      </c>
      <c r="C5874" s="1" t="n">
        <v>45212</v>
      </c>
      <c r="D5874" t="inlineStr">
        <is>
          <t>VÄSTRA GÖTALANDS LÄN</t>
        </is>
      </c>
      <c r="E5874" t="inlineStr">
        <is>
          <t>GÖTENE</t>
        </is>
      </c>
      <c r="F5874" t="inlineStr">
        <is>
          <t>Sveaskog</t>
        </is>
      </c>
      <c r="G5874" t="n">
        <v>3.1</v>
      </c>
      <c r="H5874" t="n">
        <v>0</v>
      </c>
      <c r="I5874" t="n">
        <v>0</v>
      </c>
      <c r="J5874" t="n">
        <v>0</v>
      </c>
      <c r="K5874" t="n">
        <v>0</v>
      </c>
      <c r="L5874" t="n">
        <v>0</v>
      </c>
      <c r="M5874" t="n">
        <v>0</v>
      </c>
      <c r="N5874" t="n">
        <v>0</v>
      </c>
      <c r="O5874" t="n">
        <v>0</v>
      </c>
      <c r="P5874" t="n">
        <v>0</v>
      </c>
      <c r="Q5874" t="n">
        <v>0</v>
      </c>
      <c r="R5874" s="2" t="inlineStr"/>
    </row>
    <row r="5875" ht="15" customHeight="1">
      <c r="A5875" t="inlineStr">
        <is>
          <t>A 64764-2020</t>
        </is>
      </c>
      <c r="B5875" s="1" t="n">
        <v>44169</v>
      </c>
      <c r="C5875" s="1" t="n">
        <v>45212</v>
      </c>
      <c r="D5875" t="inlineStr">
        <is>
          <t>VÄSTRA GÖTALANDS LÄN</t>
        </is>
      </c>
      <c r="E5875" t="inlineStr">
        <is>
          <t>MARK</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64774-2020</t>
        </is>
      </c>
      <c r="B5876" s="1" t="n">
        <v>44169</v>
      </c>
      <c r="C5876" s="1" t="n">
        <v>45212</v>
      </c>
      <c r="D5876" t="inlineStr">
        <is>
          <t>VÄSTRA GÖTALANDS LÄN</t>
        </is>
      </c>
      <c r="E5876" t="inlineStr">
        <is>
          <t>FÄRGELANDA</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64973-2020</t>
        </is>
      </c>
      <c r="B5877" s="1" t="n">
        <v>44169</v>
      </c>
      <c r="C5877" s="1" t="n">
        <v>45212</v>
      </c>
      <c r="D5877" t="inlineStr">
        <is>
          <t>VÄSTRA GÖTALANDS LÄN</t>
        </is>
      </c>
      <c r="E5877" t="inlineStr">
        <is>
          <t>TÖREBODA</t>
        </is>
      </c>
      <c r="G5877" t="n">
        <v>8.800000000000001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64693-2020</t>
        </is>
      </c>
      <c r="B5878" s="1" t="n">
        <v>44169</v>
      </c>
      <c r="C5878" s="1" t="n">
        <v>45212</v>
      </c>
      <c r="D5878" t="inlineStr">
        <is>
          <t>VÄSTRA GÖTALANDS LÄN</t>
        </is>
      </c>
      <c r="E5878" t="inlineStr">
        <is>
          <t>GÖTENE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64765-2020</t>
        </is>
      </c>
      <c r="B5879" s="1" t="n">
        <v>44169</v>
      </c>
      <c r="C5879" s="1" t="n">
        <v>45212</v>
      </c>
      <c r="D5879" t="inlineStr">
        <is>
          <t>VÄSTRA GÖTALANDS LÄN</t>
        </is>
      </c>
      <c r="E5879" t="inlineStr">
        <is>
          <t>ORUST</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65194-2020</t>
        </is>
      </c>
      <c r="B5880" s="1" t="n">
        <v>44169</v>
      </c>
      <c r="C5880" s="1" t="n">
        <v>45212</v>
      </c>
      <c r="D5880" t="inlineStr">
        <is>
          <t>VÄSTRA GÖTALANDS LÄN</t>
        </is>
      </c>
      <c r="E5880" t="inlineStr">
        <is>
          <t>UDDEVALLA</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64568-2020</t>
        </is>
      </c>
      <c r="B5881" s="1" t="n">
        <v>44169</v>
      </c>
      <c r="C5881" s="1" t="n">
        <v>45212</v>
      </c>
      <c r="D5881" t="inlineStr">
        <is>
          <t>VÄSTRA GÖTALANDS LÄN</t>
        </is>
      </c>
      <c r="E5881" t="inlineStr">
        <is>
          <t>GÖTENE</t>
        </is>
      </c>
      <c r="F5881" t="inlineStr">
        <is>
          <t>Sveaskog</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64697-2020</t>
        </is>
      </c>
      <c r="B5882" s="1" t="n">
        <v>44169</v>
      </c>
      <c r="C5882" s="1" t="n">
        <v>45212</v>
      </c>
      <c r="D5882" t="inlineStr">
        <is>
          <t>VÄSTRA GÖTALANDS LÄN</t>
        </is>
      </c>
      <c r="E5882" t="inlineStr">
        <is>
          <t>GÖTENE</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64771-2020</t>
        </is>
      </c>
      <c r="B5883" s="1" t="n">
        <v>44169</v>
      </c>
      <c r="C5883" s="1" t="n">
        <v>45212</v>
      </c>
      <c r="D5883" t="inlineStr">
        <is>
          <t>VÄSTRA GÖTALANDS LÄN</t>
        </is>
      </c>
      <c r="E5883" t="inlineStr">
        <is>
          <t>FÄRGELANDA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64547-2020</t>
        </is>
      </c>
      <c r="B5884" s="1" t="n">
        <v>44169</v>
      </c>
      <c r="C5884" s="1" t="n">
        <v>45212</v>
      </c>
      <c r="D5884" t="inlineStr">
        <is>
          <t>VÄSTRA GÖTALANDS LÄN</t>
        </is>
      </c>
      <c r="E5884" t="inlineStr">
        <is>
          <t>SKÖVDE</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64578-2020</t>
        </is>
      </c>
      <c r="B5885" s="1" t="n">
        <v>44169</v>
      </c>
      <c r="C5885" s="1" t="n">
        <v>45212</v>
      </c>
      <c r="D5885" t="inlineStr">
        <is>
          <t>VÄSTRA GÖTALANDS LÄN</t>
        </is>
      </c>
      <c r="E5885" t="inlineStr">
        <is>
          <t>TIDAHOLM</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65461-2020</t>
        </is>
      </c>
      <c r="B5886" s="1" t="n">
        <v>44170</v>
      </c>
      <c r="C5886" s="1" t="n">
        <v>45212</v>
      </c>
      <c r="D5886" t="inlineStr">
        <is>
          <t>VÄSTRA GÖTALANDS LÄN</t>
        </is>
      </c>
      <c r="E5886" t="inlineStr">
        <is>
          <t>MUNKEDAL</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64899-2020</t>
        </is>
      </c>
      <c r="B5887" s="1" t="n">
        <v>44171</v>
      </c>
      <c r="C5887" s="1" t="n">
        <v>45212</v>
      </c>
      <c r="D5887" t="inlineStr">
        <is>
          <t>VÄSTRA GÖTALANDS LÄN</t>
        </is>
      </c>
      <c r="E5887" t="inlineStr">
        <is>
          <t>TÖREBODA</t>
        </is>
      </c>
      <c r="G5887" t="n">
        <v>5.3</v>
      </c>
      <c r="H5887" t="n">
        <v>0</v>
      </c>
      <c r="I5887" t="n">
        <v>0</v>
      </c>
      <c r="J5887" t="n">
        <v>0</v>
      </c>
      <c r="K5887" t="n">
        <v>0</v>
      </c>
      <c r="L5887" t="n">
        <v>0</v>
      </c>
      <c r="M5887" t="n">
        <v>0</v>
      </c>
      <c r="N5887" t="n">
        <v>0</v>
      </c>
      <c r="O5887" t="n">
        <v>0</v>
      </c>
      <c r="P5887" t="n">
        <v>0</v>
      </c>
      <c r="Q5887" t="n">
        <v>0</v>
      </c>
      <c r="R5887" s="2" t="inlineStr"/>
    </row>
    <row r="5888" ht="15" customHeight="1">
      <c r="A5888" t="inlineStr">
        <is>
          <t>A 64890-2020</t>
        </is>
      </c>
      <c r="B5888" s="1" t="n">
        <v>44171</v>
      </c>
      <c r="C5888" s="1" t="n">
        <v>45212</v>
      </c>
      <c r="D5888" t="inlineStr">
        <is>
          <t>VÄSTRA GÖTALANDS LÄN</t>
        </is>
      </c>
      <c r="E5888" t="inlineStr">
        <is>
          <t>BENGTSFORS</t>
        </is>
      </c>
      <c r="G5888" t="n">
        <v>4.6</v>
      </c>
      <c r="H5888" t="n">
        <v>0</v>
      </c>
      <c r="I5888" t="n">
        <v>0</v>
      </c>
      <c r="J5888" t="n">
        <v>0</v>
      </c>
      <c r="K5888" t="n">
        <v>0</v>
      </c>
      <c r="L5888" t="n">
        <v>0</v>
      </c>
      <c r="M5888" t="n">
        <v>0</v>
      </c>
      <c r="N5888" t="n">
        <v>0</v>
      </c>
      <c r="O5888" t="n">
        <v>0</v>
      </c>
      <c r="P5888" t="n">
        <v>0</v>
      </c>
      <c r="Q5888" t="n">
        <v>0</v>
      </c>
      <c r="R5888" s="2" t="inlineStr"/>
    </row>
    <row r="5889" ht="15" customHeight="1">
      <c r="A5889" t="inlineStr">
        <is>
          <t>A 65471-2020</t>
        </is>
      </c>
      <c r="B5889" s="1" t="n">
        <v>44171</v>
      </c>
      <c r="C5889" s="1" t="n">
        <v>45212</v>
      </c>
      <c r="D5889" t="inlineStr">
        <is>
          <t>VÄSTRA GÖTALANDS LÄN</t>
        </is>
      </c>
      <c r="E5889" t="inlineStr">
        <is>
          <t>MUNKEDAL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64980-2020</t>
        </is>
      </c>
      <c r="B5890" s="1" t="n">
        <v>44172</v>
      </c>
      <c r="C5890" s="1" t="n">
        <v>45212</v>
      </c>
      <c r="D5890" t="inlineStr">
        <is>
          <t>VÄSTRA GÖTALANDS LÄN</t>
        </is>
      </c>
      <c r="E5890" t="inlineStr">
        <is>
          <t>TANUM</t>
        </is>
      </c>
      <c r="G5890" t="n">
        <v>4.3</v>
      </c>
      <c r="H5890" t="n">
        <v>0</v>
      </c>
      <c r="I5890" t="n">
        <v>0</v>
      </c>
      <c r="J5890" t="n">
        <v>0</v>
      </c>
      <c r="K5890" t="n">
        <v>0</v>
      </c>
      <c r="L5890" t="n">
        <v>0</v>
      </c>
      <c r="M5890" t="n">
        <v>0</v>
      </c>
      <c r="N5890" t="n">
        <v>0</v>
      </c>
      <c r="O5890" t="n">
        <v>0</v>
      </c>
      <c r="P5890" t="n">
        <v>0</v>
      </c>
      <c r="Q5890" t="n">
        <v>0</v>
      </c>
      <c r="R5890" s="2" t="inlineStr"/>
    </row>
    <row r="5891" ht="15" customHeight="1">
      <c r="A5891" t="inlineStr">
        <is>
          <t>A 65079-2020</t>
        </is>
      </c>
      <c r="B5891" s="1" t="n">
        <v>44172</v>
      </c>
      <c r="C5891" s="1" t="n">
        <v>45212</v>
      </c>
      <c r="D5891" t="inlineStr">
        <is>
          <t>VÄSTRA GÖTALANDS LÄN</t>
        </is>
      </c>
      <c r="E5891" t="inlineStr">
        <is>
          <t>ORUST</t>
        </is>
      </c>
      <c r="G5891" t="n">
        <v>0.7</v>
      </c>
      <c r="H5891" t="n">
        <v>0</v>
      </c>
      <c r="I5891" t="n">
        <v>0</v>
      </c>
      <c r="J5891" t="n">
        <v>0</v>
      </c>
      <c r="K5891" t="n">
        <v>0</v>
      </c>
      <c r="L5891" t="n">
        <v>0</v>
      </c>
      <c r="M5891" t="n">
        <v>0</v>
      </c>
      <c r="N5891" t="n">
        <v>0</v>
      </c>
      <c r="O5891" t="n">
        <v>0</v>
      </c>
      <c r="P5891" t="n">
        <v>0</v>
      </c>
      <c r="Q5891" t="n">
        <v>0</v>
      </c>
      <c r="R5891" s="2" t="inlineStr"/>
    </row>
    <row r="5892" ht="15" customHeight="1">
      <c r="A5892" t="inlineStr">
        <is>
          <t>A 65528-2020</t>
        </is>
      </c>
      <c r="B5892" s="1" t="n">
        <v>44172</v>
      </c>
      <c r="C5892" s="1" t="n">
        <v>45212</v>
      </c>
      <c r="D5892" t="inlineStr">
        <is>
          <t>VÄSTRA GÖTALANDS LÄN</t>
        </is>
      </c>
      <c r="E5892" t="inlineStr">
        <is>
          <t>HERRLJUNGA</t>
        </is>
      </c>
      <c r="G5892" t="n">
        <v>3.6</v>
      </c>
      <c r="H5892" t="n">
        <v>0</v>
      </c>
      <c r="I5892" t="n">
        <v>0</v>
      </c>
      <c r="J5892" t="n">
        <v>0</v>
      </c>
      <c r="K5892" t="n">
        <v>0</v>
      </c>
      <c r="L5892" t="n">
        <v>0</v>
      </c>
      <c r="M5892" t="n">
        <v>0</v>
      </c>
      <c r="N5892" t="n">
        <v>0</v>
      </c>
      <c r="O5892" t="n">
        <v>0</v>
      </c>
      <c r="P5892" t="n">
        <v>0</v>
      </c>
      <c r="Q5892" t="n">
        <v>0</v>
      </c>
      <c r="R5892" s="2" t="inlineStr"/>
    </row>
    <row r="5893" ht="15" customHeight="1">
      <c r="A5893" t="inlineStr">
        <is>
          <t>A 64952-2020</t>
        </is>
      </c>
      <c r="B5893" s="1" t="n">
        <v>44172</v>
      </c>
      <c r="C5893" s="1" t="n">
        <v>45212</v>
      </c>
      <c r="D5893" t="inlineStr">
        <is>
          <t>VÄSTRA GÖTALANDS LÄN</t>
        </is>
      </c>
      <c r="E5893" t="inlineStr">
        <is>
          <t>ALINGSÅS</t>
        </is>
      </c>
      <c r="F5893" t="inlineStr">
        <is>
          <t>Kommuner</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65511-2020</t>
        </is>
      </c>
      <c r="B5894" s="1" t="n">
        <v>44172</v>
      </c>
      <c r="C5894" s="1" t="n">
        <v>45212</v>
      </c>
      <c r="D5894" t="inlineStr">
        <is>
          <t>VÄSTRA GÖTALANDS LÄN</t>
        </is>
      </c>
      <c r="E5894" t="inlineStr">
        <is>
          <t>FÄRGELANDA</t>
        </is>
      </c>
      <c r="G5894" t="n">
        <v>11</v>
      </c>
      <c r="H5894" t="n">
        <v>0</v>
      </c>
      <c r="I5894" t="n">
        <v>0</v>
      </c>
      <c r="J5894" t="n">
        <v>0</v>
      </c>
      <c r="K5894" t="n">
        <v>0</v>
      </c>
      <c r="L5894" t="n">
        <v>0</v>
      </c>
      <c r="M5894" t="n">
        <v>0</v>
      </c>
      <c r="N5894" t="n">
        <v>0</v>
      </c>
      <c r="O5894" t="n">
        <v>0</v>
      </c>
      <c r="P5894" t="n">
        <v>0</v>
      </c>
      <c r="Q5894" t="n">
        <v>0</v>
      </c>
      <c r="R5894" s="2" t="inlineStr"/>
    </row>
    <row r="5895" ht="15" customHeight="1">
      <c r="A5895" t="inlineStr">
        <is>
          <t>A 64989-2020</t>
        </is>
      </c>
      <c r="B5895" s="1" t="n">
        <v>44172</v>
      </c>
      <c r="C5895" s="1" t="n">
        <v>45212</v>
      </c>
      <c r="D5895" t="inlineStr">
        <is>
          <t>VÄSTRA GÖTALANDS LÄN</t>
        </is>
      </c>
      <c r="E5895" t="inlineStr">
        <is>
          <t>STRÖMSTAD</t>
        </is>
      </c>
      <c r="G5895" t="n">
        <v>2.5</v>
      </c>
      <c r="H5895" t="n">
        <v>0</v>
      </c>
      <c r="I5895" t="n">
        <v>0</v>
      </c>
      <c r="J5895" t="n">
        <v>0</v>
      </c>
      <c r="K5895" t="n">
        <v>0</v>
      </c>
      <c r="L5895" t="n">
        <v>0</v>
      </c>
      <c r="M5895" t="n">
        <v>0</v>
      </c>
      <c r="N5895" t="n">
        <v>0</v>
      </c>
      <c r="O5895" t="n">
        <v>0</v>
      </c>
      <c r="P5895" t="n">
        <v>0</v>
      </c>
      <c r="Q5895" t="n">
        <v>0</v>
      </c>
      <c r="R5895" s="2" t="inlineStr"/>
    </row>
    <row r="5896" ht="15" customHeight="1">
      <c r="A5896" t="inlineStr">
        <is>
          <t>A 65018-2020</t>
        </is>
      </c>
      <c r="B5896" s="1" t="n">
        <v>44172</v>
      </c>
      <c r="C5896" s="1" t="n">
        <v>45212</v>
      </c>
      <c r="D5896" t="inlineStr">
        <is>
          <t>VÄSTRA GÖTALANDS LÄN</t>
        </is>
      </c>
      <c r="E5896" t="inlineStr">
        <is>
          <t>BENGTSFORS</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65083-2020</t>
        </is>
      </c>
      <c r="B5897" s="1" t="n">
        <v>44172</v>
      </c>
      <c r="C5897" s="1" t="n">
        <v>45212</v>
      </c>
      <c r="D5897" t="inlineStr">
        <is>
          <t>VÄSTRA GÖTALANDS LÄN</t>
        </is>
      </c>
      <c r="E5897" t="inlineStr">
        <is>
          <t>HERRLJUNGA</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65518-2020</t>
        </is>
      </c>
      <c r="B5898" s="1" t="n">
        <v>44172</v>
      </c>
      <c r="C5898" s="1" t="n">
        <v>45212</v>
      </c>
      <c r="D5898" t="inlineStr">
        <is>
          <t>VÄSTRA GÖTALANDS LÄN</t>
        </is>
      </c>
      <c r="E5898" t="inlineStr">
        <is>
          <t>FÄRGELANDA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65462-2020</t>
        </is>
      </c>
      <c r="B5899" s="1" t="n">
        <v>44173</v>
      </c>
      <c r="C5899" s="1" t="n">
        <v>45212</v>
      </c>
      <c r="D5899" t="inlineStr">
        <is>
          <t>VÄSTRA GÖTALANDS LÄN</t>
        </is>
      </c>
      <c r="E5899" t="inlineStr">
        <is>
          <t>HÄRRYDA</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65995-2020</t>
        </is>
      </c>
      <c r="B5900" s="1" t="n">
        <v>44173</v>
      </c>
      <c r="C5900" s="1" t="n">
        <v>45212</v>
      </c>
      <c r="D5900" t="inlineStr">
        <is>
          <t>VÄSTRA GÖTALANDS LÄN</t>
        </is>
      </c>
      <c r="E5900" t="inlineStr">
        <is>
          <t>ULRICEHAMN</t>
        </is>
      </c>
      <c r="G5900" t="n">
        <v>5.6</v>
      </c>
      <c r="H5900" t="n">
        <v>0</v>
      </c>
      <c r="I5900" t="n">
        <v>0</v>
      </c>
      <c r="J5900" t="n">
        <v>0</v>
      </c>
      <c r="K5900" t="n">
        <v>0</v>
      </c>
      <c r="L5900" t="n">
        <v>0</v>
      </c>
      <c r="M5900" t="n">
        <v>0</v>
      </c>
      <c r="N5900" t="n">
        <v>0</v>
      </c>
      <c r="O5900" t="n">
        <v>0</v>
      </c>
      <c r="P5900" t="n">
        <v>0</v>
      </c>
      <c r="Q5900" t="n">
        <v>0</v>
      </c>
      <c r="R5900" s="2" t="inlineStr"/>
    </row>
    <row r="5901" ht="15" customHeight="1">
      <c r="A5901" t="inlineStr">
        <is>
          <t>A 65424-2020</t>
        </is>
      </c>
      <c r="B5901" s="1" t="n">
        <v>44173</v>
      </c>
      <c r="C5901" s="1" t="n">
        <v>45212</v>
      </c>
      <c r="D5901" t="inlineStr">
        <is>
          <t>VÄSTRA GÖTALANDS LÄN</t>
        </is>
      </c>
      <c r="E5901" t="inlineStr">
        <is>
          <t>VÄNERSBORG</t>
        </is>
      </c>
      <c r="F5901" t="inlineStr">
        <is>
          <t>Sveaskog</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65586-2020</t>
        </is>
      </c>
      <c r="B5902" s="1" t="n">
        <v>44173</v>
      </c>
      <c r="C5902" s="1" t="n">
        <v>45212</v>
      </c>
      <c r="D5902" t="inlineStr">
        <is>
          <t>VÄSTRA GÖTALANDS LÄN</t>
        </is>
      </c>
      <c r="E5902" t="inlineStr">
        <is>
          <t>MARK</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66078-2020</t>
        </is>
      </c>
      <c r="B5903" s="1" t="n">
        <v>44173</v>
      </c>
      <c r="C5903" s="1" t="n">
        <v>45212</v>
      </c>
      <c r="D5903" t="inlineStr">
        <is>
          <t>VÄSTRA GÖTALANDS LÄN</t>
        </is>
      </c>
      <c r="E5903" t="inlineStr">
        <is>
          <t>BENGTSFORS</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65579-2020</t>
        </is>
      </c>
      <c r="B5904" s="1" t="n">
        <v>44173</v>
      </c>
      <c r="C5904" s="1" t="n">
        <v>45212</v>
      </c>
      <c r="D5904" t="inlineStr">
        <is>
          <t>VÄSTRA GÖTALANDS LÄN</t>
        </is>
      </c>
      <c r="E5904" t="inlineStr">
        <is>
          <t>SVENLJUNGA</t>
        </is>
      </c>
      <c r="F5904" t="inlineStr">
        <is>
          <t>Kyrkan</t>
        </is>
      </c>
      <c r="G5904" t="n">
        <v>8.6</v>
      </c>
      <c r="H5904" t="n">
        <v>0</v>
      </c>
      <c r="I5904" t="n">
        <v>0</v>
      </c>
      <c r="J5904" t="n">
        <v>0</v>
      </c>
      <c r="K5904" t="n">
        <v>0</v>
      </c>
      <c r="L5904" t="n">
        <v>0</v>
      </c>
      <c r="M5904" t="n">
        <v>0</v>
      </c>
      <c r="N5904" t="n">
        <v>0</v>
      </c>
      <c r="O5904" t="n">
        <v>0</v>
      </c>
      <c r="P5904" t="n">
        <v>0</v>
      </c>
      <c r="Q5904" t="n">
        <v>0</v>
      </c>
      <c r="R5904" s="2" t="inlineStr"/>
    </row>
    <row r="5905" ht="15" customHeight="1">
      <c r="A5905" t="inlineStr">
        <is>
          <t>A 65566-2020</t>
        </is>
      </c>
      <c r="B5905" s="1" t="n">
        <v>44173</v>
      </c>
      <c r="C5905" s="1" t="n">
        <v>45212</v>
      </c>
      <c r="D5905" t="inlineStr">
        <is>
          <t>VÄSTRA GÖTALANDS LÄN</t>
        </is>
      </c>
      <c r="E5905" t="inlineStr">
        <is>
          <t>BOLLEBYGD</t>
        </is>
      </c>
      <c r="F5905" t="inlineStr">
        <is>
          <t>Kommuner</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66077-2020</t>
        </is>
      </c>
      <c r="B5906" s="1" t="n">
        <v>44173</v>
      </c>
      <c r="C5906" s="1" t="n">
        <v>45212</v>
      </c>
      <c r="D5906" t="inlineStr">
        <is>
          <t>VÄSTRA GÖTALANDS LÄN</t>
        </is>
      </c>
      <c r="E5906" t="inlineStr">
        <is>
          <t>HJO</t>
        </is>
      </c>
      <c r="G5906" t="n">
        <v>20.8</v>
      </c>
      <c r="H5906" t="n">
        <v>0</v>
      </c>
      <c r="I5906" t="n">
        <v>0</v>
      </c>
      <c r="J5906" t="n">
        <v>0</v>
      </c>
      <c r="K5906" t="n">
        <v>0</v>
      </c>
      <c r="L5906" t="n">
        <v>0</v>
      </c>
      <c r="M5906" t="n">
        <v>0</v>
      </c>
      <c r="N5906" t="n">
        <v>0</v>
      </c>
      <c r="O5906" t="n">
        <v>0</v>
      </c>
      <c r="P5906" t="n">
        <v>0</v>
      </c>
      <c r="Q5906" t="n">
        <v>0</v>
      </c>
      <c r="R5906" s="2" t="inlineStr"/>
    </row>
    <row r="5907" ht="15" customHeight="1">
      <c r="A5907" t="inlineStr">
        <is>
          <t>A 65749-2020</t>
        </is>
      </c>
      <c r="B5907" s="1" t="n">
        <v>44174</v>
      </c>
      <c r="C5907" s="1" t="n">
        <v>45212</v>
      </c>
      <c r="D5907" t="inlineStr">
        <is>
          <t>VÄSTRA GÖTALANDS LÄN</t>
        </is>
      </c>
      <c r="E5907" t="inlineStr">
        <is>
          <t>SVENLJUNGA</t>
        </is>
      </c>
      <c r="G5907" t="n">
        <v>11.9</v>
      </c>
      <c r="H5907" t="n">
        <v>0</v>
      </c>
      <c r="I5907" t="n">
        <v>0</v>
      </c>
      <c r="J5907" t="n">
        <v>0</v>
      </c>
      <c r="K5907" t="n">
        <v>0</v>
      </c>
      <c r="L5907" t="n">
        <v>0</v>
      </c>
      <c r="M5907" t="n">
        <v>0</v>
      </c>
      <c r="N5907" t="n">
        <v>0</v>
      </c>
      <c r="O5907" t="n">
        <v>0</v>
      </c>
      <c r="P5907" t="n">
        <v>0</v>
      </c>
      <c r="Q5907" t="n">
        <v>0</v>
      </c>
      <c r="R5907" s="2" t="inlineStr"/>
    </row>
    <row r="5908" ht="15" customHeight="1">
      <c r="A5908" t="inlineStr">
        <is>
          <t>A 65803-2020</t>
        </is>
      </c>
      <c r="B5908" s="1" t="n">
        <v>44174</v>
      </c>
      <c r="C5908" s="1" t="n">
        <v>45212</v>
      </c>
      <c r="D5908" t="inlineStr">
        <is>
          <t>VÄSTRA GÖTALANDS LÄN</t>
        </is>
      </c>
      <c r="E5908" t="inlineStr">
        <is>
          <t>BOLLEBYGD</t>
        </is>
      </c>
      <c r="G5908" t="n">
        <v>7.7</v>
      </c>
      <c r="H5908" t="n">
        <v>0</v>
      </c>
      <c r="I5908" t="n">
        <v>0</v>
      </c>
      <c r="J5908" t="n">
        <v>0</v>
      </c>
      <c r="K5908" t="n">
        <v>0</v>
      </c>
      <c r="L5908" t="n">
        <v>0</v>
      </c>
      <c r="M5908" t="n">
        <v>0</v>
      </c>
      <c r="N5908" t="n">
        <v>0</v>
      </c>
      <c r="O5908" t="n">
        <v>0</v>
      </c>
      <c r="P5908" t="n">
        <v>0</v>
      </c>
      <c r="Q5908" t="n">
        <v>0</v>
      </c>
      <c r="R5908" s="2" t="inlineStr"/>
    </row>
    <row r="5909" ht="15" customHeight="1">
      <c r="A5909" t="inlineStr">
        <is>
          <t>A 65844-2020</t>
        </is>
      </c>
      <c r="B5909" s="1" t="n">
        <v>44174</v>
      </c>
      <c r="C5909" s="1" t="n">
        <v>45212</v>
      </c>
      <c r="D5909" t="inlineStr">
        <is>
          <t>VÄSTRA GÖTALANDS LÄN</t>
        </is>
      </c>
      <c r="E5909" t="inlineStr">
        <is>
          <t>MARK</t>
        </is>
      </c>
      <c r="F5909" t="inlineStr">
        <is>
          <t>Kommuner</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65728-2020</t>
        </is>
      </c>
      <c r="B5910" s="1" t="n">
        <v>44174</v>
      </c>
      <c r="C5910" s="1" t="n">
        <v>45212</v>
      </c>
      <c r="D5910" t="inlineStr">
        <is>
          <t>VÄSTRA GÖTALANDS LÄN</t>
        </is>
      </c>
      <c r="E5910" t="inlineStr">
        <is>
          <t>SVENLJUNGA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65747-2020</t>
        </is>
      </c>
      <c r="B5911" s="1" t="n">
        <v>44174</v>
      </c>
      <c r="C5911" s="1" t="n">
        <v>45212</v>
      </c>
      <c r="D5911" t="inlineStr">
        <is>
          <t>VÄSTRA GÖTALANDS LÄN</t>
        </is>
      </c>
      <c r="E5911" t="inlineStr">
        <is>
          <t>BENGTSFORS</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65878-2020</t>
        </is>
      </c>
      <c r="B5912" s="1" t="n">
        <v>44174</v>
      </c>
      <c r="C5912" s="1" t="n">
        <v>45212</v>
      </c>
      <c r="D5912" t="inlineStr">
        <is>
          <t>VÄSTRA GÖTALANDS LÄN</t>
        </is>
      </c>
      <c r="E5912" t="inlineStr">
        <is>
          <t>HERRLJUNGA</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65883-2020</t>
        </is>
      </c>
      <c r="B5913" s="1" t="n">
        <v>44174</v>
      </c>
      <c r="C5913" s="1" t="n">
        <v>45212</v>
      </c>
      <c r="D5913" t="inlineStr">
        <is>
          <t>VÄSTRA GÖTALANDS LÄN</t>
        </is>
      </c>
      <c r="E5913" t="inlineStr">
        <is>
          <t>LILLA EDET</t>
        </is>
      </c>
      <c r="G5913" t="n">
        <v>1.8</v>
      </c>
      <c r="H5913" t="n">
        <v>0</v>
      </c>
      <c r="I5913" t="n">
        <v>0</v>
      </c>
      <c r="J5913" t="n">
        <v>0</v>
      </c>
      <c r="K5913" t="n">
        <v>0</v>
      </c>
      <c r="L5913" t="n">
        <v>0</v>
      </c>
      <c r="M5913" t="n">
        <v>0</v>
      </c>
      <c r="N5913" t="n">
        <v>0</v>
      </c>
      <c r="O5913" t="n">
        <v>0</v>
      </c>
      <c r="P5913" t="n">
        <v>0</v>
      </c>
      <c r="Q5913" t="n">
        <v>0</v>
      </c>
      <c r="R5913" s="2" t="inlineStr"/>
    </row>
    <row r="5914" ht="15" customHeight="1">
      <c r="A5914" t="inlineStr">
        <is>
          <t>A 66009-2020</t>
        </is>
      </c>
      <c r="B5914" s="1" t="n">
        <v>44175</v>
      </c>
      <c r="C5914" s="1" t="n">
        <v>45212</v>
      </c>
      <c r="D5914" t="inlineStr">
        <is>
          <t>VÄSTRA GÖTALANDS LÄN</t>
        </is>
      </c>
      <c r="E5914" t="inlineStr">
        <is>
          <t>ULRICEHAMN</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65909-2020</t>
        </is>
      </c>
      <c r="B5915" s="1" t="n">
        <v>44175</v>
      </c>
      <c r="C5915" s="1" t="n">
        <v>45212</v>
      </c>
      <c r="D5915" t="inlineStr">
        <is>
          <t>VÄSTRA GÖTALANDS LÄN</t>
        </is>
      </c>
      <c r="E5915" t="inlineStr">
        <is>
          <t>UDDEVALLA</t>
        </is>
      </c>
      <c r="G5915" t="n">
        <v>8.699999999999999</v>
      </c>
      <c r="H5915" t="n">
        <v>0</v>
      </c>
      <c r="I5915" t="n">
        <v>0</v>
      </c>
      <c r="J5915" t="n">
        <v>0</v>
      </c>
      <c r="K5915" t="n">
        <v>0</v>
      </c>
      <c r="L5915" t="n">
        <v>0</v>
      </c>
      <c r="M5915" t="n">
        <v>0</v>
      </c>
      <c r="N5915" t="n">
        <v>0</v>
      </c>
      <c r="O5915" t="n">
        <v>0</v>
      </c>
      <c r="P5915" t="n">
        <v>0</v>
      </c>
      <c r="Q5915" t="n">
        <v>0</v>
      </c>
      <c r="R5915" s="2" t="inlineStr"/>
    </row>
    <row r="5916" ht="15" customHeight="1">
      <c r="A5916" t="inlineStr">
        <is>
          <t>A 66183-2020</t>
        </is>
      </c>
      <c r="B5916" s="1" t="n">
        <v>44175</v>
      </c>
      <c r="C5916" s="1" t="n">
        <v>45212</v>
      </c>
      <c r="D5916" t="inlineStr">
        <is>
          <t>VÄSTRA GÖTALANDS LÄN</t>
        </is>
      </c>
      <c r="E5916" t="inlineStr">
        <is>
          <t>TRANEMO</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66123-2020</t>
        </is>
      </c>
      <c r="B5917" s="1" t="n">
        <v>44175</v>
      </c>
      <c r="C5917" s="1" t="n">
        <v>45212</v>
      </c>
      <c r="D5917" t="inlineStr">
        <is>
          <t>VÄSTRA GÖTALANDS LÄN</t>
        </is>
      </c>
      <c r="E5917" t="inlineStr">
        <is>
          <t>VÅRGÅRDA</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65929-2020</t>
        </is>
      </c>
      <c r="B5918" s="1" t="n">
        <v>44175</v>
      </c>
      <c r="C5918" s="1" t="n">
        <v>45212</v>
      </c>
      <c r="D5918" t="inlineStr">
        <is>
          <t>VÄSTRA GÖTALANDS LÄN</t>
        </is>
      </c>
      <c r="E5918" t="inlineStr">
        <is>
          <t>HERRLJUNGA</t>
        </is>
      </c>
      <c r="G5918" t="n">
        <v>5.9</v>
      </c>
      <c r="H5918" t="n">
        <v>0</v>
      </c>
      <c r="I5918" t="n">
        <v>0</v>
      </c>
      <c r="J5918" t="n">
        <v>0</v>
      </c>
      <c r="K5918" t="n">
        <v>0</v>
      </c>
      <c r="L5918" t="n">
        <v>0</v>
      </c>
      <c r="M5918" t="n">
        <v>0</v>
      </c>
      <c r="N5918" t="n">
        <v>0</v>
      </c>
      <c r="O5918" t="n">
        <v>0</v>
      </c>
      <c r="P5918" t="n">
        <v>0</v>
      </c>
      <c r="Q5918" t="n">
        <v>0</v>
      </c>
      <c r="R5918" s="2" t="inlineStr"/>
    </row>
    <row r="5919" ht="15" customHeight="1">
      <c r="A5919" t="inlineStr">
        <is>
          <t>A 66050-2020</t>
        </is>
      </c>
      <c r="B5919" s="1" t="n">
        <v>44175</v>
      </c>
      <c r="C5919" s="1" t="n">
        <v>45212</v>
      </c>
      <c r="D5919" t="inlineStr">
        <is>
          <t>VÄSTRA GÖTALANDS LÄN</t>
        </is>
      </c>
      <c r="E5919" t="inlineStr">
        <is>
          <t>TÖREBODA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66155-2020</t>
        </is>
      </c>
      <c r="B5920" s="1" t="n">
        <v>44175</v>
      </c>
      <c r="C5920" s="1" t="n">
        <v>45212</v>
      </c>
      <c r="D5920" t="inlineStr">
        <is>
          <t>VÄSTRA GÖTALANDS LÄN</t>
        </is>
      </c>
      <c r="E5920" t="inlineStr">
        <is>
          <t>VÅRGÅRDA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66406-2020</t>
        </is>
      </c>
      <c r="B5921" s="1" t="n">
        <v>44176</v>
      </c>
      <c r="C5921" s="1" t="n">
        <v>45212</v>
      </c>
      <c r="D5921" t="inlineStr">
        <is>
          <t>VÄSTRA GÖTALANDS LÄN</t>
        </is>
      </c>
      <c r="E5921" t="inlineStr">
        <is>
          <t>GULLSPÅNG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66466-2020</t>
        </is>
      </c>
      <c r="B5922" s="1" t="n">
        <v>44176</v>
      </c>
      <c r="C5922" s="1" t="n">
        <v>45212</v>
      </c>
      <c r="D5922" t="inlineStr">
        <is>
          <t>VÄSTRA GÖTALANDS LÄN</t>
        </is>
      </c>
      <c r="E5922" t="inlineStr">
        <is>
          <t>ALE</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66364-2020</t>
        </is>
      </c>
      <c r="B5923" s="1" t="n">
        <v>44176</v>
      </c>
      <c r="C5923" s="1" t="n">
        <v>45212</v>
      </c>
      <c r="D5923" t="inlineStr">
        <is>
          <t>VÄSTRA GÖTALANDS LÄN</t>
        </is>
      </c>
      <c r="E5923" t="inlineStr">
        <is>
          <t>BENGTSFORS</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66437-2020</t>
        </is>
      </c>
      <c r="B5924" s="1" t="n">
        <v>44176</v>
      </c>
      <c r="C5924" s="1" t="n">
        <v>45212</v>
      </c>
      <c r="D5924" t="inlineStr">
        <is>
          <t>VÄSTRA GÖTALANDS LÄN</t>
        </is>
      </c>
      <c r="E5924" t="inlineStr">
        <is>
          <t>TRANEMO</t>
        </is>
      </c>
      <c r="G5924" t="n">
        <v>22.5</v>
      </c>
      <c r="H5924" t="n">
        <v>0</v>
      </c>
      <c r="I5924" t="n">
        <v>0</v>
      </c>
      <c r="J5924" t="n">
        <v>0</v>
      </c>
      <c r="K5924" t="n">
        <v>0</v>
      </c>
      <c r="L5924" t="n">
        <v>0</v>
      </c>
      <c r="M5924" t="n">
        <v>0</v>
      </c>
      <c r="N5924" t="n">
        <v>0</v>
      </c>
      <c r="O5924" t="n">
        <v>0</v>
      </c>
      <c r="P5924" t="n">
        <v>0</v>
      </c>
      <c r="Q5924" t="n">
        <v>0</v>
      </c>
      <c r="R5924" s="2" t="inlineStr"/>
    </row>
    <row r="5925" ht="15" customHeight="1">
      <c r="A5925" t="inlineStr">
        <is>
          <t>A 66488-2020</t>
        </is>
      </c>
      <c r="B5925" s="1" t="n">
        <v>44177</v>
      </c>
      <c r="C5925" s="1" t="n">
        <v>45212</v>
      </c>
      <c r="D5925" t="inlineStr">
        <is>
          <t>VÄSTRA GÖTALANDS LÄN</t>
        </is>
      </c>
      <c r="E5925" t="inlineStr">
        <is>
          <t>UDDEVALLA</t>
        </is>
      </c>
      <c r="G5925" t="n">
        <v>13.8</v>
      </c>
      <c r="H5925" t="n">
        <v>0</v>
      </c>
      <c r="I5925" t="n">
        <v>0</v>
      </c>
      <c r="J5925" t="n">
        <v>0</v>
      </c>
      <c r="K5925" t="n">
        <v>0</v>
      </c>
      <c r="L5925" t="n">
        <v>0</v>
      </c>
      <c r="M5925" t="n">
        <v>0</v>
      </c>
      <c r="N5925" t="n">
        <v>0</v>
      </c>
      <c r="O5925" t="n">
        <v>0</v>
      </c>
      <c r="P5925" t="n">
        <v>0</v>
      </c>
      <c r="Q5925" t="n">
        <v>0</v>
      </c>
      <c r="R5925" s="2" t="inlineStr"/>
    </row>
    <row r="5926" ht="15" customHeight="1">
      <c r="A5926" t="inlineStr">
        <is>
          <t>A 66487-2020</t>
        </is>
      </c>
      <c r="B5926" s="1" t="n">
        <v>44177</v>
      </c>
      <c r="C5926" s="1" t="n">
        <v>45212</v>
      </c>
      <c r="D5926" t="inlineStr">
        <is>
          <t>VÄSTRA GÖTALANDS LÄN</t>
        </is>
      </c>
      <c r="E5926" t="inlineStr">
        <is>
          <t>UDDEVALLA</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66534-2020</t>
        </is>
      </c>
      <c r="B5927" s="1" t="n">
        <v>44179</v>
      </c>
      <c r="C5927" s="1" t="n">
        <v>45212</v>
      </c>
      <c r="D5927" t="inlineStr">
        <is>
          <t>VÄSTRA GÖTALANDS LÄN</t>
        </is>
      </c>
      <c r="E5927" t="inlineStr">
        <is>
          <t>TÖREBODA</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66551-2020</t>
        </is>
      </c>
      <c r="B5928" s="1" t="n">
        <v>44179</v>
      </c>
      <c r="C5928" s="1" t="n">
        <v>45212</v>
      </c>
      <c r="D5928" t="inlineStr">
        <is>
          <t>VÄSTRA GÖTALANDS LÄN</t>
        </is>
      </c>
      <c r="E5928" t="inlineStr">
        <is>
          <t>ALE</t>
        </is>
      </c>
      <c r="G5928" t="n">
        <v>4.5</v>
      </c>
      <c r="H5928" t="n">
        <v>0</v>
      </c>
      <c r="I5928" t="n">
        <v>0</v>
      </c>
      <c r="J5928" t="n">
        <v>0</v>
      </c>
      <c r="K5928" t="n">
        <v>0</v>
      </c>
      <c r="L5928" t="n">
        <v>0</v>
      </c>
      <c r="M5928" t="n">
        <v>0</v>
      </c>
      <c r="N5928" t="n">
        <v>0</v>
      </c>
      <c r="O5928" t="n">
        <v>0</v>
      </c>
      <c r="P5928" t="n">
        <v>0</v>
      </c>
      <c r="Q5928" t="n">
        <v>0</v>
      </c>
      <c r="R5928" s="2" t="inlineStr"/>
    </row>
    <row r="5929" ht="15" customHeight="1">
      <c r="A5929" t="inlineStr">
        <is>
          <t>A 66630-2020</t>
        </is>
      </c>
      <c r="B5929" s="1" t="n">
        <v>44179</v>
      </c>
      <c r="C5929" s="1" t="n">
        <v>45212</v>
      </c>
      <c r="D5929" t="inlineStr">
        <is>
          <t>VÄSTRA GÖTALANDS LÄN</t>
        </is>
      </c>
      <c r="E5929" t="inlineStr">
        <is>
          <t>ULRICEHAMN</t>
        </is>
      </c>
      <c r="G5929" t="n">
        <v>4.1</v>
      </c>
      <c r="H5929" t="n">
        <v>0</v>
      </c>
      <c r="I5929" t="n">
        <v>0</v>
      </c>
      <c r="J5929" t="n">
        <v>0</v>
      </c>
      <c r="K5929" t="n">
        <v>0</v>
      </c>
      <c r="L5929" t="n">
        <v>0</v>
      </c>
      <c r="M5929" t="n">
        <v>0</v>
      </c>
      <c r="N5929" t="n">
        <v>0</v>
      </c>
      <c r="O5929" t="n">
        <v>0</v>
      </c>
      <c r="P5929" t="n">
        <v>0</v>
      </c>
      <c r="Q5929" t="n">
        <v>0</v>
      </c>
      <c r="R5929" s="2" t="inlineStr"/>
    </row>
    <row r="5930" ht="15" customHeight="1">
      <c r="A5930" t="inlineStr">
        <is>
          <t>A 66724-2020</t>
        </is>
      </c>
      <c r="B5930" s="1" t="n">
        <v>44179</v>
      </c>
      <c r="C5930" s="1" t="n">
        <v>45212</v>
      </c>
      <c r="D5930" t="inlineStr">
        <is>
          <t>VÄSTRA GÖTALANDS LÄN</t>
        </is>
      </c>
      <c r="E5930" t="inlineStr">
        <is>
          <t>TRANEMO</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66569-2020</t>
        </is>
      </c>
      <c r="B5931" s="1" t="n">
        <v>44179</v>
      </c>
      <c r="C5931" s="1" t="n">
        <v>45212</v>
      </c>
      <c r="D5931" t="inlineStr">
        <is>
          <t>VÄSTRA GÖTALANDS LÄN</t>
        </is>
      </c>
      <c r="E5931" t="inlineStr">
        <is>
          <t>BENGTSFORS</t>
        </is>
      </c>
      <c r="G5931" t="n">
        <v>1.9</v>
      </c>
      <c r="H5931" t="n">
        <v>0</v>
      </c>
      <c r="I5931" t="n">
        <v>0</v>
      </c>
      <c r="J5931" t="n">
        <v>0</v>
      </c>
      <c r="K5931" t="n">
        <v>0</v>
      </c>
      <c r="L5931" t="n">
        <v>0</v>
      </c>
      <c r="M5931" t="n">
        <v>0</v>
      </c>
      <c r="N5931" t="n">
        <v>0</v>
      </c>
      <c r="O5931" t="n">
        <v>0</v>
      </c>
      <c r="P5931" t="n">
        <v>0</v>
      </c>
      <c r="Q5931" t="n">
        <v>0</v>
      </c>
      <c r="R5931" s="2" t="inlineStr"/>
    </row>
    <row r="5932" ht="15" customHeight="1">
      <c r="A5932" t="inlineStr">
        <is>
          <t>A 66588-2020</t>
        </is>
      </c>
      <c r="B5932" s="1" t="n">
        <v>44179</v>
      </c>
      <c r="C5932" s="1" t="n">
        <v>45212</v>
      </c>
      <c r="D5932" t="inlineStr">
        <is>
          <t>VÄSTRA GÖTALANDS LÄN</t>
        </is>
      </c>
      <c r="E5932" t="inlineStr">
        <is>
          <t>TANUM</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66633-2020</t>
        </is>
      </c>
      <c r="B5933" s="1" t="n">
        <v>44179</v>
      </c>
      <c r="C5933" s="1" t="n">
        <v>45212</v>
      </c>
      <c r="D5933" t="inlineStr">
        <is>
          <t>VÄSTRA GÖTALANDS LÄN</t>
        </is>
      </c>
      <c r="E5933" t="inlineStr">
        <is>
          <t>TANUM</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66560-2020</t>
        </is>
      </c>
      <c r="B5934" s="1" t="n">
        <v>44179</v>
      </c>
      <c r="C5934" s="1" t="n">
        <v>45212</v>
      </c>
      <c r="D5934" t="inlineStr">
        <is>
          <t>VÄSTRA GÖTALANDS LÄN</t>
        </is>
      </c>
      <c r="E5934" t="inlineStr">
        <is>
          <t>BORÅS</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66530-2020</t>
        </is>
      </c>
      <c r="B5935" s="1" t="n">
        <v>44179</v>
      </c>
      <c r="C5935" s="1" t="n">
        <v>45212</v>
      </c>
      <c r="D5935" t="inlineStr">
        <is>
          <t>VÄSTRA GÖTALANDS LÄN</t>
        </is>
      </c>
      <c r="E5935" t="inlineStr">
        <is>
          <t>KARLSBORG</t>
        </is>
      </c>
      <c r="F5935" t="inlineStr">
        <is>
          <t>Övriga Aktiebolag</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66624-2020</t>
        </is>
      </c>
      <c r="B5936" s="1" t="n">
        <v>44179</v>
      </c>
      <c r="C5936" s="1" t="n">
        <v>45212</v>
      </c>
      <c r="D5936" t="inlineStr">
        <is>
          <t>VÄSTRA GÖTALANDS LÄN</t>
        </is>
      </c>
      <c r="E5936" t="inlineStr">
        <is>
          <t>TANUM</t>
        </is>
      </c>
      <c r="G5936" t="n">
        <v>2</v>
      </c>
      <c r="H5936" t="n">
        <v>0</v>
      </c>
      <c r="I5936" t="n">
        <v>0</v>
      </c>
      <c r="J5936" t="n">
        <v>0</v>
      </c>
      <c r="K5936" t="n">
        <v>0</v>
      </c>
      <c r="L5936" t="n">
        <v>0</v>
      </c>
      <c r="M5936" t="n">
        <v>0</v>
      </c>
      <c r="N5936" t="n">
        <v>0</v>
      </c>
      <c r="O5936" t="n">
        <v>0</v>
      </c>
      <c r="P5936" t="n">
        <v>0</v>
      </c>
      <c r="Q5936" t="n">
        <v>0</v>
      </c>
      <c r="R5936" s="2" t="inlineStr"/>
    </row>
    <row r="5937" ht="15" customHeight="1">
      <c r="A5937" t="inlineStr">
        <is>
          <t>A 66638-2020</t>
        </is>
      </c>
      <c r="B5937" s="1" t="n">
        <v>44179</v>
      </c>
      <c r="C5937" s="1" t="n">
        <v>45212</v>
      </c>
      <c r="D5937" t="inlineStr">
        <is>
          <t>VÄSTRA GÖTALANDS LÄN</t>
        </is>
      </c>
      <c r="E5937" t="inlineStr">
        <is>
          <t>TANUM</t>
        </is>
      </c>
      <c r="G5937" t="n">
        <v>3.6</v>
      </c>
      <c r="H5937" t="n">
        <v>0</v>
      </c>
      <c r="I5937" t="n">
        <v>0</v>
      </c>
      <c r="J5937" t="n">
        <v>0</v>
      </c>
      <c r="K5937" t="n">
        <v>0</v>
      </c>
      <c r="L5937" t="n">
        <v>0</v>
      </c>
      <c r="M5937" t="n">
        <v>0</v>
      </c>
      <c r="N5937" t="n">
        <v>0</v>
      </c>
      <c r="O5937" t="n">
        <v>0</v>
      </c>
      <c r="P5937" t="n">
        <v>0</v>
      </c>
      <c r="Q5937" t="n">
        <v>0</v>
      </c>
      <c r="R5937" s="2" t="inlineStr"/>
    </row>
    <row r="5938" ht="15" customHeight="1">
      <c r="A5938" t="inlineStr">
        <is>
          <t>A 66728-2020</t>
        </is>
      </c>
      <c r="B5938" s="1" t="n">
        <v>44179</v>
      </c>
      <c r="C5938" s="1" t="n">
        <v>45212</v>
      </c>
      <c r="D5938" t="inlineStr">
        <is>
          <t>VÄSTRA GÖTALANDS LÄN</t>
        </is>
      </c>
      <c r="E5938" t="inlineStr">
        <is>
          <t>HERRLJUNGA</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66864-2020</t>
        </is>
      </c>
      <c r="B5939" s="1" t="n">
        <v>44180</v>
      </c>
      <c r="C5939" s="1" t="n">
        <v>45212</v>
      </c>
      <c r="D5939" t="inlineStr">
        <is>
          <t>VÄSTRA GÖTALANDS LÄN</t>
        </is>
      </c>
      <c r="E5939" t="inlineStr">
        <is>
          <t>MARIESTAD</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67113-2020</t>
        </is>
      </c>
      <c r="B5940" s="1" t="n">
        <v>44180</v>
      </c>
      <c r="C5940" s="1" t="n">
        <v>45212</v>
      </c>
      <c r="D5940" t="inlineStr">
        <is>
          <t>VÄSTRA GÖTALANDS LÄN</t>
        </is>
      </c>
      <c r="E5940" t="inlineStr">
        <is>
          <t>DALS-ED</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67140-2020</t>
        </is>
      </c>
      <c r="B5941" s="1" t="n">
        <v>44180</v>
      </c>
      <c r="C5941" s="1" t="n">
        <v>45212</v>
      </c>
      <c r="D5941" t="inlineStr">
        <is>
          <t>VÄSTRA GÖTALANDS LÄN</t>
        </is>
      </c>
      <c r="E5941" t="inlineStr">
        <is>
          <t>ULRICEHAMN</t>
        </is>
      </c>
      <c r="F5941" t="inlineStr">
        <is>
          <t>Kyrkan</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67177-2020</t>
        </is>
      </c>
      <c r="B5942" s="1" t="n">
        <v>44180</v>
      </c>
      <c r="C5942" s="1" t="n">
        <v>45212</v>
      </c>
      <c r="D5942" t="inlineStr">
        <is>
          <t>VÄSTRA GÖTALANDS LÄN</t>
        </is>
      </c>
      <c r="E5942" t="inlineStr">
        <is>
          <t>GÖTENE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66929-2020</t>
        </is>
      </c>
      <c r="B5943" s="1" t="n">
        <v>44180</v>
      </c>
      <c r="C5943" s="1" t="n">
        <v>45212</v>
      </c>
      <c r="D5943" t="inlineStr">
        <is>
          <t>VÄSTRA GÖTALANDS LÄN</t>
        </is>
      </c>
      <c r="E5943" t="inlineStr">
        <is>
          <t>BENGTSFORS</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67295-2020</t>
        </is>
      </c>
      <c r="B5944" s="1" t="n">
        <v>44181</v>
      </c>
      <c r="C5944" s="1" t="n">
        <v>45212</v>
      </c>
      <c r="D5944" t="inlineStr">
        <is>
          <t>VÄSTRA GÖTALANDS LÄN</t>
        </is>
      </c>
      <c r="E5944" t="inlineStr">
        <is>
          <t>SKÖVDE</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67350-2020</t>
        </is>
      </c>
      <c r="B5945" s="1" t="n">
        <v>44181</v>
      </c>
      <c r="C5945" s="1" t="n">
        <v>45212</v>
      </c>
      <c r="D5945" t="inlineStr">
        <is>
          <t>VÄSTRA GÖTALANDS LÄN</t>
        </is>
      </c>
      <c r="E5945" t="inlineStr">
        <is>
          <t>HÄRRYDA</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67556-2020</t>
        </is>
      </c>
      <c r="B5946" s="1" t="n">
        <v>44181</v>
      </c>
      <c r="C5946" s="1" t="n">
        <v>45212</v>
      </c>
      <c r="D5946" t="inlineStr">
        <is>
          <t>VÄSTRA GÖTALANDS LÄN</t>
        </is>
      </c>
      <c r="E5946" t="inlineStr">
        <is>
          <t>FALKÖPING</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67764-2020</t>
        </is>
      </c>
      <c r="B5947" s="1" t="n">
        <v>44181</v>
      </c>
      <c r="C5947" s="1" t="n">
        <v>45212</v>
      </c>
      <c r="D5947" t="inlineStr">
        <is>
          <t>VÄSTRA GÖTALANDS LÄN</t>
        </is>
      </c>
      <c r="E5947" t="inlineStr">
        <is>
          <t>LIDKÖPING</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67345-2020</t>
        </is>
      </c>
      <c r="B5948" s="1" t="n">
        <v>44181</v>
      </c>
      <c r="C5948" s="1" t="n">
        <v>45212</v>
      </c>
      <c r="D5948" t="inlineStr">
        <is>
          <t>VÄSTRA GÖTALANDS LÄN</t>
        </is>
      </c>
      <c r="E5948" t="inlineStr">
        <is>
          <t>ULRICEHAMN</t>
        </is>
      </c>
      <c r="F5948" t="inlineStr">
        <is>
          <t>Kommuner</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67405-2020</t>
        </is>
      </c>
      <c r="B5949" s="1" t="n">
        <v>44181</v>
      </c>
      <c r="C5949" s="1" t="n">
        <v>45212</v>
      </c>
      <c r="D5949" t="inlineStr">
        <is>
          <t>VÄSTRA GÖTALANDS LÄN</t>
        </is>
      </c>
      <c r="E5949" t="inlineStr">
        <is>
          <t>VARA</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67772-2020</t>
        </is>
      </c>
      <c r="B5950" s="1" t="n">
        <v>44181</v>
      </c>
      <c r="C5950" s="1" t="n">
        <v>45212</v>
      </c>
      <c r="D5950" t="inlineStr">
        <is>
          <t>VÄSTRA GÖTALANDS LÄN</t>
        </is>
      </c>
      <c r="E5950" t="inlineStr">
        <is>
          <t>LIDKÖPING</t>
        </is>
      </c>
      <c r="G5950" t="n">
        <v>0.1</v>
      </c>
      <c r="H5950" t="n">
        <v>0</v>
      </c>
      <c r="I5950" t="n">
        <v>0</v>
      </c>
      <c r="J5950" t="n">
        <v>0</v>
      </c>
      <c r="K5950" t="n">
        <v>0</v>
      </c>
      <c r="L5950" t="n">
        <v>0</v>
      </c>
      <c r="M5950" t="n">
        <v>0</v>
      </c>
      <c r="N5950" t="n">
        <v>0</v>
      </c>
      <c r="O5950" t="n">
        <v>0</v>
      </c>
      <c r="P5950" t="n">
        <v>0</v>
      </c>
      <c r="Q5950" t="n">
        <v>0</v>
      </c>
      <c r="R5950" s="2" t="inlineStr"/>
    </row>
    <row r="5951" ht="15" customHeight="1">
      <c r="A5951" t="inlineStr">
        <is>
          <t>A 67271-2020</t>
        </is>
      </c>
      <c r="B5951" s="1" t="n">
        <v>44181</v>
      </c>
      <c r="C5951" s="1" t="n">
        <v>45212</v>
      </c>
      <c r="D5951" t="inlineStr">
        <is>
          <t>VÄSTRA GÖTALANDS LÄN</t>
        </is>
      </c>
      <c r="E5951" t="inlineStr">
        <is>
          <t>BORÅS</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67453-2020</t>
        </is>
      </c>
      <c r="B5952" s="1" t="n">
        <v>44181</v>
      </c>
      <c r="C5952" s="1" t="n">
        <v>45212</v>
      </c>
      <c r="D5952" t="inlineStr">
        <is>
          <t>VÄSTRA GÖTALANDS LÄN</t>
        </is>
      </c>
      <c r="E5952" t="inlineStr">
        <is>
          <t>VARA</t>
        </is>
      </c>
      <c r="G5952" t="n">
        <v>2.2</v>
      </c>
      <c r="H5952" t="n">
        <v>0</v>
      </c>
      <c r="I5952" t="n">
        <v>0</v>
      </c>
      <c r="J5952" t="n">
        <v>0</v>
      </c>
      <c r="K5952" t="n">
        <v>0</v>
      </c>
      <c r="L5952" t="n">
        <v>0</v>
      </c>
      <c r="M5952" t="n">
        <v>0</v>
      </c>
      <c r="N5952" t="n">
        <v>0</v>
      </c>
      <c r="O5952" t="n">
        <v>0</v>
      </c>
      <c r="P5952" t="n">
        <v>0</v>
      </c>
      <c r="Q5952" t="n">
        <v>0</v>
      </c>
      <c r="R5952" s="2" t="inlineStr"/>
    </row>
    <row r="5953" ht="15" customHeight="1">
      <c r="A5953" t="inlineStr">
        <is>
          <t>A 67554-2020</t>
        </is>
      </c>
      <c r="B5953" s="1" t="n">
        <v>44181</v>
      </c>
      <c r="C5953" s="1" t="n">
        <v>45212</v>
      </c>
      <c r="D5953" t="inlineStr">
        <is>
          <t>VÄSTRA GÖTALANDS LÄN</t>
        </is>
      </c>
      <c r="E5953" t="inlineStr">
        <is>
          <t>KARLSBORG</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67759-2020</t>
        </is>
      </c>
      <c r="B5954" s="1" t="n">
        <v>44181</v>
      </c>
      <c r="C5954" s="1" t="n">
        <v>45212</v>
      </c>
      <c r="D5954" t="inlineStr">
        <is>
          <t>VÄSTRA GÖTALANDS LÄN</t>
        </is>
      </c>
      <c r="E5954" t="inlineStr">
        <is>
          <t>LIDKÖPING</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67775-2020</t>
        </is>
      </c>
      <c r="B5955" s="1" t="n">
        <v>44181</v>
      </c>
      <c r="C5955" s="1" t="n">
        <v>45212</v>
      </c>
      <c r="D5955" t="inlineStr">
        <is>
          <t>VÄSTRA GÖTALANDS LÄN</t>
        </is>
      </c>
      <c r="E5955" t="inlineStr">
        <is>
          <t>LIDKÖPING</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67265-2020</t>
        </is>
      </c>
      <c r="B5956" s="1" t="n">
        <v>44181</v>
      </c>
      <c r="C5956" s="1" t="n">
        <v>45212</v>
      </c>
      <c r="D5956" t="inlineStr">
        <is>
          <t>VÄSTRA GÖTALANDS LÄN</t>
        </is>
      </c>
      <c r="E5956" t="inlineStr">
        <is>
          <t>UDDEVALLA</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67443-2020</t>
        </is>
      </c>
      <c r="B5957" s="1" t="n">
        <v>44181</v>
      </c>
      <c r="C5957" s="1" t="n">
        <v>45212</v>
      </c>
      <c r="D5957" t="inlineStr">
        <is>
          <t>VÄSTRA GÖTALANDS LÄN</t>
        </is>
      </c>
      <c r="E5957" t="inlineStr">
        <is>
          <t>KARLSBORG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67768-2020</t>
        </is>
      </c>
      <c r="B5958" s="1" t="n">
        <v>44181</v>
      </c>
      <c r="C5958" s="1" t="n">
        <v>45212</v>
      </c>
      <c r="D5958" t="inlineStr">
        <is>
          <t>VÄSTRA GÖTALANDS LÄN</t>
        </is>
      </c>
      <c r="E5958" t="inlineStr">
        <is>
          <t>LIDKÖPING</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67662-2020</t>
        </is>
      </c>
      <c r="B5959" s="1" t="n">
        <v>44182</v>
      </c>
      <c r="C5959" s="1" t="n">
        <v>45212</v>
      </c>
      <c r="D5959" t="inlineStr">
        <is>
          <t>VÄSTRA GÖTALANDS LÄN</t>
        </is>
      </c>
      <c r="E5959" t="inlineStr">
        <is>
          <t>ALINGSÅS</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67873-2020</t>
        </is>
      </c>
      <c r="B5960" s="1" t="n">
        <v>44182</v>
      </c>
      <c r="C5960" s="1" t="n">
        <v>45212</v>
      </c>
      <c r="D5960" t="inlineStr">
        <is>
          <t>VÄSTRA GÖTALANDS LÄN</t>
        </is>
      </c>
      <c r="E5960" t="inlineStr">
        <is>
          <t>DALS-ED</t>
        </is>
      </c>
      <c r="G5960" t="n">
        <v>0.6</v>
      </c>
      <c r="H5960" t="n">
        <v>0</v>
      </c>
      <c r="I5960" t="n">
        <v>0</v>
      </c>
      <c r="J5960" t="n">
        <v>0</v>
      </c>
      <c r="K5960" t="n">
        <v>0</v>
      </c>
      <c r="L5960" t="n">
        <v>0</v>
      </c>
      <c r="M5960" t="n">
        <v>0</v>
      </c>
      <c r="N5960" t="n">
        <v>0</v>
      </c>
      <c r="O5960" t="n">
        <v>0</v>
      </c>
      <c r="P5960" t="n">
        <v>0</v>
      </c>
      <c r="Q5960" t="n">
        <v>0</v>
      </c>
      <c r="R5960" s="2" t="inlineStr"/>
    </row>
    <row r="5961" ht="15" customHeight="1">
      <c r="A5961" t="inlineStr">
        <is>
          <t>A 68347-2020</t>
        </is>
      </c>
      <c r="B5961" s="1" t="n">
        <v>44182</v>
      </c>
      <c r="C5961" s="1" t="n">
        <v>45212</v>
      </c>
      <c r="D5961" t="inlineStr">
        <is>
          <t>VÄSTRA GÖTALANDS LÄN</t>
        </is>
      </c>
      <c r="E5961" t="inlineStr">
        <is>
          <t>DALS-ED</t>
        </is>
      </c>
      <c r="F5961" t="inlineStr">
        <is>
          <t>Kyrkan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68411-2020</t>
        </is>
      </c>
      <c r="B5962" s="1" t="n">
        <v>44182</v>
      </c>
      <c r="C5962" s="1" t="n">
        <v>45212</v>
      </c>
      <c r="D5962" t="inlineStr">
        <is>
          <t>VÄSTRA GÖTALANDS LÄN</t>
        </is>
      </c>
      <c r="E5962" t="inlineStr">
        <is>
          <t>VÄNERSBORG</t>
        </is>
      </c>
      <c r="G5962" t="n">
        <v>3.2</v>
      </c>
      <c r="H5962" t="n">
        <v>0</v>
      </c>
      <c r="I5962" t="n">
        <v>0</v>
      </c>
      <c r="J5962" t="n">
        <v>0</v>
      </c>
      <c r="K5962" t="n">
        <v>0</v>
      </c>
      <c r="L5962" t="n">
        <v>0</v>
      </c>
      <c r="M5962" t="n">
        <v>0</v>
      </c>
      <c r="N5962" t="n">
        <v>0</v>
      </c>
      <c r="O5962" t="n">
        <v>0</v>
      </c>
      <c r="P5962" t="n">
        <v>0</v>
      </c>
      <c r="Q5962" t="n">
        <v>0</v>
      </c>
      <c r="R5962" s="2" t="inlineStr"/>
    </row>
    <row r="5963" ht="15" customHeight="1">
      <c r="A5963" t="inlineStr">
        <is>
          <t>A 67835-2020</t>
        </is>
      </c>
      <c r="B5963" s="1" t="n">
        <v>44182</v>
      </c>
      <c r="C5963" s="1" t="n">
        <v>45212</v>
      </c>
      <c r="D5963" t="inlineStr">
        <is>
          <t>VÄSTRA GÖTALANDS LÄN</t>
        </is>
      </c>
      <c r="E5963" t="inlineStr">
        <is>
          <t>BOLLEBYGD</t>
        </is>
      </c>
      <c r="G5963" t="n">
        <v>6</v>
      </c>
      <c r="H5963" t="n">
        <v>0</v>
      </c>
      <c r="I5963" t="n">
        <v>0</v>
      </c>
      <c r="J5963" t="n">
        <v>0</v>
      </c>
      <c r="K5963" t="n">
        <v>0</v>
      </c>
      <c r="L5963" t="n">
        <v>0</v>
      </c>
      <c r="M5963" t="n">
        <v>0</v>
      </c>
      <c r="N5963" t="n">
        <v>0</v>
      </c>
      <c r="O5963" t="n">
        <v>0</v>
      </c>
      <c r="P5963" t="n">
        <v>0</v>
      </c>
      <c r="Q5963" t="n">
        <v>0</v>
      </c>
      <c r="R5963" s="2" t="inlineStr"/>
    </row>
    <row r="5964" ht="15" customHeight="1">
      <c r="A5964" t="inlineStr">
        <is>
          <t>A 67949-2020</t>
        </is>
      </c>
      <c r="B5964" s="1" t="n">
        <v>44182</v>
      </c>
      <c r="C5964" s="1" t="n">
        <v>45212</v>
      </c>
      <c r="D5964" t="inlineStr">
        <is>
          <t>VÄSTRA GÖTALANDS LÄN</t>
        </is>
      </c>
      <c r="E5964" t="inlineStr">
        <is>
          <t>ULRICEHAMN</t>
        </is>
      </c>
      <c r="G5964" t="n">
        <v>5.7</v>
      </c>
      <c r="H5964" t="n">
        <v>0</v>
      </c>
      <c r="I5964" t="n">
        <v>0</v>
      </c>
      <c r="J5964" t="n">
        <v>0</v>
      </c>
      <c r="K5964" t="n">
        <v>0</v>
      </c>
      <c r="L5964" t="n">
        <v>0</v>
      </c>
      <c r="M5964" t="n">
        <v>0</v>
      </c>
      <c r="N5964" t="n">
        <v>0</v>
      </c>
      <c r="O5964" t="n">
        <v>0</v>
      </c>
      <c r="P5964" t="n">
        <v>0</v>
      </c>
      <c r="Q5964" t="n">
        <v>0</v>
      </c>
      <c r="R5964" s="2" t="inlineStr"/>
    </row>
    <row r="5965" ht="15" customHeight="1">
      <c r="A5965" t="inlineStr">
        <is>
          <t>A 67970-2020</t>
        </is>
      </c>
      <c r="B5965" s="1" t="n">
        <v>44182</v>
      </c>
      <c r="C5965" s="1" t="n">
        <v>45212</v>
      </c>
      <c r="D5965" t="inlineStr">
        <is>
          <t>VÄSTRA GÖTALANDS LÄN</t>
        </is>
      </c>
      <c r="E5965" t="inlineStr">
        <is>
          <t>KARLSBORG</t>
        </is>
      </c>
      <c r="G5965" t="n">
        <v>0.5</v>
      </c>
      <c r="H5965" t="n">
        <v>0</v>
      </c>
      <c r="I5965" t="n">
        <v>0</v>
      </c>
      <c r="J5965" t="n">
        <v>0</v>
      </c>
      <c r="K5965" t="n">
        <v>0</v>
      </c>
      <c r="L5965" t="n">
        <v>0</v>
      </c>
      <c r="M5965" t="n">
        <v>0</v>
      </c>
      <c r="N5965" t="n">
        <v>0</v>
      </c>
      <c r="O5965" t="n">
        <v>0</v>
      </c>
      <c r="P5965" t="n">
        <v>0</v>
      </c>
      <c r="Q5965" t="n">
        <v>0</v>
      </c>
      <c r="R5965" s="2" t="inlineStr"/>
    </row>
    <row r="5966" ht="15" customHeight="1">
      <c r="A5966" t="inlineStr">
        <is>
          <t>A 67690-2020</t>
        </is>
      </c>
      <c r="B5966" s="1" t="n">
        <v>44182</v>
      </c>
      <c r="C5966" s="1" t="n">
        <v>45212</v>
      </c>
      <c r="D5966" t="inlineStr">
        <is>
          <t>VÄSTRA GÖTALANDS LÄN</t>
        </is>
      </c>
      <c r="E5966" t="inlineStr">
        <is>
          <t>BORÅS</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67752-2020</t>
        </is>
      </c>
      <c r="B5967" s="1" t="n">
        <v>44182</v>
      </c>
      <c r="C5967" s="1" t="n">
        <v>45212</v>
      </c>
      <c r="D5967" t="inlineStr">
        <is>
          <t>VÄSTRA GÖTALANDS LÄN</t>
        </is>
      </c>
      <c r="E5967" t="inlineStr">
        <is>
          <t>ORUST</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68152-2020</t>
        </is>
      </c>
      <c r="B5968" s="1" t="n">
        <v>44183</v>
      </c>
      <c r="C5968" s="1" t="n">
        <v>45212</v>
      </c>
      <c r="D5968" t="inlineStr">
        <is>
          <t>VÄSTRA GÖTALANDS LÄN</t>
        </is>
      </c>
      <c r="E5968" t="inlineStr">
        <is>
          <t>BORÅS</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68507-2020</t>
        </is>
      </c>
      <c r="B5969" s="1" t="n">
        <v>44183</v>
      </c>
      <c r="C5969" s="1" t="n">
        <v>45212</v>
      </c>
      <c r="D5969" t="inlineStr">
        <is>
          <t>VÄSTRA GÖTALANDS LÄN</t>
        </is>
      </c>
      <c r="E5969" t="inlineStr">
        <is>
          <t>VARA</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68149-2020</t>
        </is>
      </c>
      <c r="B5970" s="1" t="n">
        <v>44183</v>
      </c>
      <c r="C5970" s="1" t="n">
        <v>45212</v>
      </c>
      <c r="D5970" t="inlineStr">
        <is>
          <t>VÄSTRA GÖTALANDS LÄN</t>
        </is>
      </c>
      <c r="E5970" t="inlineStr">
        <is>
          <t>BORÅS</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68157-2020</t>
        </is>
      </c>
      <c r="B5971" s="1" t="n">
        <v>44183</v>
      </c>
      <c r="C5971" s="1" t="n">
        <v>45212</v>
      </c>
      <c r="D5971" t="inlineStr">
        <is>
          <t>VÄSTRA GÖTALANDS LÄN</t>
        </is>
      </c>
      <c r="E5971" t="inlineStr">
        <is>
          <t>BORÅS</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68500-2020</t>
        </is>
      </c>
      <c r="B5972" s="1" t="n">
        <v>44183</v>
      </c>
      <c r="C5972" s="1" t="n">
        <v>45212</v>
      </c>
      <c r="D5972" t="inlineStr">
        <is>
          <t>VÄSTRA GÖTALANDS LÄN</t>
        </is>
      </c>
      <c r="E5972" t="inlineStr">
        <is>
          <t>LIDKÖPING</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68153-2020</t>
        </is>
      </c>
      <c r="B5973" s="1" t="n">
        <v>44183</v>
      </c>
      <c r="C5973" s="1" t="n">
        <v>45212</v>
      </c>
      <c r="D5973" t="inlineStr">
        <is>
          <t>VÄSTRA GÖTALANDS LÄN</t>
        </is>
      </c>
      <c r="E5973" t="inlineStr">
        <is>
          <t>BORÅS</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68278-2020</t>
        </is>
      </c>
      <c r="B5974" s="1" t="n">
        <v>44183</v>
      </c>
      <c r="C5974" s="1" t="n">
        <v>45212</v>
      </c>
      <c r="D5974" t="inlineStr">
        <is>
          <t>VÄSTRA GÖTALANDS LÄN</t>
        </is>
      </c>
      <c r="E5974" t="inlineStr">
        <is>
          <t>BENGTSFORS</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68451-2020</t>
        </is>
      </c>
      <c r="B5975" s="1" t="n">
        <v>44186</v>
      </c>
      <c r="C5975" s="1" t="n">
        <v>45212</v>
      </c>
      <c r="D5975" t="inlineStr">
        <is>
          <t>VÄSTRA GÖTALANDS LÄN</t>
        </is>
      </c>
      <c r="E5975" t="inlineStr">
        <is>
          <t>TIDAHOLM</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68569-2020</t>
        </is>
      </c>
      <c r="B5976" s="1" t="n">
        <v>44186</v>
      </c>
      <c r="C5976" s="1" t="n">
        <v>45212</v>
      </c>
      <c r="D5976" t="inlineStr">
        <is>
          <t>VÄSTRA GÖTALANDS LÄN</t>
        </is>
      </c>
      <c r="E5976" t="inlineStr">
        <is>
          <t>VÅRGÅRDA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68526-2020</t>
        </is>
      </c>
      <c r="B5977" s="1" t="n">
        <v>44186</v>
      </c>
      <c r="C5977" s="1" t="n">
        <v>45212</v>
      </c>
      <c r="D5977" t="inlineStr">
        <is>
          <t>VÄSTRA GÖTALANDS LÄN</t>
        </is>
      </c>
      <c r="E5977" t="inlineStr">
        <is>
          <t>TRANEMO</t>
        </is>
      </c>
      <c r="F5977" t="inlineStr">
        <is>
          <t>Kyrkan</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68818-2020</t>
        </is>
      </c>
      <c r="B5978" s="1" t="n">
        <v>44186</v>
      </c>
      <c r="C5978" s="1" t="n">
        <v>45212</v>
      </c>
      <c r="D5978" t="inlineStr">
        <is>
          <t>VÄSTRA GÖTALANDS LÄN</t>
        </is>
      </c>
      <c r="E5978" t="inlineStr">
        <is>
          <t>MELLERUD</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68488-2020</t>
        </is>
      </c>
      <c r="B5979" s="1" t="n">
        <v>44186</v>
      </c>
      <c r="C5979" s="1" t="n">
        <v>45212</v>
      </c>
      <c r="D5979" t="inlineStr">
        <is>
          <t>VÄSTRA GÖTALANDS LÄN</t>
        </is>
      </c>
      <c r="E5979" t="inlineStr">
        <is>
          <t>TROLLHÄTTAN</t>
        </is>
      </c>
      <c r="G5979" t="n">
        <v>7.2</v>
      </c>
      <c r="H5979" t="n">
        <v>0</v>
      </c>
      <c r="I5979" t="n">
        <v>0</v>
      </c>
      <c r="J5979" t="n">
        <v>0</v>
      </c>
      <c r="K5979" t="n">
        <v>0</v>
      </c>
      <c r="L5979" t="n">
        <v>0</v>
      </c>
      <c r="M5979" t="n">
        <v>0</v>
      </c>
      <c r="N5979" t="n">
        <v>0</v>
      </c>
      <c r="O5979" t="n">
        <v>0</v>
      </c>
      <c r="P5979" t="n">
        <v>0</v>
      </c>
      <c r="Q5979" t="n">
        <v>0</v>
      </c>
      <c r="R5979" s="2" t="inlineStr"/>
    </row>
    <row r="5980" ht="15" customHeight="1">
      <c r="A5980" t="inlineStr">
        <is>
          <t>A 68566-2020</t>
        </is>
      </c>
      <c r="B5980" s="1" t="n">
        <v>44186</v>
      </c>
      <c r="C5980" s="1" t="n">
        <v>45212</v>
      </c>
      <c r="D5980" t="inlineStr">
        <is>
          <t>VÄSTRA GÖTALANDS LÄN</t>
        </is>
      </c>
      <c r="E5980" t="inlineStr">
        <is>
          <t>BORÅS</t>
        </is>
      </c>
      <c r="G5980" t="n">
        <v>10.3</v>
      </c>
      <c r="H5980" t="n">
        <v>0</v>
      </c>
      <c r="I5980" t="n">
        <v>0</v>
      </c>
      <c r="J5980" t="n">
        <v>0</v>
      </c>
      <c r="K5980" t="n">
        <v>0</v>
      </c>
      <c r="L5980" t="n">
        <v>0</v>
      </c>
      <c r="M5980" t="n">
        <v>0</v>
      </c>
      <c r="N5980" t="n">
        <v>0</v>
      </c>
      <c r="O5980" t="n">
        <v>0</v>
      </c>
      <c r="P5980" t="n">
        <v>0</v>
      </c>
      <c r="Q5980" t="n">
        <v>0</v>
      </c>
      <c r="R5980" s="2" t="inlineStr"/>
    </row>
    <row r="5981" ht="15" customHeight="1">
      <c r="A5981" t="inlineStr">
        <is>
          <t>A 68630-2020</t>
        </is>
      </c>
      <c r="B5981" s="1" t="n">
        <v>44186</v>
      </c>
      <c r="C5981" s="1" t="n">
        <v>45212</v>
      </c>
      <c r="D5981" t="inlineStr">
        <is>
          <t>VÄSTRA GÖTALANDS LÄN</t>
        </is>
      </c>
      <c r="E5981" t="inlineStr">
        <is>
          <t>MARIESTAD</t>
        </is>
      </c>
      <c r="G5981" t="n">
        <v>6.5</v>
      </c>
      <c r="H5981" t="n">
        <v>0</v>
      </c>
      <c r="I5981" t="n">
        <v>0</v>
      </c>
      <c r="J5981" t="n">
        <v>0</v>
      </c>
      <c r="K5981" t="n">
        <v>0</v>
      </c>
      <c r="L5981" t="n">
        <v>0</v>
      </c>
      <c r="M5981" t="n">
        <v>0</v>
      </c>
      <c r="N5981" t="n">
        <v>0</v>
      </c>
      <c r="O5981" t="n">
        <v>0</v>
      </c>
      <c r="P5981" t="n">
        <v>0</v>
      </c>
      <c r="Q5981" t="n">
        <v>0</v>
      </c>
      <c r="R5981" s="2" t="inlineStr"/>
    </row>
    <row r="5982" ht="15" customHeight="1">
      <c r="A5982" t="inlineStr">
        <is>
          <t>A 68883-2020</t>
        </is>
      </c>
      <c r="B5982" s="1" t="n">
        <v>44187</v>
      </c>
      <c r="C5982" s="1" t="n">
        <v>45212</v>
      </c>
      <c r="D5982" t="inlineStr">
        <is>
          <t>VÄSTRA GÖTALANDS LÄN</t>
        </is>
      </c>
      <c r="E5982" t="inlineStr">
        <is>
          <t>SVENLJUNGA</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68902-2020</t>
        </is>
      </c>
      <c r="B5983" s="1" t="n">
        <v>44187</v>
      </c>
      <c r="C5983" s="1" t="n">
        <v>45212</v>
      </c>
      <c r="D5983" t="inlineStr">
        <is>
          <t>VÄSTRA GÖTALANDS LÄN</t>
        </is>
      </c>
      <c r="E5983" t="inlineStr">
        <is>
          <t>LIDKÖPING</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68671-2020</t>
        </is>
      </c>
      <c r="B5984" s="1" t="n">
        <v>44187</v>
      </c>
      <c r="C5984" s="1" t="n">
        <v>45212</v>
      </c>
      <c r="D5984" t="inlineStr">
        <is>
          <t>VÄSTRA GÖTALANDS LÄN</t>
        </is>
      </c>
      <c r="E5984" t="inlineStr">
        <is>
          <t>MELLERUD</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68906-2020</t>
        </is>
      </c>
      <c r="B5985" s="1" t="n">
        <v>44187</v>
      </c>
      <c r="C5985" s="1" t="n">
        <v>45212</v>
      </c>
      <c r="D5985" t="inlineStr">
        <is>
          <t>VÄSTRA GÖTALANDS LÄN</t>
        </is>
      </c>
      <c r="E5985" t="inlineStr">
        <is>
          <t>LIDKÖPING</t>
        </is>
      </c>
      <c r="G5985" t="n">
        <v>2.4</v>
      </c>
      <c r="H5985" t="n">
        <v>0</v>
      </c>
      <c r="I5985" t="n">
        <v>0</v>
      </c>
      <c r="J5985" t="n">
        <v>0</v>
      </c>
      <c r="K5985" t="n">
        <v>0</v>
      </c>
      <c r="L5985" t="n">
        <v>0</v>
      </c>
      <c r="M5985" t="n">
        <v>0</v>
      </c>
      <c r="N5985" t="n">
        <v>0</v>
      </c>
      <c r="O5985" t="n">
        <v>0</v>
      </c>
      <c r="P5985" t="n">
        <v>0</v>
      </c>
      <c r="Q5985" t="n">
        <v>0</v>
      </c>
      <c r="R5985" s="2" t="inlineStr"/>
    </row>
    <row r="5986" ht="15" customHeight="1">
      <c r="A5986" t="inlineStr">
        <is>
          <t>A 69106-2020</t>
        </is>
      </c>
      <c r="B5986" s="1" t="n">
        <v>44187</v>
      </c>
      <c r="C5986" s="1" t="n">
        <v>45212</v>
      </c>
      <c r="D5986" t="inlineStr">
        <is>
          <t>VÄSTRA GÖTALANDS LÄN</t>
        </is>
      </c>
      <c r="E5986" t="inlineStr">
        <is>
          <t>SKÖVDE</t>
        </is>
      </c>
      <c r="F5986" t="inlineStr">
        <is>
          <t>Kommuner</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69052-2020</t>
        </is>
      </c>
      <c r="B5987" s="1" t="n">
        <v>44188</v>
      </c>
      <c r="C5987" s="1" t="n">
        <v>45212</v>
      </c>
      <c r="D5987" t="inlineStr">
        <is>
          <t>VÄSTRA GÖTALANDS LÄN</t>
        </is>
      </c>
      <c r="E5987" t="inlineStr">
        <is>
          <t>SKARA</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69099-2020</t>
        </is>
      </c>
      <c r="B5988" s="1" t="n">
        <v>44188</v>
      </c>
      <c r="C5988" s="1" t="n">
        <v>45212</v>
      </c>
      <c r="D5988" t="inlineStr">
        <is>
          <t>VÄSTRA GÖTALANDS LÄN</t>
        </is>
      </c>
      <c r="E5988" t="inlineStr">
        <is>
          <t>VARA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69118-2020</t>
        </is>
      </c>
      <c r="B5989" s="1" t="n">
        <v>44188</v>
      </c>
      <c r="C5989" s="1" t="n">
        <v>45212</v>
      </c>
      <c r="D5989" t="inlineStr">
        <is>
          <t>VÄSTRA GÖTALANDS LÄN</t>
        </is>
      </c>
      <c r="E5989" t="inlineStr">
        <is>
          <t>VÅRGÅRDA</t>
        </is>
      </c>
      <c r="G5989" t="n">
        <v>0.9</v>
      </c>
      <c r="H5989" t="n">
        <v>0</v>
      </c>
      <c r="I5989" t="n">
        <v>0</v>
      </c>
      <c r="J5989" t="n">
        <v>0</v>
      </c>
      <c r="K5989" t="n">
        <v>0</v>
      </c>
      <c r="L5989" t="n">
        <v>0</v>
      </c>
      <c r="M5989" t="n">
        <v>0</v>
      </c>
      <c r="N5989" t="n">
        <v>0</v>
      </c>
      <c r="O5989" t="n">
        <v>0</v>
      </c>
      <c r="P5989" t="n">
        <v>0</v>
      </c>
      <c r="Q5989" t="n">
        <v>0</v>
      </c>
      <c r="R5989" s="2" t="inlineStr"/>
    </row>
    <row r="5990" ht="15" customHeight="1">
      <c r="A5990" t="inlineStr">
        <is>
          <t>A 69125-2020</t>
        </is>
      </c>
      <c r="B5990" s="1" t="n">
        <v>44188</v>
      </c>
      <c r="C5990" s="1" t="n">
        <v>45212</v>
      </c>
      <c r="D5990" t="inlineStr">
        <is>
          <t>VÄSTRA GÖTALANDS LÄN</t>
        </is>
      </c>
      <c r="E5990" t="inlineStr">
        <is>
          <t>BORÅS</t>
        </is>
      </c>
      <c r="G5990" t="n">
        <v>2.5</v>
      </c>
      <c r="H5990" t="n">
        <v>0</v>
      </c>
      <c r="I5990" t="n">
        <v>0</v>
      </c>
      <c r="J5990" t="n">
        <v>0</v>
      </c>
      <c r="K5990" t="n">
        <v>0</v>
      </c>
      <c r="L5990" t="n">
        <v>0</v>
      </c>
      <c r="M5990" t="n">
        <v>0</v>
      </c>
      <c r="N5990" t="n">
        <v>0</v>
      </c>
      <c r="O5990" t="n">
        <v>0</v>
      </c>
      <c r="P5990" t="n">
        <v>0</v>
      </c>
      <c r="Q5990" t="n">
        <v>0</v>
      </c>
      <c r="R5990" s="2" t="inlineStr"/>
    </row>
    <row r="5991" ht="15" customHeight="1">
      <c r="A5991" t="inlineStr">
        <is>
          <t>A 69067-2020</t>
        </is>
      </c>
      <c r="B5991" s="1" t="n">
        <v>44188</v>
      </c>
      <c r="C5991" s="1" t="n">
        <v>45212</v>
      </c>
      <c r="D5991" t="inlineStr">
        <is>
          <t>VÄSTRA GÖTALANDS LÄN</t>
        </is>
      </c>
      <c r="E5991" t="inlineStr">
        <is>
          <t>BORÅS</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69119-2020</t>
        </is>
      </c>
      <c r="B5992" s="1" t="n">
        <v>44188</v>
      </c>
      <c r="C5992" s="1" t="n">
        <v>45212</v>
      </c>
      <c r="D5992" t="inlineStr">
        <is>
          <t>VÄSTRA GÖTALANDS LÄN</t>
        </is>
      </c>
      <c r="E5992" t="inlineStr">
        <is>
          <t>FÄRGELANDA</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69156-2020</t>
        </is>
      </c>
      <c r="B5993" s="1" t="n">
        <v>44188</v>
      </c>
      <c r="C5993" s="1" t="n">
        <v>45212</v>
      </c>
      <c r="D5993" t="inlineStr">
        <is>
          <t>VÄSTRA GÖTALANDS LÄN</t>
        </is>
      </c>
      <c r="E5993" t="inlineStr">
        <is>
          <t>SKÖVDE</t>
        </is>
      </c>
      <c r="G5993" t="n">
        <v>4.4</v>
      </c>
      <c r="H5993" t="n">
        <v>0</v>
      </c>
      <c r="I5993" t="n">
        <v>0</v>
      </c>
      <c r="J5993" t="n">
        <v>0</v>
      </c>
      <c r="K5993" t="n">
        <v>0</v>
      </c>
      <c r="L5993" t="n">
        <v>0</v>
      </c>
      <c r="M5993" t="n">
        <v>0</v>
      </c>
      <c r="N5993" t="n">
        <v>0</v>
      </c>
      <c r="O5993" t="n">
        <v>0</v>
      </c>
      <c r="P5993" t="n">
        <v>0</v>
      </c>
      <c r="Q5993" t="n">
        <v>0</v>
      </c>
      <c r="R5993" s="2" t="inlineStr"/>
    </row>
    <row r="5994" ht="15" customHeight="1">
      <c r="A5994" t="inlineStr">
        <is>
          <t>A 69097-2020</t>
        </is>
      </c>
      <c r="B5994" s="1" t="n">
        <v>44188</v>
      </c>
      <c r="C5994" s="1" t="n">
        <v>45212</v>
      </c>
      <c r="D5994" t="inlineStr">
        <is>
          <t>VÄSTRA GÖTALANDS LÄN</t>
        </is>
      </c>
      <c r="E5994" t="inlineStr">
        <is>
          <t>VARA</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69116-2020</t>
        </is>
      </c>
      <c r="B5995" s="1" t="n">
        <v>44188</v>
      </c>
      <c r="C5995" s="1" t="n">
        <v>45212</v>
      </c>
      <c r="D5995" t="inlineStr">
        <is>
          <t>VÄSTRA GÖTALANDS LÄN</t>
        </is>
      </c>
      <c r="E5995" t="inlineStr">
        <is>
          <t>FÄRGELANDA</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69122-2020</t>
        </is>
      </c>
      <c r="B5996" s="1" t="n">
        <v>44188</v>
      </c>
      <c r="C5996" s="1" t="n">
        <v>45212</v>
      </c>
      <c r="D5996" t="inlineStr">
        <is>
          <t>VÄSTRA GÖTALANDS LÄN</t>
        </is>
      </c>
      <c r="E5996" t="inlineStr">
        <is>
          <t>DALS-ED</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69114-2020</t>
        </is>
      </c>
      <c r="B5997" s="1" t="n">
        <v>44188</v>
      </c>
      <c r="C5997" s="1" t="n">
        <v>45212</v>
      </c>
      <c r="D5997" t="inlineStr">
        <is>
          <t>VÄSTRA GÖTALANDS LÄN</t>
        </is>
      </c>
      <c r="E5997" t="inlineStr">
        <is>
          <t>FÄRGELANDA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69322-2020</t>
        </is>
      </c>
      <c r="B5998" s="1" t="n">
        <v>44192</v>
      </c>
      <c r="C5998" s="1" t="n">
        <v>45212</v>
      </c>
      <c r="D5998" t="inlineStr">
        <is>
          <t>VÄSTRA GÖTALANDS LÄN</t>
        </is>
      </c>
      <c r="E5998" t="inlineStr">
        <is>
          <t>TÖREBODA</t>
        </is>
      </c>
      <c r="G5998" t="n">
        <v>1.3</v>
      </c>
      <c r="H5998" t="n">
        <v>0</v>
      </c>
      <c r="I5998" t="n">
        <v>0</v>
      </c>
      <c r="J5998" t="n">
        <v>0</v>
      </c>
      <c r="K5998" t="n">
        <v>0</v>
      </c>
      <c r="L5998" t="n">
        <v>0</v>
      </c>
      <c r="M5998" t="n">
        <v>0</v>
      </c>
      <c r="N5998" t="n">
        <v>0</v>
      </c>
      <c r="O5998" t="n">
        <v>0</v>
      </c>
      <c r="P5998" t="n">
        <v>0</v>
      </c>
      <c r="Q5998" t="n">
        <v>0</v>
      </c>
      <c r="R5998" s="2" t="inlineStr"/>
    </row>
    <row r="5999" ht="15" customHeight="1">
      <c r="A5999" t="inlineStr">
        <is>
          <t>A 69410-2020</t>
        </is>
      </c>
      <c r="B5999" s="1" t="n">
        <v>44193</v>
      </c>
      <c r="C5999" s="1" t="n">
        <v>45212</v>
      </c>
      <c r="D5999" t="inlineStr">
        <is>
          <t>VÄSTRA GÖTALANDS LÄN</t>
        </is>
      </c>
      <c r="E5999" t="inlineStr">
        <is>
          <t>ÅMÅL</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69359-2020</t>
        </is>
      </c>
      <c r="B6000" s="1" t="n">
        <v>44193</v>
      </c>
      <c r="C6000" s="1" t="n">
        <v>45212</v>
      </c>
      <c r="D6000" t="inlineStr">
        <is>
          <t>VÄSTRA GÖTALANDS LÄN</t>
        </is>
      </c>
      <c r="E6000" t="inlineStr">
        <is>
          <t>ALE</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69265-2020</t>
        </is>
      </c>
      <c r="B6001" s="1" t="n">
        <v>44193</v>
      </c>
      <c r="C6001" s="1" t="n">
        <v>45212</v>
      </c>
      <c r="D6001" t="inlineStr">
        <is>
          <t>VÄSTRA GÖTALANDS LÄN</t>
        </is>
      </c>
      <c r="E6001" t="inlineStr">
        <is>
          <t>BORÅS</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69296-2020</t>
        </is>
      </c>
      <c r="B6002" s="1" t="n">
        <v>44193</v>
      </c>
      <c r="C6002" s="1" t="n">
        <v>45212</v>
      </c>
      <c r="D6002" t="inlineStr">
        <is>
          <t>VÄSTRA GÖTALANDS LÄN</t>
        </is>
      </c>
      <c r="E6002" t="inlineStr">
        <is>
          <t>MARIESTAD</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69325-2020</t>
        </is>
      </c>
      <c r="B6003" s="1" t="n">
        <v>44193</v>
      </c>
      <c r="C6003" s="1" t="n">
        <v>45212</v>
      </c>
      <c r="D6003" t="inlineStr">
        <is>
          <t>VÄSTRA GÖTALANDS LÄN</t>
        </is>
      </c>
      <c r="E6003" t="inlineStr">
        <is>
          <t>ALE</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69483-2020</t>
        </is>
      </c>
      <c r="B6004" s="1" t="n">
        <v>44194</v>
      </c>
      <c r="C6004" s="1" t="n">
        <v>45212</v>
      </c>
      <c r="D6004" t="inlineStr">
        <is>
          <t>VÄSTRA GÖTALANDS LÄN</t>
        </is>
      </c>
      <c r="E6004" t="inlineStr">
        <is>
          <t>KARLSBORG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69554-2020</t>
        </is>
      </c>
      <c r="B6005" s="1" t="n">
        <v>44194</v>
      </c>
      <c r="C6005" s="1" t="n">
        <v>45212</v>
      </c>
      <c r="D6005" t="inlineStr">
        <is>
          <t>VÄSTRA GÖTALANDS LÄN</t>
        </is>
      </c>
      <c r="E6005" t="inlineStr">
        <is>
          <t>TROLLHÄTTAN</t>
        </is>
      </c>
      <c r="G6005" t="n">
        <v>3</v>
      </c>
      <c r="H6005" t="n">
        <v>0</v>
      </c>
      <c r="I6005" t="n">
        <v>0</v>
      </c>
      <c r="J6005" t="n">
        <v>0</v>
      </c>
      <c r="K6005" t="n">
        <v>0</v>
      </c>
      <c r="L6005" t="n">
        <v>0</v>
      </c>
      <c r="M6005" t="n">
        <v>0</v>
      </c>
      <c r="N6005" t="n">
        <v>0</v>
      </c>
      <c r="O6005" t="n">
        <v>0</v>
      </c>
      <c r="P6005" t="n">
        <v>0</v>
      </c>
      <c r="Q6005" t="n">
        <v>0</v>
      </c>
      <c r="R6005" s="2" t="inlineStr"/>
    </row>
    <row r="6006" ht="15" customHeight="1">
      <c r="A6006" t="inlineStr">
        <is>
          <t>A 69543-2020</t>
        </is>
      </c>
      <c r="B6006" s="1" t="n">
        <v>44194</v>
      </c>
      <c r="C6006" s="1" t="n">
        <v>45212</v>
      </c>
      <c r="D6006" t="inlineStr">
        <is>
          <t>VÄSTRA GÖTALANDS LÄN</t>
        </is>
      </c>
      <c r="E6006" t="inlineStr">
        <is>
          <t>BORÅS</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69438-2020</t>
        </is>
      </c>
      <c r="B6007" s="1" t="n">
        <v>44194</v>
      </c>
      <c r="C6007" s="1" t="n">
        <v>45212</v>
      </c>
      <c r="D6007" t="inlineStr">
        <is>
          <t>VÄSTRA GÖTALANDS LÄN</t>
        </is>
      </c>
      <c r="E6007" t="inlineStr">
        <is>
          <t>SVENLJUNGA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69579-2020</t>
        </is>
      </c>
      <c r="B6008" s="1" t="n">
        <v>44195</v>
      </c>
      <c r="C6008" s="1" t="n">
        <v>45212</v>
      </c>
      <c r="D6008" t="inlineStr">
        <is>
          <t>VÄSTRA GÖTALANDS LÄN</t>
        </is>
      </c>
      <c r="E6008" t="inlineStr">
        <is>
          <t>VÄNERSBORG</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69604-2020</t>
        </is>
      </c>
      <c r="B6009" s="1" t="n">
        <v>44195</v>
      </c>
      <c r="C6009" s="1" t="n">
        <v>45212</v>
      </c>
      <c r="D6009" t="inlineStr">
        <is>
          <t>VÄSTRA GÖTALANDS LÄN</t>
        </is>
      </c>
      <c r="E6009" t="inlineStr">
        <is>
          <t>LILLA EDET</t>
        </is>
      </c>
      <c r="G6009" t="n">
        <v>9.9</v>
      </c>
      <c r="H6009" t="n">
        <v>0</v>
      </c>
      <c r="I6009" t="n">
        <v>0</v>
      </c>
      <c r="J6009" t="n">
        <v>0</v>
      </c>
      <c r="K6009" t="n">
        <v>0</v>
      </c>
      <c r="L6009" t="n">
        <v>0</v>
      </c>
      <c r="M6009" t="n">
        <v>0</v>
      </c>
      <c r="N6009" t="n">
        <v>0</v>
      </c>
      <c r="O6009" t="n">
        <v>0</v>
      </c>
      <c r="P6009" t="n">
        <v>0</v>
      </c>
      <c r="Q6009" t="n">
        <v>0</v>
      </c>
      <c r="R6009" s="2" t="inlineStr"/>
    </row>
    <row r="6010" ht="15" customHeight="1">
      <c r="A6010" t="inlineStr">
        <is>
          <t>A 69624-2020</t>
        </is>
      </c>
      <c r="B6010" s="1" t="n">
        <v>44195</v>
      </c>
      <c r="C6010" s="1" t="n">
        <v>45212</v>
      </c>
      <c r="D6010" t="inlineStr">
        <is>
          <t>VÄSTRA GÖTALANDS LÄN</t>
        </is>
      </c>
      <c r="E6010" t="inlineStr">
        <is>
          <t>ULRICEHAMN</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69576-2020</t>
        </is>
      </c>
      <c r="B6011" s="1" t="n">
        <v>44195</v>
      </c>
      <c r="C6011" s="1" t="n">
        <v>45212</v>
      </c>
      <c r="D6011" t="inlineStr">
        <is>
          <t>VÄSTRA GÖTALANDS LÄN</t>
        </is>
      </c>
      <c r="E6011" t="inlineStr">
        <is>
          <t>LILLA EDET</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69625-2020</t>
        </is>
      </c>
      <c r="B6012" s="1" t="n">
        <v>44195</v>
      </c>
      <c r="C6012" s="1" t="n">
        <v>45212</v>
      </c>
      <c r="D6012" t="inlineStr">
        <is>
          <t>VÄSTRA GÖTALANDS LÄN</t>
        </is>
      </c>
      <c r="E6012" t="inlineStr">
        <is>
          <t>ULRICEHAMN</t>
        </is>
      </c>
      <c r="G6012" t="n">
        <v>4.4</v>
      </c>
      <c r="H6012" t="n">
        <v>0</v>
      </c>
      <c r="I6012" t="n">
        <v>0</v>
      </c>
      <c r="J6012" t="n">
        <v>0</v>
      </c>
      <c r="K6012" t="n">
        <v>0</v>
      </c>
      <c r="L6012" t="n">
        <v>0</v>
      </c>
      <c r="M6012" t="n">
        <v>0</v>
      </c>
      <c r="N6012" t="n">
        <v>0</v>
      </c>
      <c r="O6012" t="n">
        <v>0</v>
      </c>
      <c r="P6012" t="n">
        <v>0</v>
      </c>
      <c r="Q6012" t="n">
        <v>0</v>
      </c>
      <c r="R6012" s="2" t="inlineStr"/>
    </row>
    <row r="6013" ht="15" customHeight="1">
      <c r="A6013" t="inlineStr">
        <is>
          <t>A 69623-2020</t>
        </is>
      </c>
      <c r="B6013" s="1" t="n">
        <v>44195</v>
      </c>
      <c r="C6013" s="1" t="n">
        <v>45212</v>
      </c>
      <c r="D6013" t="inlineStr">
        <is>
          <t>VÄSTRA GÖTALANDS LÄN</t>
        </is>
      </c>
      <c r="E6013" t="inlineStr">
        <is>
          <t>ULRICEHAMN</t>
        </is>
      </c>
      <c r="G6013" t="n">
        <v>2.8</v>
      </c>
      <c r="H6013" t="n">
        <v>0</v>
      </c>
      <c r="I6013" t="n">
        <v>0</v>
      </c>
      <c r="J6013" t="n">
        <v>0</v>
      </c>
      <c r="K6013" t="n">
        <v>0</v>
      </c>
      <c r="L6013" t="n">
        <v>0</v>
      </c>
      <c r="M6013" t="n">
        <v>0</v>
      </c>
      <c r="N6013" t="n">
        <v>0</v>
      </c>
      <c r="O6013" t="n">
        <v>0</v>
      </c>
      <c r="P6013" t="n">
        <v>0</v>
      </c>
      <c r="Q6013" t="n">
        <v>0</v>
      </c>
      <c r="R6013" s="2" t="inlineStr"/>
    </row>
    <row r="6014" ht="15" customHeight="1">
      <c r="A6014" t="inlineStr">
        <is>
          <t>A 69663-2020</t>
        </is>
      </c>
      <c r="B6014" s="1" t="n">
        <v>44195</v>
      </c>
      <c r="C6014" s="1" t="n">
        <v>45212</v>
      </c>
      <c r="D6014" t="inlineStr">
        <is>
          <t>VÄSTRA GÖTALANDS LÄN</t>
        </is>
      </c>
      <c r="E6014" t="inlineStr">
        <is>
          <t>MARK</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30-2021</t>
        </is>
      </c>
      <c r="B6015" s="1" t="n">
        <v>44198</v>
      </c>
      <c r="C6015" s="1" t="n">
        <v>45212</v>
      </c>
      <c r="D6015" t="inlineStr">
        <is>
          <t>VÄSTRA GÖTALANDS LÄN</t>
        </is>
      </c>
      <c r="E6015" t="inlineStr">
        <is>
          <t>KARLSBORG</t>
        </is>
      </c>
      <c r="G6015" t="n">
        <v>3.8</v>
      </c>
      <c r="H6015" t="n">
        <v>0</v>
      </c>
      <c r="I6015" t="n">
        <v>0</v>
      </c>
      <c r="J6015" t="n">
        <v>0</v>
      </c>
      <c r="K6015" t="n">
        <v>0</v>
      </c>
      <c r="L6015" t="n">
        <v>0</v>
      </c>
      <c r="M6015" t="n">
        <v>0</v>
      </c>
      <c r="N6015" t="n">
        <v>0</v>
      </c>
      <c r="O6015" t="n">
        <v>0</v>
      </c>
      <c r="P6015" t="n">
        <v>0</v>
      </c>
      <c r="Q6015" t="n">
        <v>0</v>
      </c>
      <c r="R6015" s="2" t="inlineStr"/>
    </row>
    <row r="6016" ht="15" customHeight="1">
      <c r="A6016" t="inlineStr">
        <is>
          <t>A 98-2021</t>
        </is>
      </c>
      <c r="B6016" s="1" t="n">
        <v>44200</v>
      </c>
      <c r="C6016" s="1" t="n">
        <v>45212</v>
      </c>
      <c r="D6016" t="inlineStr">
        <is>
          <t>VÄSTRA GÖTALANDS LÄN</t>
        </is>
      </c>
      <c r="E6016" t="inlineStr">
        <is>
          <t>SVENLJUNGA</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97-2021</t>
        </is>
      </c>
      <c r="B6017" s="1" t="n">
        <v>44200</v>
      </c>
      <c r="C6017" s="1" t="n">
        <v>45212</v>
      </c>
      <c r="D6017" t="inlineStr">
        <is>
          <t>VÄSTRA GÖTALANDS LÄN</t>
        </is>
      </c>
      <c r="E6017" t="inlineStr">
        <is>
          <t>BORÅS</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212-2021</t>
        </is>
      </c>
      <c r="B6018" s="1" t="n">
        <v>44200</v>
      </c>
      <c r="C6018" s="1" t="n">
        <v>45212</v>
      </c>
      <c r="D6018" t="inlineStr">
        <is>
          <t>VÄSTRA GÖTALANDS LÄN</t>
        </is>
      </c>
      <c r="E6018" t="inlineStr">
        <is>
          <t>BOLLEBYGD</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330-2021</t>
        </is>
      </c>
      <c r="B6019" s="1" t="n">
        <v>44200</v>
      </c>
      <c r="C6019" s="1" t="n">
        <v>45212</v>
      </c>
      <c r="D6019" t="inlineStr">
        <is>
          <t>VÄSTRA GÖTALANDS LÄN</t>
        </is>
      </c>
      <c r="E6019" t="inlineStr">
        <is>
          <t>STRÖMSTAD</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103-2021</t>
        </is>
      </c>
      <c r="B6020" s="1" t="n">
        <v>44200</v>
      </c>
      <c r="C6020" s="1" t="n">
        <v>45212</v>
      </c>
      <c r="D6020" t="inlineStr">
        <is>
          <t>VÄSTRA GÖTALANDS LÄN</t>
        </is>
      </c>
      <c r="E6020" t="inlineStr">
        <is>
          <t>MUNKEDAL</t>
        </is>
      </c>
      <c r="G6020" t="n">
        <v>4.3</v>
      </c>
      <c r="H6020" t="n">
        <v>0</v>
      </c>
      <c r="I6020" t="n">
        <v>0</v>
      </c>
      <c r="J6020" t="n">
        <v>0</v>
      </c>
      <c r="K6020" t="n">
        <v>0</v>
      </c>
      <c r="L6020" t="n">
        <v>0</v>
      </c>
      <c r="M6020" t="n">
        <v>0</v>
      </c>
      <c r="N6020" t="n">
        <v>0</v>
      </c>
      <c r="O6020" t="n">
        <v>0</v>
      </c>
      <c r="P6020" t="n">
        <v>0</v>
      </c>
      <c r="Q6020" t="n">
        <v>0</v>
      </c>
      <c r="R6020" s="2" t="inlineStr"/>
    </row>
    <row r="6021" ht="15" customHeight="1">
      <c r="A6021" t="inlineStr">
        <is>
          <t>A 143-2021</t>
        </is>
      </c>
      <c r="B6021" s="1" t="n">
        <v>44200</v>
      </c>
      <c r="C6021" s="1" t="n">
        <v>45212</v>
      </c>
      <c r="D6021" t="inlineStr">
        <is>
          <t>VÄSTRA GÖTALANDS LÄN</t>
        </is>
      </c>
      <c r="E6021" t="inlineStr">
        <is>
          <t>HERRLJUNGA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211-2021</t>
        </is>
      </c>
      <c r="B6022" s="1" t="n">
        <v>44200</v>
      </c>
      <c r="C6022" s="1" t="n">
        <v>45212</v>
      </c>
      <c r="D6022" t="inlineStr">
        <is>
          <t>VÄSTRA GÖTALANDS LÄN</t>
        </is>
      </c>
      <c r="E6022" t="inlineStr">
        <is>
          <t>ALINGSÅS</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359-2021</t>
        </is>
      </c>
      <c r="B6023" s="1" t="n">
        <v>44201</v>
      </c>
      <c r="C6023" s="1" t="n">
        <v>45212</v>
      </c>
      <c r="D6023" t="inlineStr">
        <is>
          <t>VÄSTRA GÖTALANDS LÄN</t>
        </is>
      </c>
      <c r="E6023" t="inlineStr">
        <is>
          <t>VARA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415-2021</t>
        </is>
      </c>
      <c r="B6024" s="1" t="n">
        <v>44201</v>
      </c>
      <c r="C6024" s="1" t="n">
        <v>45212</v>
      </c>
      <c r="D6024" t="inlineStr">
        <is>
          <t>VÄSTRA GÖTALANDS LÄN</t>
        </is>
      </c>
      <c r="E6024" t="inlineStr">
        <is>
          <t>TANUM</t>
        </is>
      </c>
      <c r="G6024" t="n">
        <v>9.699999999999999</v>
      </c>
      <c r="H6024" t="n">
        <v>0</v>
      </c>
      <c r="I6024" t="n">
        <v>0</v>
      </c>
      <c r="J6024" t="n">
        <v>0</v>
      </c>
      <c r="K6024" t="n">
        <v>0</v>
      </c>
      <c r="L6024" t="n">
        <v>0</v>
      </c>
      <c r="M6024" t="n">
        <v>0</v>
      </c>
      <c r="N6024" t="n">
        <v>0</v>
      </c>
      <c r="O6024" t="n">
        <v>0</v>
      </c>
      <c r="P6024" t="n">
        <v>0</v>
      </c>
      <c r="Q6024" t="n">
        <v>0</v>
      </c>
      <c r="R6024" s="2" t="inlineStr"/>
    </row>
    <row r="6025" ht="15" customHeight="1">
      <c r="A6025" t="inlineStr">
        <is>
          <t>A 537-2021</t>
        </is>
      </c>
      <c r="B6025" s="1" t="n">
        <v>44201</v>
      </c>
      <c r="C6025" s="1" t="n">
        <v>45212</v>
      </c>
      <c r="D6025" t="inlineStr">
        <is>
          <t>VÄSTRA GÖTALANDS LÄN</t>
        </is>
      </c>
      <c r="E6025" t="inlineStr">
        <is>
          <t>SKÖVDE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640-2021</t>
        </is>
      </c>
      <c r="B6026" s="1" t="n">
        <v>44201</v>
      </c>
      <c r="C6026" s="1" t="n">
        <v>45212</v>
      </c>
      <c r="D6026" t="inlineStr">
        <is>
          <t>VÄSTRA GÖTALANDS LÄN</t>
        </is>
      </c>
      <c r="E6026" t="inlineStr">
        <is>
          <t>SKÖVDE</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366-2021</t>
        </is>
      </c>
      <c r="B6027" s="1" t="n">
        <v>44201</v>
      </c>
      <c r="C6027" s="1" t="n">
        <v>45212</v>
      </c>
      <c r="D6027" t="inlineStr">
        <is>
          <t>VÄSTRA GÖTALANDS LÄN</t>
        </is>
      </c>
      <c r="E6027" t="inlineStr">
        <is>
          <t>HERRLJUNGA</t>
        </is>
      </c>
      <c r="G6027" t="n">
        <v>3.6</v>
      </c>
      <c r="H6027" t="n">
        <v>0</v>
      </c>
      <c r="I6027" t="n">
        <v>0</v>
      </c>
      <c r="J6027" t="n">
        <v>0</v>
      </c>
      <c r="K6027" t="n">
        <v>0</v>
      </c>
      <c r="L6027" t="n">
        <v>0</v>
      </c>
      <c r="M6027" t="n">
        <v>0</v>
      </c>
      <c r="N6027" t="n">
        <v>0</v>
      </c>
      <c r="O6027" t="n">
        <v>0</v>
      </c>
      <c r="P6027" t="n">
        <v>0</v>
      </c>
      <c r="Q6027" t="n">
        <v>0</v>
      </c>
      <c r="R6027" s="2" t="inlineStr"/>
    </row>
    <row r="6028" ht="15" customHeight="1">
      <c r="A6028" t="inlineStr">
        <is>
          <t>A 383-2021</t>
        </is>
      </c>
      <c r="B6028" s="1" t="n">
        <v>44201</v>
      </c>
      <c r="C6028" s="1" t="n">
        <v>45212</v>
      </c>
      <c r="D6028" t="inlineStr">
        <is>
          <t>VÄSTRA GÖTALANDS LÄN</t>
        </is>
      </c>
      <c r="E6028" t="inlineStr">
        <is>
          <t>ULRICEHAMN</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337-2021</t>
        </is>
      </c>
      <c r="B6029" s="1" t="n">
        <v>44201</v>
      </c>
      <c r="C6029" s="1" t="n">
        <v>45212</v>
      </c>
      <c r="D6029" t="inlineStr">
        <is>
          <t>VÄSTRA GÖTALANDS LÄN</t>
        </is>
      </c>
      <c r="E6029" t="inlineStr">
        <is>
          <t>ULRICEHAMN</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539-2021</t>
        </is>
      </c>
      <c r="B6030" s="1" t="n">
        <v>44201</v>
      </c>
      <c r="C6030" s="1" t="n">
        <v>45212</v>
      </c>
      <c r="D6030" t="inlineStr">
        <is>
          <t>VÄSTRA GÖTALANDS LÄN</t>
        </is>
      </c>
      <c r="E6030" t="inlineStr">
        <is>
          <t>SKARA</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460-2021</t>
        </is>
      </c>
      <c r="B6031" s="1" t="n">
        <v>44202</v>
      </c>
      <c r="C6031" s="1" t="n">
        <v>45212</v>
      </c>
      <c r="D6031" t="inlineStr">
        <is>
          <t>VÄSTRA GÖTALANDS LÄN</t>
        </is>
      </c>
      <c r="E6031" t="inlineStr">
        <is>
          <t>FÄRGELANDA</t>
        </is>
      </c>
      <c r="G6031" t="n">
        <v>5</v>
      </c>
      <c r="H6031" t="n">
        <v>0</v>
      </c>
      <c r="I6031" t="n">
        <v>0</v>
      </c>
      <c r="J6031" t="n">
        <v>0</v>
      </c>
      <c r="K6031" t="n">
        <v>0</v>
      </c>
      <c r="L6031" t="n">
        <v>0</v>
      </c>
      <c r="M6031" t="n">
        <v>0</v>
      </c>
      <c r="N6031" t="n">
        <v>0</v>
      </c>
      <c r="O6031" t="n">
        <v>0</v>
      </c>
      <c r="P6031" t="n">
        <v>0</v>
      </c>
      <c r="Q6031" t="n">
        <v>0</v>
      </c>
      <c r="R6031" s="2" t="inlineStr"/>
    </row>
    <row r="6032" ht="15" customHeight="1">
      <c r="A6032" t="inlineStr">
        <is>
          <t>A 663-2021</t>
        </is>
      </c>
      <c r="B6032" s="1" t="n">
        <v>44203</v>
      </c>
      <c r="C6032" s="1" t="n">
        <v>45212</v>
      </c>
      <c r="D6032" t="inlineStr">
        <is>
          <t>VÄSTRA GÖTALANDS LÄN</t>
        </is>
      </c>
      <c r="E6032" t="inlineStr">
        <is>
          <t>GRÄSTORP</t>
        </is>
      </c>
      <c r="G6032" t="n">
        <v>0.4</v>
      </c>
      <c r="H6032" t="n">
        <v>0</v>
      </c>
      <c r="I6032" t="n">
        <v>0</v>
      </c>
      <c r="J6032" t="n">
        <v>0</v>
      </c>
      <c r="K6032" t="n">
        <v>0</v>
      </c>
      <c r="L6032" t="n">
        <v>0</v>
      </c>
      <c r="M6032" t="n">
        <v>0</v>
      </c>
      <c r="N6032" t="n">
        <v>0</v>
      </c>
      <c r="O6032" t="n">
        <v>0</v>
      </c>
      <c r="P6032" t="n">
        <v>0</v>
      </c>
      <c r="Q6032" t="n">
        <v>0</v>
      </c>
      <c r="R6032" s="2" t="inlineStr"/>
    </row>
    <row r="6033" ht="15" customHeight="1">
      <c r="A6033" t="inlineStr">
        <is>
          <t>A 502-2021</t>
        </is>
      </c>
      <c r="B6033" s="1" t="n">
        <v>44203</v>
      </c>
      <c r="C6033" s="1" t="n">
        <v>45212</v>
      </c>
      <c r="D6033" t="inlineStr">
        <is>
          <t>VÄSTRA GÖTALANDS LÄN</t>
        </is>
      </c>
      <c r="E6033" t="inlineStr">
        <is>
          <t>BORÅS</t>
        </is>
      </c>
      <c r="G6033" t="n">
        <v>3.4</v>
      </c>
      <c r="H6033" t="n">
        <v>0</v>
      </c>
      <c r="I6033" t="n">
        <v>0</v>
      </c>
      <c r="J6033" t="n">
        <v>0</v>
      </c>
      <c r="K6033" t="n">
        <v>0</v>
      </c>
      <c r="L6033" t="n">
        <v>0</v>
      </c>
      <c r="M6033" t="n">
        <v>0</v>
      </c>
      <c r="N6033" t="n">
        <v>0</v>
      </c>
      <c r="O6033" t="n">
        <v>0</v>
      </c>
      <c r="P6033" t="n">
        <v>0</v>
      </c>
      <c r="Q6033" t="n">
        <v>0</v>
      </c>
      <c r="R6033" s="2" t="inlineStr"/>
    </row>
    <row r="6034" ht="15" customHeight="1">
      <c r="A6034" t="inlineStr">
        <is>
          <t>A 564-2021</t>
        </is>
      </c>
      <c r="B6034" s="1" t="n">
        <v>44203</v>
      </c>
      <c r="C6034" s="1" t="n">
        <v>45212</v>
      </c>
      <c r="D6034" t="inlineStr">
        <is>
          <t>VÄSTRA GÖTALANDS LÄN</t>
        </is>
      </c>
      <c r="E6034" t="inlineStr">
        <is>
          <t>ESSUNGA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517-2021</t>
        </is>
      </c>
      <c r="B6035" s="1" t="n">
        <v>44203</v>
      </c>
      <c r="C6035" s="1" t="n">
        <v>45212</v>
      </c>
      <c r="D6035" t="inlineStr">
        <is>
          <t>VÄSTRA GÖTALANDS LÄN</t>
        </is>
      </c>
      <c r="E6035" t="inlineStr">
        <is>
          <t>MARK</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523-2021</t>
        </is>
      </c>
      <c r="B6036" s="1" t="n">
        <v>44203</v>
      </c>
      <c r="C6036" s="1" t="n">
        <v>45212</v>
      </c>
      <c r="D6036" t="inlineStr">
        <is>
          <t>VÄSTRA GÖTALANDS LÄN</t>
        </is>
      </c>
      <c r="E6036" t="inlineStr">
        <is>
          <t>VARA</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542-2021</t>
        </is>
      </c>
      <c r="B6037" s="1" t="n">
        <v>44203</v>
      </c>
      <c r="C6037" s="1" t="n">
        <v>45212</v>
      </c>
      <c r="D6037" t="inlineStr">
        <is>
          <t>VÄSTRA GÖTALANDS LÄN</t>
        </is>
      </c>
      <c r="E6037" t="inlineStr">
        <is>
          <t>SKÖVDE</t>
        </is>
      </c>
      <c r="G6037" t="n">
        <v>1.2</v>
      </c>
      <c r="H6037" t="n">
        <v>0</v>
      </c>
      <c r="I6037" t="n">
        <v>0</v>
      </c>
      <c r="J6037" t="n">
        <v>0</v>
      </c>
      <c r="K6037" t="n">
        <v>0</v>
      </c>
      <c r="L6037" t="n">
        <v>0</v>
      </c>
      <c r="M6037" t="n">
        <v>0</v>
      </c>
      <c r="N6037" t="n">
        <v>0</v>
      </c>
      <c r="O6037" t="n">
        <v>0</v>
      </c>
      <c r="P6037" t="n">
        <v>0</v>
      </c>
      <c r="Q6037" t="n">
        <v>0</v>
      </c>
      <c r="R6037" s="2" t="inlineStr"/>
    </row>
    <row r="6038" ht="15" customHeight="1">
      <c r="A6038" t="inlineStr">
        <is>
          <t>A 572-2021</t>
        </is>
      </c>
      <c r="B6038" s="1" t="n">
        <v>44203</v>
      </c>
      <c r="C6038" s="1" t="n">
        <v>45212</v>
      </c>
      <c r="D6038" t="inlineStr">
        <is>
          <t>VÄSTRA GÖTALANDS LÄN</t>
        </is>
      </c>
      <c r="E6038" t="inlineStr">
        <is>
          <t>ESSUNGA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797-2021</t>
        </is>
      </c>
      <c r="B6039" s="1" t="n">
        <v>44204</v>
      </c>
      <c r="C6039" s="1" t="n">
        <v>45212</v>
      </c>
      <c r="D6039" t="inlineStr">
        <is>
          <t>VÄSTRA GÖTALANDS LÄN</t>
        </is>
      </c>
      <c r="E6039" t="inlineStr">
        <is>
          <t>UDDEVALLA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856-2021</t>
        </is>
      </c>
      <c r="B6040" s="1" t="n">
        <v>44204</v>
      </c>
      <c r="C6040" s="1" t="n">
        <v>45212</v>
      </c>
      <c r="D6040" t="inlineStr">
        <is>
          <t>VÄSTRA GÖTALANDS LÄN</t>
        </is>
      </c>
      <c r="E6040" t="inlineStr">
        <is>
          <t>BORÅS</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734-2021</t>
        </is>
      </c>
      <c r="B6041" s="1" t="n">
        <v>44204</v>
      </c>
      <c r="C6041" s="1" t="n">
        <v>45212</v>
      </c>
      <c r="D6041" t="inlineStr">
        <is>
          <t>VÄSTRA GÖTALANDS LÄN</t>
        </is>
      </c>
      <c r="E6041" t="inlineStr">
        <is>
          <t>HERRLJUNGA</t>
        </is>
      </c>
      <c r="F6041" t="inlineStr">
        <is>
          <t>Övriga statliga verk och myndigheter</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796-2021</t>
        </is>
      </c>
      <c r="B6042" s="1" t="n">
        <v>44204</v>
      </c>
      <c r="C6042" s="1" t="n">
        <v>45212</v>
      </c>
      <c r="D6042" t="inlineStr">
        <is>
          <t>VÄSTRA GÖTALANDS LÄN</t>
        </is>
      </c>
      <c r="E6042" t="inlineStr">
        <is>
          <t>UDDEVALLA</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810-2021</t>
        </is>
      </c>
      <c r="B6043" s="1" t="n">
        <v>44204</v>
      </c>
      <c r="C6043" s="1" t="n">
        <v>45212</v>
      </c>
      <c r="D6043" t="inlineStr">
        <is>
          <t>VÄSTRA GÖTALANDS LÄN</t>
        </is>
      </c>
      <c r="E6043" t="inlineStr">
        <is>
          <t>BOLLEBYGD</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1009-2021</t>
        </is>
      </c>
      <c r="B6044" s="1" t="n">
        <v>44204</v>
      </c>
      <c r="C6044" s="1" t="n">
        <v>45212</v>
      </c>
      <c r="D6044" t="inlineStr">
        <is>
          <t>VÄSTRA GÖTALANDS LÄN</t>
        </is>
      </c>
      <c r="E6044" t="inlineStr">
        <is>
          <t>MARK</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940-2021</t>
        </is>
      </c>
      <c r="B6045" s="1" t="n">
        <v>44204</v>
      </c>
      <c r="C6045" s="1" t="n">
        <v>45212</v>
      </c>
      <c r="D6045" t="inlineStr">
        <is>
          <t>VÄSTRA GÖTALANDS LÄN</t>
        </is>
      </c>
      <c r="E6045" t="inlineStr">
        <is>
          <t>ULRICEHAMN</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719-2021</t>
        </is>
      </c>
      <c r="B6046" s="1" t="n">
        <v>44204</v>
      </c>
      <c r="C6046" s="1" t="n">
        <v>45212</v>
      </c>
      <c r="D6046" t="inlineStr">
        <is>
          <t>VÄSTRA GÖTALANDS LÄN</t>
        </is>
      </c>
      <c r="E6046" t="inlineStr">
        <is>
          <t>GÖTENE</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732-2021</t>
        </is>
      </c>
      <c r="B6047" s="1" t="n">
        <v>44204</v>
      </c>
      <c r="C6047" s="1" t="n">
        <v>45212</v>
      </c>
      <c r="D6047" t="inlineStr">
        <is>
          <t>VÄSTRA GÖTALANDS LÄN</t>
        </is>
      </c>
      <c r="E6047" t="inlineStr">
        <is>
          <t>VÅRGÅRDA</t>
        </is>
      </c>
      <c r="F6047" t="inlineStr">
        <is>
          <t>Övriga statliga verk och myndigheter</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990-2021</t>
        </is>
      </c>
      <c r="B6048" s="1" t="n">
        <v>44206</v>
      </c>
      <c r="C6048" s="1" t="n">
        <v>45212</v>
      </c>
      <c r="D6048" t="inlineStr">
        <is>
          <t>VÄSTRA GÖTALANDS LÄN</t>
        </is>
      </c>
      <c r="E6048" t="inlineStr">
        <is>
          <t>ULRICEHAMN</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889-2021</t>
        </is>
      </c>
      <c r="B6049" s="1" t="n">
        <v>44206</v>
      </c>
      <c r="C6049" s="1" t="n">
        <v>45212</v>
      </c>
      <c r="D6049" t="inlineStr">
        <is>
          <t>VÄSTRA GÖTALANDS LÄN</t>
        </is>
      </c>
      <c r="E6049" t="inlineStr">
        <is>
          <t>MUNKEDAL</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992-2021</t>
        </is>
      </c>
      <c r="B6050" s="1" t="n">
        <v>44206</v>
      </c>
      <c r="C6050" s="1" t="n">
        <v>45212</v>
      </c>
      <c r="D6050" t="inlineStr">
        <is>
          <t>VÄSTRA GÖTALANDS LÄN</t>
        </is>
      </c>
      <c r="E6050" t="inlineStr">
        <is>
          <t>ULRICEHAMN</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895-2021</t>
        </is>
      </c>
      <c r="B6051" s="1" t="n">
        <v>44206</v>
      </c>
      <c r="C6051" s="1" t="n">
        <v>45212</v>
      </c>
      <c r="D6051" t="inlineStr">
        <is>
          <t>VÄSTRA GÖTALANDS LÄN</t>
        </is>
      </c>
      <c r="E6051" t="inlineStr">
        <is>
          <t>MARK</t>
        </is>
      </c>
      <c r="G6051" t="n">
        <v>0.6</v>
      </c>
      <c r="H6051" t="n">
        <v>0</v>
      </c>
      <c r="I6051" t="n">
        <v>0</v>
      </c>
      <c r="J6051" t="n">
        <v>0</v>
      </c>
      <c r="K6051" t="n">
        <v>0</v>
      </c>
      <c r="L6051" t="n">
        <v>0</v>
      </c>
      <c r="M6051" t="n">
        <v>0</v>
      </c>
      <c r="N6051" t="n">
        <v>0</v>
      </c>
      <c r="O6051" t="n">
        <v>0</v>
      </c>
      <c r="P6051" t="n">
        <v>0</v>
      </c>
      <c r="Q6051" t="n">
        <v>0</v>
      </c>
      <c r="R6051" s="2" t="inlineStr"/>
    </row>
    <row r="6052" ht="15" customHeight="1">
      <c r="A6052" t="inlineStr">
        <is>
          <t>A 987-2021</t>
        </is>
      </c>
      <c r="B6052" s="1" t="n">
        <v>44206</v>
      </c>
      <c r="C6052" s="1" t="n">
        <v>45212</v>
      </c>
      <c r="D6052" t="inlineStr">
        <is>
          <t>VÄSTRA GÖTALANDS LÄN</t>
        </is>
      </c>
      <c r="E6052" t="inlineStr">
        <is>
          <t>FALKÖPING</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921-2021</t>
        </is>
      </c>
      <c r="B6053" s="1" t="n">
        <v>44207</v>
      </c>
      <c r="C6053" s="1" t="n">
        <v>45212</v>
      </c>
      <c r="D6053" t="inlineStr">
        <is>
          <t>VÄSTRA GÖTALANDS LÄN</t>
        </is>
      </c>
      <c r="E6053" t="inlineStr">
        <is>
          <t>BORÅS</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1074-2021</t>
        </is>
      </c>
      <c r="B6054" s="1" t="n">
        <v>44207</v>
      </c>
      <c r="C6054" s="1" t="n">
        <v>45212</v>
      </c>
      <c r="D6054" t="inlineStr">
        <is>
          <t>VÄSTRA GÖTALANDS LÄN</t>
        </is>
      </c>
      <c r="E6054" t="inlineStr">
        <is>
          <t>GULLSPÅNG</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1039-2021</t>
        </is>
      </c>
      <c r="B6055" s="1" t="n">
        <v>44207</v>
      </c>
      <c r="C6055" s="1" t="n">
        <v>45212</v>
      </c>
      <c r="D6055" t="inlineStr">
        <is>
          <t>VÄSTRA GÖTALANDS LÄN</t>
        </is>
      </c>
      <c r="E6055" t="inlineStr">
        <is>
          <t>BENGTSFORS</t>
        </is>
      </c>
      <c r="G6055" t="n">
        <v>0.2</v>
      </c>
      <c r="H6055" t="n">
        <v>0</v>
      </c>
      <c r="I6055" t="n">
        <v>0</v>
      </c>
      <c r="J6055" t="n">
        <v>0</v>
      </c>
      <c r="K6055" t="n">
        <v>0</v>
      </c>
      <c r="L6055" t="n">
        <v>0</v>
      </c>
      <c r="M6055" t="n">
        <v>0</v>
      </c>
      <c r="N6055" t="n">
        <v>0</v>
      </c>
      <c r="O6055" t="n">
        <v>0</v>
      </c>
      <c r="P6055" t="n">
        <v>0</v>
      </c>
      <c r="Q6055" t="n">
        <v>0</v>
      </c>
      <c r="R6055" s="2" t="inlineStr"/>
    </row>
    <row r="6056" ht="15" customHeight="1">
      <c r="A6056" t="inlineStr">
        <is>
          <t>A 1251-2021</t>
        </is>
      </c>
      <c r="B6056" s="1" t="n">
        <v>44207</v>
      </c>
      <c r="C6056" s="1" t="n">
        <v>45212</v>
      </c>
      <c r="D6056" t="inlineStr">
        <is>
          <t>VÄSTRA GÖTALANDS LÄN</t>
        </is>
      </c>
      <c r="E6056" t="inlineStr">
        <is>
          <t>TANUM</t>
        </is>
      </c>
      <c r="F6056" t="inlineStr">
        <is>
          <t>Kyrkan</t>
        </is>
      </c>
      <c r="G6056" t="n">
        <v>14.6</v>
      </c>
      <c r="H6056" t="n">
        <v>0</v>
      </c>
      <c r="I6056" t="n">
        <v>0</v>
      </c>
      <c r="J6056" t="n">
        <v>0</v>
      </c>
      <c r="K6056" t="n">
        <v>0</v>
      </c>
      <c r="L6056" t="n">
        <v>0</v>
      </c>
      <c r="M6056" t="n">
        <v>0</v>
      </c>
      <c r="N6056" t="n">
        <v>0</v>
      </c>
      <c r="O6056" t="n">
        <v>0</v>
      </c>
      <c r="P6056" t="n">
        <v>0</v>
      </c>
      <c r="Q6056" t="n">
        <v>0</v>
      </c>
      <c r="R6056" s="2" t="inlineStr"/>
    </row>
    <row r="6057" ht="15" customHeight="1">
      <c r="A6057" t="inlineStr">
        <is>
          <t>A 956-2021</t>
        </is>
      </c>
      <c r="B6057" s="1" t="n">
        <v>44207</v>
      </c>
      <c r="C6057" s="1" t="n">
        <v>45212</v>
      </c>
      <c r="D6057" t="inlineStr">
        <is>
          <t>VÄSTRA GÖTALANDS LÄN</t>
        </is>
      </c>
      <c r="E6057" t="inlineStr">
        <is>
          <t>TÖREBODA</t>
        </is>
      </c>
      <c r="G6057" t="n">
        <v>0.9</v>
      </c>
      <c r="H6057" t="n">
        <v>0</v>
      </c>
      <c r="I6057" t="n">
        <v>0</v>
      </c>
      <c r="J6057" t="n">
        <v>0</v>
      </c>
      <c r="K6057" t="n">
        <v>0</v>
      </c>
      <c r="L6057" t="n">
        <v>0</v>
      </c>
      <c r="M6057" t="n">
        <v>0</v>
      </c>
      <c r="N6057" t="n">
        <v>0</v>
      </c>
      <c r="O6057" t="n">
        <v>0</v>
      </c>
      <c r="P6057" t="n">
        <v>0</v>
      </c>
      <c r="Q6057" t="n">
        <v>0</v>
      </c>
      <c r="R6057" s="2" t="inlineStr"/>
    </row>
    <row r="6058" ht="15" customHeight="1">
      <c r="A6058" t="inlineStr">
        <is>
          <t>A 1045-2021</t>
        </is>
      </c>
      <c r="B6058" s="1" t="n">
        <v>44207</v>
      </c>
      <c r="C6058" s="1" t="n">
        <v>45212</v>
      </c>
      <c r="D6058" t="inlineStr">
        <is>
          <t>VÄSTRA GÖTALANDS LÄN</t>
        </is>
      </c>
      <c r="E6058" t="inlineStr">
        <is>
          <t>BENGTSFORS</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1326-2021</t>
        </is>
      </c>
      <c r="B6059" s="1" t="n">
        <v>44208</v>
      </c>
      <c r="C6059" s="1" t="n">
        <v>45212</v>
      </c>
      <c r="D6059" t="inlineStr">
        <is>
          <t>VÄSTRA GÖTALANDS LÄN</t>
        </is>
      </c>
      <c r="E6059" t="inlineStr">
        <is>
          <t>MARK</t>
        </is>
      </c>
      <c r="G6059" t="n">
        <v>13.1</v>
      </c>
      <c r="H6059" t="n">
        <v>0</v>
      </c>
      <c r="I6059" t="n">
        <v>0</v>
      </c>
      <c r="J6059" t="n">
        <v>0</v>
      </c>
      <c r="K6059" t="n">
        <v>0</v>
      </c>
      <c r="L6059" t="n">
        <v>0</v>
      </c>
      <c r="M6059" t="n">
        <v>0</v>
      </c>
      <c r="N6059" t="n">
        <v>0</v>
      </c>
      <c r="O6059" t="n">
        <v>0</v>
      </c>
      <c r="P6059" t="n">
        <v>0</v>
      </c>
      <c r="Q6059" t="n">
        <v>0</v>
      </c>
      <c r="R6059" s="2" t="inlineStr"/>
    </row>
    <row r="6060" ht="15" customHeight="1">
      <c r="A6060" t="inlineStr">
        <is>
          <t>A 1262-2021</t>
        </is>
      </c>
      <c r="B6060" s="1" t="n">
        <v>44208</v>
      </c>
      <c r="C6060" s="1" t="n">
        <v>45212</v>
      </c>
      <c r="D6060" t="inlineStr">
        <is>
          <t>VÄSTRA GÖTALANDS LÄN</t>
        </is>
      </c>
      <c r="E6060" t="inlineStr">
        <is>
          <t>LILLA EDET</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1352-2021</t>
        </is>
      </c>
      <c r="B6061" s="1" t="n">
        <v>44208</v>
      </c>
      <c r="C6061" s="1" t="n">
        <v>45212</v>
      </c>
      <c r="D6061" t="inlineStr">
        <is>
          <t>VÄSTRA GÖTALANDS LÄN</t>
        </is>
      </c>
      <c r="E6061" t="inlineStr">
        <is>
          <t>STRÖMSTAD</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1401-2021</t>
        </is>
      </c>
      <c r="B6062" s="1" t="n">
        <v>44208</v>
      </c>
      <c r="C6062" s="1" t="n">
        <v>45212</v>
      </c>
      <c r="D6062" t="inlineStr">
        <is>
          <t>VÄSTRA GÖTALANDS LÄN</t>
        </is>
      </c>
      <c r="E6062" t="inlineStr">
        <is>
          <t>BORÅS</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1446-2021</t>
        </is>
      </c>
      <c r="B6063" s="1" t="n">
        <v>44208</v>
      </c>
      <c r="C6063" s="1" t="n">
        <v>45212</v>
      </c>
      <c r="D6063" t="inlineStr">
        <is>
          <t>VÄSTRA GÖTALANDS LÄN</t>
        </is>
      </c>
      <c r="E6063" t="inlineStr">
        <is>
          <t>HERRLJUNGA</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1399-2021</t>
        </is>
      </c>
      <c r="B6064" s="1" t="n">
        <v>44208</v>
      </c>
      <c r="C6064" s="1" t="n">
        <v>45212</v>
      </c>
      <c r="D6064" t="inlineStr">
        <is>
          <t>VÄSTRA GÖTALANDS LÄN</t>
        </is>
      </c>
      <c r="E6064" t="inlineStr">
        <is>
          <t>VARA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1498-2021</t>
        </is>
      </c>
      <c r="B6065" s="1" t="n">
        <v>44209</v>
      </c>
      <c r="C6065" s="1" t="n">
        <v>45212</v>
      </c>
      <c r="D6065" t="inlineStr">
        <is>
          <t>VÄSTRA GÖTALANDS LÄN</t>
        </is>
      </c>
      <c r="E6065" t="inlineStr">
        <is>
          <t>BENGTSFORS</t>
        </is>
      </c>
      <c r="G6065" t="n">
        <v>21.6</v>
      </c>
      <c r="H6065" t="n">
        <v>0</v>
      </c>
      <c r="I6065" t="n">
        <v>0</v>
      </c>
      <c r="J6065" t="n">
        <v>0</v>
      </c>
      <c r="K6065" t="n">
        <v>0</v>
      </c>
      <c r="L6065" t="n">
        <v>0</v>
      </c>
      <c r="M6065" t="n">
        <v>0</v>
      </c>
      <c r="N6065" t="n">
        <v>0</v>
      </c>
      <c r="O6065" t="n">
        <v>0</v>
      </c>
      <c r="P6065" t="n">
        <v>0</v>
      </c>
      <c r="Q6065" t="n">
        <v>0</v>
      </c>
      <c r="R6065" s="2" t="inlineStr"/>
    </row>
    <row r="6066" ht="15" customHeight="1">
      <c r="A6066" t="inlineStr">
        <is>
          <t>A 1519-2021</t>
        </is>
      </c>
      <c r="B6066" s="1" t="n">
        <v>44209</v>
      </c>
      <c r="C6066" s="1" t="n">
        <v>45212</v>
      </c>
      <c r="D6066" t="inlineStr">
        <is>
          <t>VÄSTRA GÖTALANDS LÄN</t>
        </is>
      </c>
      <c r="E6066" t="inlineStr">
        <is>
          <t>KARLSBORG</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1686-2021</t>
        </is>
      </c>
      <c r="B6067" s="1" t="n">
        <v>44209</v>
      </c>
      <c r="C6067" s="1" t="n">
        <v>45212</v>
      </c>
      <c r="D6067" t="inlineStr">
        <is>
          <t>VÄSTRA GÖTALANDS LÄN</t>
        </is>
      </c>
      <c r="E6067" t="inlineStr">
        <is>
          <t>BENGTSFORS</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1716-2021</t>
        </is>
      </c>
      <c r="B6068" s="1" t="n">
        <v>44209</v>
      </c>
      <c r="C6068" s="1" t="n">
        <v>45212</v>
      </c>
      <c r="D6068" t="inlineStr">
        <is>
          <t>VÄSTRA GÖTALANDS LÄN</t>
        </is>
      </c>
      <c r="E6068" t="inlineStr">
        <is>
          <t>LIDKÖPING</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1510-2021</t>
        </is>
      </c>
      <c r="B6069" s="1" t="n">
        <v>44209</v>
      </c>
      <c r="C6069" s="1" t="n">
        <v>45212</v>
      </c>
      <c r="D6069" t="inlineStr">
        <is>
          <t>VÄSTRA GÖTALANDS LÄN</t>
        </is>
      </c>
      <c r="E6069" t="inlineStr">
        <is>
          <t>SVENLJUNGA</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1490-2021</t>
        </is>
      </c>
      <c r="B6070" s="1" t="n">
        <v>44209</v>
      </c>
      <c r="C6070" s="1" t="n">
        <v>45212</v>
      </c>
      <c r="D6070" t="inlineStr">
        <is>
          <t>VÄSTRA GÖTALANDS LÄN</t>
        </is>
      </c>
      <c r="E6070" t="inlineStr">
        <is>
          <t>TRANEMO</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1670-2021</t>
        </is>
      </c>
      <c r="B6071" s="1" t="n">
        <v>44209</v>
      </c>
      <c r="C6071" s="1" t="n">
        <v>45212</v>
      </c>
      <c r="D6071" t="inlineStr">
        <is>
          <t>VÄSTRA GÖTALANDS LÄN</t>
        </is>
      </c>
      <c r="E6071" t="inlineStr">
        <is>
          <t>FALKÖPING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1731-2021</t>
        </is>
      </c>
      <c r="B6072" s="1" t="n">
        <v>44209</v>
      </c>
      <c r="C6072" s="1" t="n">
        <v>45212</v>
      </c>
      <c r="D6072" t="inlineStr">
        <is>
          <t>VÄSTRA GÖTALANDS LÄN</t>
        </is>
      </c>
      <c r="E6072" t="inlineStr">
        <is>
          <t>TIDAHOLM</t>
        </is>
      </c>
      <c r="G6072" t="n">
        <v>7.2</v>
      </c>
      <c r="H6072" t="n">
        <v>0</v>
      </c>
      <c r="I6072" t="n">
        <v>0</v>
      </c>
      <c r="J6072" t="n">
        <v>0</v>
      </c>
      <c r="K6072" t="n">
        <v>0</v>
      </c>
      <c r="L6072" t="n">
        <v>0</v>
      </c>
      <c r="M6072" t="n">
        <v>0</v>
      </c>
      <c r="N6072" t="n">
        <v>0</v>
      </c>
      <c r="O6072" t="n">
        <v>0</v>
      </c>
      <c r="P6072" t="n">
        <v>0</v>
      </c>
      <c r="Q6072" t="n">
        <v>0</v>
      </c>
      <c r="R6072" s="2" t="inlineStr"/>
    </row>
    <row r="6073" ht="15" customHeight="1">
      <c r="A6073" t="inlineStr">
        <is>
          <t>A 1777-2021</t>
        </is>
      </c>
      <c r="B6073" s="1" t="n">
        <v>44209</v>
      </c>
      <c r="C6073" s="1" t="n">
        <v>45212</v>
      </c>
      <c r="D6073" t="inlineStr">
        <is>
          <t>VÄSTRA GÖTALANDS LÄN</t>
        </is>
      </c>
      <c r="E6073" t="inlineStr">
        <is>
          <t>TANUM</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1574-2021</t>
        </is>
      </c>
      <c r="B6074" s="1" t="n">
        <v>44209</v>
      </c>
      <c r="C6074" s="1" t="n">
        <v>45212</v>
      </c>
      <c r="D6074" t="inlineStr">
        <is>
          <t>VÄSTRA GÖTALANDS LÄN</t>
        </is>
      </c>
      <c r="E6074" t="inlineStr">
        <is>
          <t>LILLA EDET</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1907-2021</t>
        </is>
      </c>
      <c r="B6075" s="1" t="n">
        <v>44210</v>
      </c>
      <c r="C6075" s="1" t="n">
        <v>45212</v>
      </c>
      <c r="D6075" t="inlineStr">
        <is>
          <t>VÄSTRA GÖTALANDS LÄN</t>
        </is>
      </c>
      <c r="E6075" t="inlineStr">
        <is>
          <t>SVENLJUNGA</t>
        </is>
      </c>
      <c r="F6075" t="inlineStr">
        <is>
          <t>Kyrkan</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1938-2021</t>
        </is>
      </c>
      <c r="B6076" s="1" t="n">
        <v>44210</v>
      </c>
      <c r="C6076" s="1" t="n">
        <v>45212</v>
      </c>
      <c r="D6076" t="inlineStr">
        <is>
          <t>VÄSTRA GÖTALANDS LÄN</t>
        </is>
      </c>
      <c r="E6076" t="inlineStr">
        <is>
          <t>LIDKÖPING</t>
        </is>
      </c>
      <c r="F6076" t="inlineStr">
        <is>
          <t>Sveaskog</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2003-2021</t>
        </is>
      </c>
      <c r="B6077" s="1" t="n">
        <v>44210</v>
      </c>
      <c r="C6077" s="1" t="n">
        <v>45212</v>
      </c>
      <c r="D6077" t="inlineStr">
        <is>
          <t>VÄSTRA GÖTALANDS LÄN</t>
        </is>
      </c>
      <c r="E6077" t="inlineStr">
        <is>
          <t>ALE</t>
        </is>
      </c>
      <c r="F6077" t="inlineStr">
        <is>
          <t>Kommuner</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1795-2021</t>
        </is>
      </c>
      <c r="B6078" s="1" t="n">
        <v>44210</v>
      </c>
      <c r="C6078" s="1" t="n">
        <v>45212</v>
      </c>
      <c r="D6078" t="inlineStr">
        <is>
          <t>VÄSTRA GÖTALANDS LÄN</t>
        </is>
      </c>
      <c r="E6078" t="inlineStr">
        <is>
          <t>MARIESTAD</t>
        </is>
      </c>
      <c r="F6078" t="inlineStr">
        <is>
          <t>Sveaskog</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1849-2021</t>
        </is>
      </c>
      <c r="B6079" s="1" t="n">
        <v>44210</v>
      </c>
      <c r="C6079" s="1" t="n">
        <v>45212</v>
      </c>
      <c r="D6079" t="inlineStr">
        <is>
          <t>VÄSTRA GÖTALANDS LÄN</t>
        </is>
      </c>
      <c r="E6079" t="inlineStr">
        <is>
          <t>TJÖRN</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1905-2021</t>
        </is>
      </c>
      <c r="B6080" s="1" t="n">
        <v>44210</v>
      </c>
      <c r="C6080" s="1" t="n">
        <v>45212</v>
      </c>
      <c r="D6080" t="inlineStr">
        <is>
          <t>VÄSTRA GÖTALANDS LÄN</t>
        </is>
      </c>
      <c r="E6080" t="inlineStr">
        <is>
          <t>SVENLJUNGA</t>
        </is>
      </c>
      <c r="F6080" t="inlineStr">
        <is>
          <t>Kyrkan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1917-2021</t>
        </is>
      </c>
      <c r="B6081" s="1" t="n">
        <v>44210</v>
      </c>
      <c r="C6081" s="1" t="n">
        <v>45212</v>
      </c>
      <c r="D6081" t="inlineStr">
        <is>
          <t>VÄSTRA GÖTALANDS LÄN</t>
        </is>
      </c>
      <c r="E6081" t="inlineStr">
        <is>
          <t>TRANEMO</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2124-2021</t>
        </is>
      </c>
      <c r="B6082" s="1" t="n">
        <v>44210</v>
      </c>
      <c r="C6082" s="1" t="n">
        <v>45212</v>
      </c>
      <c r="D6082" t="inlineStr">
        <is>
          <t>VÄSTRA GÖTALANDS LÄN</t>
        </is>
      </c>
      <c r="E6082" t="inlineStr">
        <is>
          <t>TANUM</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1903-2021</t>
        </is>
      </c>
      <c r="B6083" s="1" t="n">
        <v>44210</v>
      </c>
      <c r="C6083" s="1" t="n">
        <v>45212</v>
      </c>
      <c r="D6083" t="inlineStr">
        <is>
          <t>VÄSTRA GÖTALANDS LÄN</t>
        </is>
      </c>
      <c r="E6083" t="inlineStr">
        <is>
          <t>SVENLJUNGA</t>
        </is>
      </c>
      <c r="F6083" t="inlineStr">
        <is>
          <t>Kyrkan</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1898-2021</t>
        </is>
      </c>
      <c r="B6084" s="1" t="n">
        <v>44210</v>
      </c>
      <c r="C6084" s="1" t="n">
        <v>45212</v>
      </c>
      <c r="D6084" t="inlineStr">
        <is>
          <t>VÄSTRA GÖTALANDS LÄN</t>
        </is>
      </c>
      <c r="E6084" t="inlineStr">
        <is>
          <t>STENUNGSUND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1931-2021</t>
        </is>
      </c>
      <c r="B6085" s="1" t="n">
        <v>44210</v>
      </c>
      <c r="C6085" s="1" t="n">
        <v>45212</v>
      </c>
      <c r="D6085" t="inlineStr">
        <is>
          <t>VÄSTRA GÖTALANDS LÄN</t>
        </is>
      </c>
      <c r="E6085" t="inlineStr">
        <is>
          <t>BORÅS</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2165-2021</t>
        </is>
      </c>
      <c r="B6086" s="1" t="n">
        <v>44210</v>
      </c>
      <c r="C6086" s="1" t="n">
        <v>45212</v>
      </c>
      <c r="D6086" t="inlineStr">
        <is>
          <t>VÄSTRA GÖTALANDS LÄN</t>
        </is>
      </c>
      <c r="E6086" t="inlineStr">
        <is>
          <t>UDDEVALLA</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2041-2021</t>
        </is>
      </c>
      <c r="B6087" s="1" t="n">
        <v>44211</v>
      </c>
      <c r="C6087" s="1" t="n">
        <v>45212</v>
      </c>
      <c r="D6087" t="inlineStr">
        <is>
          <t>VÄSTRA GÖTALANDS LÄN</t>
        </is>
      </c>
      <c r="E6087" t="inlineStr">
        <is>
          <t>VÅRGÅRDA</t>
        </is>
      </c>
      <c r="G6087" t="n">
        <v>10.3</v>
      </c>
      <c r="H6087" t="n">
        <v>0</v>
      </c>
      <c r="I6087" t="n">
        <v>0</v>
      </c>
      <c r="J6087" t="n">
        <v>0</v>
      </c>
      <c r="K6087" t="n">
        <v>0</v>
      </c>
      <c r="L6087" t="n">
        <v>0</v>
      </c>
      <c r="M6087" t="n">
        <v>0</v>
      </c>
      <c r="N6087" t="n">
        <v>0</v>
      </c>
      <c r="O6087" t="n">
        <v>0</v>
      </c>
      <c r="P6087" t="n">
        <v>0</v>
      </c>
      <c r="Q6087" t="n">
        <v>0</v>
      </c>
      <c r="R6087" s="2" t="inlineStr"/>
    </row>
    <row r="6088" ht="15" customHeight="1">
      <c r="A6088" t="inlineStr">
        <is>
          <t>A 2231-2021</t>
        </is>
      </c>
      <c r="B6088" s="1" t="n">
        <v>44211</v>
      </c>
      <c r="C6088" s="1" t="n">
        <v>45212</v>
      </c>
      <c r="D6088" t="inlineStr">
        <is>
          <t>VÄSTRA GÖTALANDS LÄN</t>
        </is>
      </c>
      <c r="E6088" t="inlineStr">
        <is>
          <t>STRÖMSTAD</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2115-2021</t>
        </is>
      </c>
      <c r="B6089" s="1" t="n">
        <v>44211</v>
      </c>
      <c r="C6089" s="1" t="n">
        <v>45212</v>
      </c>
      <c r="D6089" t="inlineStr">
        <is>
          <t>VÄSTRA GÖTALANDS LÄN</t>
        </is>
      </c>
      <c r="E6089" t="inlineStr">
        <is>
          <t>MELLERUD</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2370-2021</t>
        </is>
      </c>
      <c r="B6090" s="1" t="n">
        <v>44211</v>
      </c>
      <c r="C6090" s="1" t="n">
        <v>45212</v>
      </c>
      <c r="D6090" t="inlineStr">
        <is>
          <t>VÄSTRA GÖTALANDS LÄN</t>
        </is>
      </c>
      <c r="E6090" t="inlineStr">
        <is>
          <t>UDDEVALLA</t>
        </is>
      </c>
      <c r="F6090" t="inlineStr">
        <is>
          <t>Kyrkan</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2400-2021</t>
        </is>
      </c>
      <c r="B6091" s="1" t="n">
        <v>44211</v>
      </c>
      <c r="C6091" s="1" t="n">
        <v>45212</v>
      </c>
      <c r="D6091" t="inlineStr">
        <is>
          <t>VÄSTRA GÖTALANDS LÄN</t>
        </is>
      </c>
      <c r="E6091" t="inlineStr">
        <is>
          <t>ALINGSÅS</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2393-2021</t>
        </is>
      </c>
      <c r="B6092" s="1" t="n">
        <v>44211</v>
      </c>
      <c r="C6092" s="1" t="n">
        <v>45212</v>
      </c>
      <c r="D6092" t="inlineStr">
        <is>
          <t>VÄSTRA GÖTALANDS LÄN</t>
        </is>
      </c>
      <c r="E6092" t="inlineStr">
        <is>
          <t>VÅRGÅRDA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2342-2021</t>
        </is>
      </c>
      <c r="B6093" s="1" t="n">
        <v>44214</v>
      </c>
      <c r="C6093" s="1" t="n">
        <v>45212</v>
      </c>
      <c r="D6093" t="inlineStr">
        <is>
          <t>VÄSTRA GÖTALANDS LÄN</t>
        </is>
      </c>
      <c r="E6093" t="inlineStr">
        <is>
          <t>GÖTENE</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2463-2021</t>
        </is>
      </c>
      <c r="B6094" s="1" t="n">
        <v>44214</v>
      </c>
      <c r="C6094" s="1" t="n">
        <v>45212</v>
      </c>
      <c r="D6094" t="inlineStr">
        <is>
          <t>VÄSTRA GÖTALANDS LÄN</t>
        </is>
      </c>
      <c r="E6094" t="inlineStr">
        <is>
          <t>VÄNERSBORG</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2982-2021</t>
        </is>
      </c>
      <c r="B6095" s="1" t="n">
        <v>44214</v>
      </c>
      <c r="C6095" s="1" t="n">
        <v>45212</v>
      </c>
      <c r="D6095" t="inlineStr">
        <is>
          <t>VÄSTRA GÖTALANDS LÄN</t>
        </is>
      </c>
      <c r="E6095" t="inlineStr">
        <is>
          <t>TROLLHÄTTAN</t>
        </is>
      </c>
      <c r="F6095" t="inlineStr">
        <is>
          <t>Kyrkan</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2337-2021</t>
        </is>
      </c>
      <c r="B6096" s="1" t="n">
        <v>44214</v>
      </c>
      <c r="C6096" s="1" t="n">
        <v>45212</v>
      </c>
      <c r="D6096" t="inlineStr">
        <is>
          <t>VÄSTRA GÖTALANDS LÄN</t>
        </is>
      </c>
      <c r="E6096" t="inlineStr">
        <is>
          <t>GÖTENE</t>
        </is>
      </c>
      <c r="G6096" t="n">
        <v>32.5</v>
      </c>
      <c r="H6096" t="n">
        <v>0</v>
      </c>
      <c r="I6096" t="n">
        <v>0</v>
      </c>
      <c r="J6096" t="n">
        <v>0</v>
      </c>
      <c r="K6096" t="n">
        <v>0</v>
      </c>
      <c r="L6096" t="n">
        <v>0</v>
      </c>
      <c r="M6096" t="n">
        <v>0</v>
      </c>
      <c r="N6096" t="n">
        <v>0</v>
      </c>
      <c r="O6096" t="n">
        <v>0</v>
      </c>
      <c r="P6096" t="n">
        <v>0</v>
      </c>
      <c r="Q6096" t="n">
        <v>0</v>
      </c>
      <c r="R6096" s="2" t="inlineStr"/>
    </row>
    <row r="6097" ht="15" customHeight="1">
      <c r="A6097" t="inlineStr">
        <is>
          <t>A 2478-2021</t>
        </is>
      </c>
      <c r="B6097" s="1" t="n">
        <v>44214</v>
      </c>
      <c r="C6097" s="1" t="n">
        <v>45212</v>
      </c>
      <c r="D6097" t="inlineStr">
        <is>
          <t>VÄSTRA GÖTALANDS LÄN</t>
        </is>
      </c>
      <c r="E6097" t="inlineStr">
        <is>
          <t>VÅRGÅRDA</t>
        </is>
      </c>
      <c r="G6097" t="n">
        <v>3.7</v>
      </c>
      <c r="H6097" t="n">
        <v>0</v>
      </c>
      <c r="I6097" t="n">
        <v>0</v>
      </c>
      <c r="J6097" t="n">
        <v>0</v>
      </c>
      <c r="K6097" t="n">
        <v>0</v>
      </c>
      <c r="L6097" t="n">
        <v>0</v>
      </c>
      <c r="M6097" t="n">
        <v>0</v>
      </c>
      <c r="N6097" t="n">
        <v>0</v>
      </c>
      <c r="O6097" t="n">
        <v>0</v>
      </c>
      <c r="P6097" t="n">
        <v>0</v>
      </c>
      <c r="Q6097" t="n">
        <v>0</v>
      </c>
      <c r="R6097" s="2" t="inlineStr"/>
    </row>
    <row r="6098" ht="15" customHeight="1">
      <c r="A6098" t="inlineStr">
        <is>
          <t>A 2979-2021</t>
        </is>
      </c>
      <c r="B6098" s="1" t="n">
        <v>44214</v>
      </c>
      <c r="C6098" s="1" t="n">
        <v>45212</v>
      </c>
      <c r="D6098" t="inlineStr">
        <is>
          <t>VÄSTRA GÖTALANDS LÄN</t>
        </is>
      </c>
      <c r="E6098" t="inlineStr">
        <is>
          <t>TROLLHÄTTAN</t>
        </is>
      </c>
      <c r="F6098" t="inlineStr">
        <is>
          <t>Kyrkan</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2733-2021</t>
        </is>
      </c>
      <c r="B6099" s="1" t="n">
        <v>44215</v>
      </c>
      <c r="C6099" s="1" t="n">
        <v>45212</v>
      </c>
      <c r="D6099" t="inlineStr">
        <is>
          <t>VÄSTRA GÖTALANDS LÄN</t>
        </is>
      </c>
      <c r="E6099" t="inlineStr">
        <is>
          <t>ULRICEHAMN</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2637-2021</t>
        </is>
      </c>
      <c r="B6100" s="1" t="n">
        <v>44215</v>
      </c>
      <c r="C6100" s="1" t="n">
        <v>45212</v>
      </c>
      <c r="D6100" t="inlineStr">
        <is>
          <t>VÄSTRA GÖTALANDS LÄN</t>
        </is>
      </c>
      <c r="E6100" t="inlineStr">
        <is>
          <t>VÄNERSBORG</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2671-2021</t>
        </is>
      </c>
      <c r="B6101" s="1" t="n">
        <v>44215</v>
      </c>
      <c r="C6101" s="1" t="n">
        <v>45212</v>
      </c>
      <c r="D6101" t="inlineStr">
        <is>
          <t>VÄSTRA GÖTALANDS LÄN</t>
        </is>
      </c>
      <c r="E6101" t="inlineStr">
        <is>
          <t>FALKÖPING</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2718-2021</t>
        </is>
      </c>
      <c r="B6102" s="1" t="n">
        <v>44215</v>
      </c>
      <c r="C6102" s="1" t="n">
        <v>45212</v>
      </c>
      <c r="D6102" t="inlineStr">
        <is>
          <t>VÄSTRA GÖTALANDS LÄN</t>
        </is>
      </c>
      <c r="E6102" t="inlineStr">
        <is>
          <t>BORÅS</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2764-2021</t>
        </is>
      </c>
      <c r="B6103" s="1" t="n">
        <v>44215</v>
      </c>
      <c r="C6103" s="1" t="n">
        <v>45212</v>
      </c>
      <c r="D6103" t="inlineStr">
        <is>
          <t>VÄSTRA GÖTALANDS LÄN</t>
        </is>
      </c>
      <c r="E6103" t="inlineStr">
        <is>
          <t>FÄRGELANDA</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2779-2021</t>
        </is>
      </c>
      <c r="B6104" s="1" t="n">
        <v>44215</v>
      </c>
      <c r="C6104" s="1" t="n">
        <v>45212</v>
      </c>
      <c r="D6104" t="inlineStr">
        <is>
          <t>VÄSTRA GÖTALANDS LÄN</t>
        </is>
      </c>
      <c r="E6104" t="inlineStr">
        <is>
          <t>HJO</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2646-2021</t>
        </is>
      </c>
      <c r="B6105" s="1" t="n">
        <v>44215</v>
      </c>
      <c r="C6105" s="1" t="n">
        <v>45212</v>
      </c>
      <c r="D6105" t="inlineStr">
        <is>
          <t>VÄSTRA GÖTALANDS LÄN</t>
        </is>
      </c>
      <c r="E6105" t="inlineStr">
        <is>
          <t>FALKÖPING</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2799-2021</t>
        </is>
      </c>
      <c r="B6106" s="1" t="n">
        <v>44215</v>
      </c>
      <c r="C6106" s="1" t="n">
        <v>45212</v>
      </c>
      <c r="D6106" t="inlineStr">
        <is>
          <t>VÄSTRA GÖTALANDS LÄN</t>
        </is>
      </c>
      <c r="E6106" t="inlineStr">
        <is>
          <t>VARA</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2636-2021</t>
        </is>
      </c>
      <c r="B6107" s="1" t="n">
        <v>44215</v>
      </c>
      <c r="C6107" s="1" t="n">
        <v>45212</v>
      </c>
      <c r="D6107" t="inlineStr">
        <is>
          <t>VÄSTRA GÖTALANDS LÄN</t>
        </is>
      </c>
      <c r="E6107" t="inlineStr">
        <is>
          <t>VÄNERSBORG</t>
        </is>
      </c>
      <c r="G6107" t="n">
        <v>2.4</v>
      </c>
      <c r="H6107" t="n">
        <v>0</v>
      </c>
      <c r="I6107" t="n">
        <v>0</v>
      </c>
      <c r="J6107" t="n">
        <v>0</v>
      </c>
      <c r="K6107" t="n">
        <v>0</v>
      </c>
      <c r="L6107" t="n">
        <v>0</v>
      </c>
      <c r="M6107" t="n">
        <v>0</v>
      </c>
      <c r="N6107" t="n">
        <v>0</v>
      </c>
      <c r="O6107" t="n">
        <v>0</v>
      </c>
      <c r="P6107" t="n">
        <v>0</v>
      </c>
      <c r="Q6107" t="n">
        <v>0</v>
      </c>
      <c r="R6107" s="2" t="inlineStr"/>
    </row>
    <row r="6108" ht="15" customHeight="1">
      <c r="A6108" t="inlineStr">
        <is>
          <t>A 2669-2021</t>
        </is>
      </c>
      <c r="B6108" s="1" t="n">
        <v>44215</v>
      </c>
      <c r="C6108" s="1" t="n">
        <v>45212</v>
      </c>
      <c r="D6108" t="inlineStr">
        <is>
          <t>VÄSTRA GÖTALANDS LÄN</t>
        </is>
      </c>
      <c r="E6108" t="inlineStr">
        <is>
          <t>FALKÖPING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2723-2021</t>
        </is>
      </c>
      <c r="B6109" s="1" t="n">
        <v>44215</v>
      </c>
      <c r="C6109" s="1" t="n">
        <v>45212</v>
      </c>
      <c r="D6109" t="inlineStr">
        <is>
          <t>VÄSTRA GÖTALANDS LÄN</t>
        </is>
      </c>
      <c r="E6109" t="inlineStr">
        <is>
          <t>BENGTSFORS</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2750-2021</t>
        </is>
      </c>
      <c r="B6110" s="1" t="n">
        <v>44215</v>
      </c>
      <c r="C6110" s="1" t="n">
        <v>45212</v>
      </c>
      <c r="D6110" t="inlineStr">
        <is>
          <t>VÄSTRA GÖTALANDS LÄN</t>
        </is>
      </c>
      <c r="E6110" t="inlineStr">
        <is>
          <t>FÄRGELANDA</t>
        </is>
      </c>
      <c r="G6110" t="n">
        <v>5.2</v>
      </c>
      <c r="H6110" t="n">
        <v>0</v>
      </c>
      <c r="I6110" t="n">
        <v>0</v>
      </c>
      <c r="J6110" t="n">
        <v>0</v>
      </c>
      <c r="K6110" t="n">
        <v>0</v>
      </c>
      <c r="L6110" t="n">
        <v>0</v>
      </c>
      <c r="M6110" t="n">
        <v>0</v>
      </c>
      <c r="N6110" t="n">
        <v>0</v>
      </c>
      <c r="O6110" t="n">
        <v>0</v>
      </c>
      <c r="P6110" t="n">
        <v>0</v>
      </c>
      <c r="Q6110" t="n">
        <v>0</v>
      </c>
      <c r="R6110" s="2" t="inlineStr"/>
    </row>
    <row r="6111" ht="15" customHeight="1">
      <c r="A6111" t="inlineStr">
        <is>
          <t>A 2838-2021</t>
        </is>
      </c>
      <c r="B6111" s="1" t="n">
        <v>44216</v>
      </c>
      <c r="C6111" s="1" t="n">
        <v>45212</v>
      </c>
      <c r="D6111" t="inlineStr">
        <is>
          <t>VÄSTRA GÖTALANDS LÄN</t>
        </is>
      </c>
      <c r="E6111" t="inlineStr">
        <is>
          <t>HERRLJUNGA</t>
        </is>
      </c>
      <c r="G6111" t="n">
        <v>5.1</v>
      </c>
      <c r="H6111" t="n">
        <v>0</v>
      </c>
      <c r="I6111" t="n">
        <v>0</v>
      </c>
      <c r="J6111" t="n">
        <v>0</v>
      </c>
      <c r="K6111" t="n">
        <v>0</v>
      </c>
      <c r="L6111" t="n">
        <v>0</v>
      </c>
      <c r="M6111" t="n">
        <v>0</v>
      </c>
      <c r="N6111" t="n">
        <v>0</v>
      </c>
      <c r="O6111" t="n">
        <v>0</v>
      </c>
      <c r="P6111" t="n">
        <v>0</v>
      </c>
      <c r="Q6111" t="n">
        <v>0</v>
      </c>
      <c r="R6111" s="2" t="inlineStr"/>
    </row>
    <row r="6112" ht="15" customHeight="1">
      <c r="A6112" t="inlineStr">
        <is>
          <t>A 2981-2021</t>
        </is>
      </c>
      <c r="B6112" s="1" t="n">
        <v>44216</v>
      </c>
      <c r="C6112" s="1" t="n">
        <v>45212</v>
      </c>
      <c r="D6112" t="inlineStr">
        <is>
          <t>VÄSTRA GÖTALANDS LÄN</t>
        </is>
      </c>
      <c r="E6112" t="inlineStr">
        <is>
          <t>MARK</t>
        </is>
      </c>
      <c r="G6112" t="n">
        <v>6.8</v>
      </c>
      <c r="H6112" t="n">
        <v>0</v>
      </c>
      <c r="I6112" t="n">
        <v>0</v>
      </c>
      <c r="J6112" t="n">
        <v>0</v>
      </c>
      <c r="K6112" t="n">
        <v>0</v>
      </c>
      <c r="L6112" t="n">
        <v>0</v>
      </c>
      <c r="M6112" t="n">
        <v>0</v>
      </c>
      <c r="N6112" t="n">
        <v>0</v>
      </c>
      <c r="O6112" t="n">
        <v>0</v>
      </c>
      <c r="P6112" t="n">
        <v>0</v>
      </c>
      <c r="Q6112" t="n">
        <v>0</v>
      </c>
      <c r="R6112" s="2" t="inlineStr"/>
    </row>
    <row r="6113" ht="15" customHeight="1">
      <c r="A6113" t="inlineStr">
        <is>
          <t>A 3026-2021</t>
        </is>
      </c>
      <c r="B6113" s="1" t="n">
        <v>44216</v>
      </c>
      <c r="C6113" s="1" t="n">
        <v>45212</v>
      </c>
      <c r="D6113" t="inlineStr">
        <is>
          <t>VÄSTRA GÖTALANDS LÄN</t>
        </is>
      </c>
      <c r="E6113" t="inlineStr">
        <is>
          <t>KUNGÄLV</t>
        </is>
      </c>
      <c r="G6113" t="n">
        <v>2.3</v>
      </c>
      <c r="H6113" t="n">
        <v>0</v>
      </c>
      <c r="I6113" t="n">
        <v>0</v>
      </c>
      <c r="J6113" t="n">
        <v>0</v>
      </c>
      <c r="K6113" t="n">
        <v>0</v>
      </c>
      <c r="L6113" t="n">
        <v>0</v>
      </c>
      <c r="M6113" t="n">
        <v>0</v>
      </c>
      <c r="N6113" t="n">
        <v>0</v>
      </c>
      <c r="O6113" t="n">
        <v>0</v>
      </c>
      <c r="P6113" t="n">
        <v>0</v>
      </c>
      <c r="Q6113" t="n">
        <v>0</v>
      </c>
      <c r="R6113" s="2" t="inlineStr"/>
    </row>
    <row r="6114" ht="15" customHeight="1">
      <c r="A6114" t="inlineStr">
        <is>
          <t>A 2959-2021</t>
        </is>
      </c>
      <c r="B6114" s="1" t="n">
        <v>44216</v>
      </c>
      <c r="C6114" s="1" t="n">
        <v>45212</v>
      </c>
      <c r="D6114" t="inlineStr">
        <is>
          <t>VÄSTRA GÖTALANDS LÄN</t>
        </is>
      </c>
      <c r="E6114" t="inlineStr">
        <is>
          <t>TANUM</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2904-2021</t>
        </is>
      </c>
      <c r="B6115" s="1" t="n">
        <v>44216</v>
      </c>
      <c r="C6115" s="1" t="n">
        <v>45212</v>
      </c>
      <c r="D6115" t="inlineStr">
        <is>
          <t>VÄSTRA GÖTALANDS LÄN</t>
        </is>
      </c>
      <c r="E6115" t="inlineStr">
        <is>
          <t>VARA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2926-2021</t>
        </is>
      </c>
      <c r="B6116" s="1" t="n">
        <v>44216</v>
      </c>
      <c r="C6116" s="1" t="n">
        <v>45212</v>
      </c>
      <c r="D6116" t="inlineStr">
        <is>
          <t>VÄSTRA GÖTALANDS LÄN</t>
        </is>
      </c>
      <c r="E6116" t="inlineStr">
        <is>
          <t>MUNKEDAL</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2966-2021</t>
        </is>
      </c>
      <c r="B6117" s="1" t="n">
        <v>44216</v>
      </c>
      <c r="C6117" s="1" t="n">
        <v>45212</v>
      </c>
      <c r="D6117" t="inlineStr">
        <is>
          <t>VÄSTRA GÖTALANDS LÄN</t>
        </is>
      </c>
      <c r="E6117" t="inlineStr">
        <is>
          <t>GULLSPÅNG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2998-2021</t>
        </is>
      </c>
      <c r="B6118" s="1" t="n">
        <v>44216</v>
      </c>
      <c r="C6118" s="1" t="n">
        <v>45212</v>
      </c>
      <c r="D6118" t="inlineStr">
        <is>
          <t>VÄSTRA GÖTALANDS LÄN</t>
        </is>
      </c>
      <c r="E6118" t="inlineStr">
        <is>
          <t>FÄRGELANDA</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3038-2021</t>
        </is>
      </c>
      <c r="B6119" s="1" t="n">
        <v>44216</v>
      </c>
      <c r="C6119" s="1" t="n">
        <v>45212</v>
      </c>
      <c r="D6119" t="inlineStr">
        <is>
          <t>VÄSTRA GÖTALANDS LÄN</t>
        </is>
      </c>
      <c r="E6119" t="inlineStr">
        <is>
          <t>KUNGÄLV</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2919-2021</t>
        </is>
      </c>
      <c r="B6120" s="1" t="n">
        <v>44216</v>
      </c>
      <c r="C6120" s="1" t="n">
        <v>45212</v>
      </c>
      <c r="D6120" t="inlineStr">
        <is>
          <t>VÄSTRA GÖTALANDS LÄN</t>
        </is>
      </c>
      <c r="E6120" t="inlineStr">
        <is>
          <t>TJÖRN</t>
        </is>
      </c>
      <c r="F6120" t="inlineStr">
        <is>
          <t>Kommuner</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3293-2021</t>
        </is>
      </c>
      <c r="B6121" s="1" t="n">
        <v>44217</v>
      </c>
      <c r="C6121" s="1" t="n">
        <v>45212</v>
      </c>
      <c r="D6121" t="inlineStr">
        <is>
          <t>VÄSTRA GÖTALANDS LÄN</t>
        </is>
      </c>
      <c r="E6121" t="inlineStr">
        <is>
          <t>ALE</t>
        </is>
      </c>
      <c r="G6121" t="n">
        <v>4.2</v>
      </c>
      <c r="H6121" t="n">
        <v>0</v>
      </c>
      <c r="I6121" t="n">
        <v>0</v>
      </c>
      <c r="J6121" t="n">
        <v>0</v>
      </c>
      <c r="K6121" t="n">
        <v>0</v>
      </c>
      <c r="L6121" t="n">
        <v>0</v>
      </c>
      <c r="M6121" t="n">
        <v>0</v>
      </c>
      <c r="N6121" t="n">
        <v>0</v>
      </c>
      <c r="O6121" t="n">
        <v>0</v>
      </c>
      <c r="P6121" t="n">
        <v>0</v>
      </c>
      <c r="Q6121" t="n">
        <v>0</v>
      </c>
      <c r="R6121" s="2" t="inlineStr"/>
    </row>
    <row r="6122" ht="15" customHeight="1">
      <c r="A6122" t="inlineStr">
        <is>
          <t>A 3846-2021</t>
        </is>
      </c>
      <c r="B6122" s="1" t="n">
        <v>44217</v>
      </c>
      <c r="C6122" s="1" t="n">
        <v>45212</v>
      </c>
      <c r="D6122" t="inlineStr">
        <is>
          <t>VÄSTRA GÖTALANDS LÄN</t>
        </is>
      </c>
      <c r="E6122" t="inlineStr">
        <is>
          <t>DALS-ED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3245-2021</t>
        </is>
      </c>
      <c r="B6123" s="1" t="n">
        <v>44217</v>
      </c>
      <c r="C6123" s="1" t="n">
        <v>45212</v>
      </c>
      <c r="D6123" t="inlineStr">
        <is>
          <t>VÄSTRA GÖTALANDS LÄN</t>
        </is>
      </c>
      <c r="E6123" t="inlineStr">
        <is>
          <t>MARK</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3294-2021</t>
        </is>
      </c>
      <c r="B6124" s="1" t="n">
        <v>44217</v>
      </c>
      <c r="C6124" s="1" t="n">
        <v>45212</v>
      </c>
      <c r="D6124" t="inlineStr">
        <is>
          <t>VÄSTRA GÖTALANDS LÄN</t>
        </is>
      </c>
      <c r="E6124" t="inlineStr">
        <is>
          <t>KARLSBORG</t>
        </is>
      </c>
      <c r="F6124" t="inlineStr">
        <is>
          <t>Övriga Aktiebolag</t>
        </is>
      </c>
      <c r="G6124" t="n">
        <v>3.4</v>
      </c>
      <c r="H6124" t="n">
        <v>0</v>
      </c>
      <c r="I6124" t="n">
        <v>0</v>
      </c>
      <c r="J6124" t="n">
        <v>0</v>
      </c>
      <c r="K6124" t="n">
        <v>0</v>
      </c>
      <c r="L6124" t="n">
        <v>0</v>
      </c>
      <c r="M6124" t="n">
        <v>0</v>
      </c>
      <c r="N6124" t="n">
        <v>0</v>
      </c>
      <c r="O6124" t="n">
        <v>0</v>
      </c>
      <c r="P6124" t="n">
        <v>0</v>
      </c>
      <c r="Q6124" t="n">
        <v>0</v>
      </c>
      <c r="R6124" s="2" t="inlineStr"/>
    </row>
    <row r="6125" ht="15" customHeight="1">
      <c r="A6125" t="inlineStr">
        <is>
          <t>A 3325-2021</t>
        </is>
      </c>
      <c r="B6125" s="1" t="n">
        <v>44217</v>
      </c>
      <c r="C6125" s="1" t="n">
        <v>45212</v>
      </c>
      <c r="D6125" t="inlineStr">
        <is>
          <t>VÄSTRA GÖTALANDS LÄN</t>
        </is>
      </c>
      <c r="E6125" t="inlineStr">
        <is>
          <t>MARK</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3897-2021</t>
        </is>
      </c>
      <c r="B6126" s="1" t="n">
        <v>44217</v>
      </c>
      <c r="C6126" s="1" t="n">
        <v>45212</v>
      </c>
      <c r="D6126" t="inlineStr">
        <is>
          <t>VÄSTRA GÖTALANDS LÄN</t>
        </is>
      </c>
      <c r="E6126" t="inlineStr">
        <is>
          <t>TROLLHÄTTAN</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3147-2021</t>
        </is>
      </c>
      <c r="B6127" s="1" t="n">
        <v>44217</v>
      </c>
      <c r="C6127" s="1" t="n">
        <v>45212</v>
      </c>
      <c r="D6127" t="inlineStr">
        <is>
          <t>VÄSTRA GÖTALANDS LÄN</t>
        </is>
      </c>
      <c r="E6127" t="inlineStr">
        <is>
          <t>DALS-ED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3277-2021</t>
        </is>
      </c>
      <c r="B6128" s="1" t="n">
        <v>44217</v>
      </c>
      <c r="C6128" s="1" t="n">
        <v>45212</v>
      </c>
      <c r="D6128" t="inlineStr">
        <is>
          <t>VÄSTRA GÖTALANDS LÄN</t>
        </is>
      </c>
      <c r="E6128" t="inlineStr">
        <is>
          <t>MELLERUD</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3125-2021</t>
        </is>
      </c>
      <c r="B6129" s="1" t="n">
        <v>44217</v>
      </c>
      <c r="C6129" s="1" t="n">
        <v>45212</v>
      </c>
      <c r="D6129" t="inlineStr">
        <is>
          <t>VÄSTRA GÖTALANDS LÄN</t>
        </is>
      </c>
      <c r="E6129" t="inlineStr">
        <is>
          <t>UDDEVALLA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3773-2021</t>
        </is>
      </c>
      <c r="B6130" s="1" t="n">
        <v>44217</v>
      </c>
      <c r="C6130" s="1" t="n">
        <v>45212</v>
      </c>
      <c r="D6130" t="inlineStr">
        <is>
          <t>VÄSTRA GÖTALANDS LÄN</t>
        </is>
      </c>
      <c r="E6130" t="inlineStr">
        <is>
          <t>DALS-ED</t>
        </is>
      </c>
      <c r="G6130" t="n">
        <v>0.8</v>
      </c>
      <c r="H6130" t="n">
        <v>0</v>
      </c>
      <c r="I6130" t="n">
        <v>0</v>
      </c>
      <c r="J6130" t="n">
        <v>0</v>
      </c>
      <c r="K6130" t="n">
        <v>0</v>
      </c>
      <c r="L6130" t="n">
        <v>0</v>
      </c>
      <c r="M6130" t="n">
        <v>0</v>
      </c>
      <c r="N6130" t="n">
        <v>0</v>
      </c>
      <c r="O6130" t="n">
        <v>0</v>
      </c>
      <c r="P6130" t="n">
        <v>0</v>
      </c>
      <c r="Q6130" t="n">
        <v>0</v>
      </c>
      <c r="R6130" s="2" t="inlineStr"/>
    </row>
    <row r="6131" ht="15" customHeight="1">
      <c r="A6131" t="inlineStr">
        <is>
          <t>A 3392-2021</t>
        </is>
      </c>
      <c r="B6131" s="1" t="n">
        <v>44218</v>
      </c>
      <c r="C6131" s="1" t="n">
        <v>45212</v>
      </c>
      <c r="D6131" t="inlineStr">
        <is>
          <t>VÄSTRA GÖTALANDS LÄN</t>
        </is>
      </c>
      <c r="E6131" t="inlineStr">
        <is>
          <t>ULRICEHAMN</t>
        </is>
      </c>
      <c r="G6131" t="n">
        <v>9.1</v>
      </c>
      <c r="H6131" t="n">
        <v>0</v>
      </c>
      <c r="I6131" t="n">
        <v>0</v>
      </c>
      <c r="J6131" t="n">
        <v>0</v>
      </c>
      <c r="K6131" t="n">
        <v>0</v>
      </c>
      <c r="L6131" t="n">
        <v>0</v>
      </c>
      <c r="M6131" t="n">
        <v>0</v>
      </c>
      <c r="N6131" t="n">
        <v>0</v>
      </c>
      <c r="O6131" t="n">
        <v>0</v>
      </c>
      <c r="P6131" t="n">
        <v>0</v>
      </c>
      <c r="Q6131" t="n">
        <v>0</v>
      </c>
      <c r="R6131" s="2" t="inlineStr"/>
    </row>
    <row r="6132" ht="15" customHeight="1">
      <c r="A6132" t="inlineStr">
        <is>
          <t>A 3422-2021</t>
        </is>
      </c>
      <c r="B6132" s="1" t="n">
        <v>44218</v>
      </c>
      <c r="C6132" s="1" t="n">
        <v>45212</v>
      </c>
      <c r="D6132" t="inlineStr">
        <is>
          <t>VÄSTRA GÖTALANDS LÄN</t>
        </is>
      </c>
      <c r="E6132" t="inlineStr">
        <is>
          <t>VARA</t>
        </is>
      </c>
      <c r="G6132" t="n">
        <v>2.5</v>
      </c>
      <c r="H6132" t="n">
        <v>0</v>
      </c>
      <c r="I6132" t="n">
        <v>0</v>
      </c>
      <c r="J6132" t="n">
        <v>0</v>
      </c>
      <c r="K6132" t="n">
        <v>0</v>
      </c>
      <c r="L6132" t="n">
        <v>0</v>
      </c>
      <c r="M6132" t="n">
        <v>0</v>
      </c>
      <c r="N6132" t="n">
        <v>0</v>
      </c>
      <c r="O6132" t="n">
        <v>0</v>
      </c>
      <c r="P6132" t="n">
        <v>0</v>
      </c>
      <c r="Q6132" t="n">
        <v>0</v>
      </c>
      <c r="R6132" s="2" t="inlineStr"/>
    </row>
    <row r="6133" ht="15" customHeight="1">
      <c r="A6133" t="inlineStr">
        <is>
          <t>A 3451-2021</t>
        </is>
      </c>
      <c r="B6133" s="1" t="n">
        <v>44218</v>
      </c>
      <c r="C6133" s="1" t="n">
        <v>45212</v>
      </c>
      <c r="D6133" t="inlineStr">
        <is>
          <t>VÄSTRA GÖTALANDS LÄN</t>
        </is>
      </c>
      <c r="E6133" t="inlineStr">
        <is>
          <t>ALINGSÅS</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3476-2021</t>
        </is>
      </c>
      <c r="B6134" s="1" t="n">
        <v>44218</v>
      </c>
      <c r="C6134" s="1" t="n">
        <v>45212</v>
      </c>
      <c r="D6134" t="inlineStr">
        <is>
          <t>VÄSTRA GÖTALANDS LÄN</t>
        </is>
      </c>
      <c r="E6134" t="inlineStr">
        <is>
          <t>SKARA</t>
        </is>
      </c>
      <c r="F6134" t="inlineStr">
        <is>
          <t>Kyrkan</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3356-2021</t>
        </is>
      </c>
      <c r="B6135" s="1" t="n">
        <v>44218</v>
      </c>
      <c r="C6135" s="1" t="n">
        <v>45212</v>
      </c>
      <c r="D6135" t="inlineStr">
        <is>
          <t>VÄSTRA GÖTALANDS LÄN</t>
        </is>
      </c>
      <c r="E6135" t="inlineStr">
        <is>
          <t>SVENLJUNGA</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3380-2021</t>
        </is>
      </c>
      <c r="B6136" s="1" t="n">
        <v>44218</v>
      </c>
      <c r="C6136" s="1" t="n">
        <v>45212</v>
      </c>
      <c r="D6136" t="inlineStr">
        <is>
          <t>VÄSTRA GÖTALANDS LÄN</t>
        </is>
      </c>
      <c r="E6136" t="inlineStr">
        <is>
          <t>ULRICEHAMN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3408-2021</t>
        </is>
      </c>
      <c r="B6137" s="1" t="n">
        <v>44218</v>
      </c>
      <c r="C6137" s="1" t="n">
        <v>45212</v>
      </c>
      <c r="D6137" t="inlineStr">
        <is>
          <t>VÄSTRA GÖTALANDS LÄN</t>
        </is>
      </c>
      <c r="E6137" t="inlineStr">
        <is>
          <t>MARK</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3468-2021</t>
        </is>
      </c>
      <c r="B6138" s="1" t="n">
        <v>44218</v>
      </c>
      <c r="C6138" s="1" t="n">
        <v>45212</v>
      </c>
      <c r="D6138" t="inlineStr">
        <is>
          <t>VÄSTRA GÖTALANDS LÄN</t>
        </is>
      </c>
      <c r="E6138" t="inlineStr">
        <is>
          <t>DALS-ED</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3481-2021</t>
        </is>
      </c>
      <c r="B6139" s="1" t="n">
        <v>44218</v>
      </c>
      <c r="C6139" s="1" t="n">
        <v>45212</v>
      </c>
      <c r="D6139" t="inlineStr">
        <is>
          <t>VÄSTRA GÖTALANDS LÄN</t>
        </is>
      </c>
      <c r="E6139" t="inlineStr">
        <is>
          <t>SKARA</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3548-2021</t>
        </is>
      </c>
      <c r="B6140" s="1" t="n">
        <v>44218</v>
      </c>
      <c r="C6140" s="1" t="n">
        <v>45212</v>
      </c>
      <c r="D6140" t="inlineStr">
        <is>
          <t>VÄSTRA GÖTALANDS LÄN</t>
        </is>
      </c>
      <c r="E6140" t="inlineStr">
        <is>
          <t>TRANEMO</t>
        </is>
      </c>
      <c r="F6140" t="inlineStr">
        <is>
          <t>Sveaskog</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3581-2021</t>
        </is>
      </c>
      <c r="B6141" s="1" t="n">
        <v>44220</v>
      </c>
      <c r="C6141" s="1" t="n">
        <v>45212</v>
      </c>
      <c r="D6141" t="inlineStr">
        <is>
          <t>VÄSTRA GÖTALANDS LÄN</t>
        </is>
      </c>
      <c r="E6141" t="inlineStr">
        <is>
          <t>TIDAHOLM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3622-2021</t>
        </is>
      </c>
      <c r="B6142" s="1" t="n">
        <v>44220</v>
      </c>
      <c r="C6142" s="1" t="n">
        <v>45212</v>
      </c>
      <c r="D6142" t="inlineStr">
        <is>
          <t>VÄSTRA GÖTALANDS LÄN</t>
        </is>
      </c>
      <c r="E6142" t="inlineStr">
        <is>
          <t>FALKÖPING</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3764-2021</t>
        </is>
      </c>
      <c r="B6143" s="1" t="n">
        <v>44220</v>
      </c>
      <c r="C6143" s="1" t="n">
        <v>45212</v>
      </c>
      <c r="D6143" t="inlineStr">
        <is>
          <t>VÄSTRA GÖTALANDS LÄN</t>
        </is>
      </c>
      <c r="E6143" t="inlineStr">
        <is>
          <t>FALKÖPING</t>
        </is>
      </c>
      <c r="G6143" t="n">
        <v>1.5</v>
      </c>
      <c r="H6143" t="n">
        <v>0</v>
      </c>
      <c r="I6143" t="n">
        <v>0</v>
      </c>
      <c r="J6143" t="n">
        <v>0</v>
      </c>
      <c r="K6143" t="n">
        <v>0</v>
      </c>
      <c r="L6143" t="n">
        <v>0</v>
      </c>
      <c r="M6143" t="n">
        <v>0</v>
      </c>
      <c r="N6143" t="n">
        <v>0</v>
      </c>
      <c r="O6143" t="n">
        <v>0</v>
      </c>
      <c r="P6143" t="n">
        <v>0</v>
      </c>
      <c r="Q6143" t="n">
        <v>0</v>
      </c>
      <c r="R6143" s="2" t="inlineStr"/>
    </row>
    <row r="6144" ht="15" customHeight="1">
      <c r="A6144" t="inlineStr">
        <is>
          <t>A 3614-2021</t>
        </is>
      </c>
      <c r="B6144" s="1" t="n">
        <v>44220</v>
      </c>
      <c r="C6144" s="1" t="n">
        <v>45212</v>
      </c>
      <c r="D6144" t="inlineStr">
        <is>
          <t>VÄSTRA GÖTALANDS LÄN</t>
        </is>
      </c>
      <c r="E6144" t="inlineStr">
        <is>
          <t>ULRICEHAMN</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3633-2021</t>
        </is>
      </c>
      <c r="B6145" s="1" t="n">
        <v>44221</v>
      </c>
      <c r="C6145" s="1" t="n">
        <v>45212</v>
      </c>
      <c r="D6145" t="inlineStr">
        <is>
          <t>VÄSTRA GÖTALANDS LÄN</t>
        </is>
      </c>
      <c r="E6145" t="inlineStr">
        <is>
          <t>HÄRRYDA</t>
        </is>
      </c>
      <c r="G6145" t="n">
        <v>1.6</v>
      </c>
      <c r="H6145" t="n">
        <v>0</v>
      </c>
      <c r="I6145" t="n">
        <v>0</v>
      </c>
      <c r="J6145" t="n">
        <v>0</v>
      </c>
      <c r="K6145" t="n">
        <v>0</v>
      </c>
      <c r="L6145" t="n">
        <v>0</v>
      </c>
      <c r="M6145" t="n">
        <v>0</v>
      </c>
      <c r="N6145" t="n">
        <v>0</v>
      </c>
      <c r="O6145" t="n">
        <v>0</v>
      </c>
      <c r="P6145" t="n">
        <v>0</v>
      </c>
      <c r="Q6145" t="n">
        <v>0</v>
      </c>
      <c r="R6145" s="2" t="inlineStr"/>
    </row>
    <row r="6146" ht="15" customHeight="1">
      <c r="A6146" t="inlineStr">
        <is>
          <t>A 3644-2021</t>
        </is>
      </c>
      <c r="B6146" s="1" t="n">
        <v>44221</v>
      </c>
      <c r="C6146" s="1" t="n">
        <v>45212</v>
      </c>
      <c r="D6146" t="inlineStr">
        <is>
          <t>VÄSTRA GÖTALANDS LÄN</t>
        </is>
      </c>
      <c r="E6146" t="inlineStr">
        <is>
          <t>HÄRRYDA</t>
        </is>
      </c>
      <c r="G6146" t="n">
        <v>1.7</v>
      </c>
      <c r="H6146" t="n">
        <v>0</v>
      </c>
      <c r="I6146" t="n">
        <v>0</v>
      </c>
      <c r="J6146" t="n">
        <v>0</v>
      </c>
      <c r="K6146" t="n">
        <v>0</v>
      </c>
      <c r="L6146" t="n">
        <v>0</v>
      </c>
      <c r="M6146" t="n">
        <v>0</v>
      </c>
      <c r="N6146" t="n">
        <v>0</v>
      </c>
      <c r="O6146" t="n">
        <v>0</v>
      </c>
      <c r="P6146" t="n">
        <v>0</v>
      </c>
      <c r="Q6146" t="n">
        <v>0</v>
      </c>
      <c r="R6146" s="2" t="inlineStr"/>
    </row>
    <row r="6147" ht="15" customHeight="1">
      <c r="A6147" t="inlineStr">
        <is>
          <t>A 3753-2021</t>
        </is>
      </c>
      <c r="B6147" s="1" t="n">
        <v>44221</v>
      </c>
      <c r="C6147" s="1" t="n">
        <v>45212</v>
      </c>
      <c r="D6147" t="inlineStr">
        <is>
          <t>VÄSTRA GÖTALANDS LÄN</t>
        </is>
      </c>
      <c r="E6147" t="inlineStr">
        <is>
          <t>BOLLEBYGD</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3996-2021</t>
        </is>
      </c>
      <c r="B6148" s="1" t="n">
        <v>44221</v>
      </c>
      <c r="C6148" s="1" t="n">
        <v>45212</v>
      </c>
      <c r="D6148" t="inlineStr">
        <is>
          <t>VÄSTRA GÖTALANDS LÄN</t>
        </is>
      </c>
      <c r="E6148" t="inlineStr">
        <is>
          <t>SKÖVDE</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4147-2021</t>
        </is>
      </c>
      <c r="B6149" s="1" t="n">
        <v>44221</v>
      </c>
      <c r="C6149" s="1" t="n">
        <v>45212</v>
      </c>
      <c r="D6149" t="inlineStr">
        <is>
          <t>VÄSTRA GÖTALANDS LÄN</t>
        </is>
      </c>
      <c r="E6149" t="inlineStr">
        <is>
          <t>MARIESTAD</t>
        </is>
      </c>
      <c r="G6149" t="n">
        <v>45.2</v>
      </c>
      <c r="H6149" t="n">
        <v>0</v>
      </c>
      <c r="I6149" t="n">
        <v>0</v>
      </c>
      <c r="J6149" t="n">
        <v>0</v>
      </c>
      <c r="K6149" t="n">
        <v>0</v>
      </c>
      <c r="L6149" t="n">
        <v>0</v>
      </c>
      <c r="M6149" t="n">
        <v>0</v>
      </c>
      <c r="N6149" t="n">
        <v>0</v>
      </c>
      <c r="O6149" t="n">
        <v>0</v>
      </c>
      <c r="P6149" t="n">
        <v>0</v>
      </c>
      <c r="Q6149" t="n">
        <v>0</v>
      </c>
      <c r="R6149" s="2" t="inlineStr"/>
    </row>
    <row r="6150" ht="15" customHeight="1">
      <c r="A6150" t="inlineStr">
        <is>
          <t>A 3648-2021</t>
        </is>
      </c>
      <c r="B6150" s="1" t="n">
        <v>44221</v>
      </c>
      <c r="C6150" s="1" t="n">
        <v>45212</v>
      </c>
      <c r="D6150" t="inlineStr">
        <is>
          <t>VÄSTRA GÖTALANDS LÄN</t>
        </is>
      </c>
      <c r="E6150" t="inlineStr">
        <is>
          <t>HÄRRYDA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3662-2021</t>
        </is>
      </c>
      <c r="B6151" s="1" t="n">
        <v>44221</v>
      </c>
      <c r="C6151" s="1" t="n">
        <v>45212</v>
      </c>
      <c r="D6151" t="inlineStr">
        <is>
          <t>VÄSTRA GÖTALANDS LÄN</t>
        </is>
      </c>
      <c r="E6151" t="inlineStr">
        <is>
          <t>HÄRRYDA</t>
        </is>
      </c>
      <c r="G6151" t="n">
        <v>2.3</v>
      </c>
      <c r="H6151" t="n">
        <v>0</v>
      </c>
      <c r="I6151" t="n">
        <v>0</v>
      </c>
      <c r="J6151" t="n">
        <v>0</v>
      </c>
      <c r="K6151" t="n">
        <v>0</v>
      </c>
      <c r="L6151" t="n">
        <v>0</v>
      </c>
      <c r="M6151" t="n">
        <v>0</v>
      </c>
      <c r="N6151" t="n">
        <v>0</v>
      </c>
      <c r="O6151" t="n">
        <v>0</v>
      </c>
      <c r="P6151" t="n">
        <v>0</v>
      </c>
      <c r="Q6151" t="n">
        <v>0</v>
      </c>
      <c r="R6151" s="2" t="inlineStr"/>
    </row>
    <row r="6152" ht="15" customHeight="1">
      <c r="A6152" t="inlineStr">
        <is>
          <t>A 3670-2021</t>
        </is>
      </c>
      <c r="B6152" s="1" t="n">
        <v>44221</v>
      </c>
      <c r="C6152" s="1" t="n">
        <v>45212</v>
      </c>
      <c r="D6152" t="inlineStr">
        <is>
          <t>VÄSTRA GÖTALANDS LÄN</t>
        </is>
      </c>
      <c r="E6152" t="inlineStr">
        <is>
          <t>HÄRRYDA</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4148-2021</t>
        </is>
      </c>
      <c r="B6153" s="1" t="n">
        <v>44221</v>
      </c>
      <c r="C6153" s="1" t="n">
        <v>45212</v>
      </c>
      <c r="D6153" t="inlineStr">
        <is>
          <t>VÄSTRA GÖTALANDS LÄN</t>
        </is>
      </c>
      <c r="E6153" t="inlineStr">
        <is>
          <t>MELLERUD</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3655-2021</t>
        </is>
      </c>
      <c r="B6154" s="1" t="n">
        <v>44221</v>
      </c>
      <c r="C6154" s="1" t="n">
        <v>45212</v>
      </c>
      <c r="D6154" t="inlineStr">
        <is>
          <t>VÄSTRA GÖTALANDS LÄN</t>
        </is>
      </c>
      <c r="E6154" t="inlineStr">
        <is>
          <t>HÄRRYDA</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3708-2021</t>
        </is>
      </c>
      <c r="B6155" s="1" t="n">
        <v>44221</v>
      </c>
      <c r="C6155" s="1" t="n">
        <v>45212</v>
      </c>
      <c r="D6155" t="inlineStr">
        <is>
          <t>VÄSTRA GÖTALANDS LÄN</t>
        </is>
      </c>
      <c r="E6155" t="inlineStr">
        <is>
          <t>KARLSBORG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3744-2021</t>
        </is>
      </c>
      <c r="B6156" s="1" t="n">
        <v>44221</v>
      </c>
      <c r="C6156" s="1" t="n">
        <v>45212</v>
      </c>
      <c r="D6156" t="inlineStr">
        <is>
          <t>VÄSTRA GÖTALANDS LÄN</t>
        </is>
      </c>
      <c r="E6156" t="inlineStr">
        <is>
          <t>BOLLEBYGD</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3774-2021</t>
        </is>
      </c>
      <c r="B6157" s="1" t="n">
        <v>44221</v>
      </c>
      <c r="C6157" s="1" t="n">
        <v>45212</v>
      </c>
      <c r="D6157" t="inlineStr">
        <is>
          <t>VÄSTRA GÖTALANDS LÄN</t>
        </is>
      </c>
      <c r="E6157" t="inlineStr">
        <is>
          <t>ULRICEHAMN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4556-2021</t>
        </is>
      </c>
      <c r="B6158" s="1" t="n">
        <v>44221</v>
      </c>
      <c r="C6158" s="1" t="n">
        <v>45212</v>
      </c>
      <c r="D6158" t="inlineStr">
        <is>
          <t>VÄSTRA GÖTALANDS LÄN</t>
        </is>
      </c>
      <c r="E6158" t="inlineStr">
        <is>
          <t>ULRICEHAMN</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3629-2021</t>
        </is>
      </c>
      <c r="B6159" s="1" t="n">
        <v>44221</v>
      </c>
      <c r="C6159" s="1" t="n">
        <v>45212</v>
      </c>
      <c r="D6159" t="inlineStr">
        <is>
          <t>VÄSTRA GÖTALANDS LÄN</t>
        </is>
      </c>
      <c r="E6159" t="inlineStr">
        <is>
          <t>HÄRRYDA</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3642-2021</t>
        </is>
      </c>
      <c r="B6160" s="1" t="n">
        <v>44221</v>
      </c>
      <c r="C6160" s="1" t="n">
        <v>45212</v>
      </c>
      <c r="D6160" t="inlineStr">
        <is>
          <t>VÄSTRA GÖTALANDS LÄN</t>
        </is>
      </c>
      <c r="E6160" t="inlineStr">
        <is>
          <t>HÄRRYDA</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3656-2021</t>
        </is>
      </c>
      <c r="B6161" s="1" t="n">
        <v>44221</v>
      </c>
      <c r="C6161" s="1" t="n">
        <v>45212</v>
      </c>
      <c r="D6161" t="inlineStr">
        <is>
          <t>VÄSTRA GÖTALANDS LÄN</t>
        </is>
      </c>
      <c r="E6161" t="inlineStr">
        <is>
          <t>TÖREBODA</t>
        </is>
      </c>
      <c r="G6161" t="n">
        <v>2.7</v>
      </c>
      <c r="H6161" t="n">
        <v>0</v>
      </c>
      <c r="I6161" t="n">
        <v>0</v>
      </c>
      <c r="J6161" t="n">
        <v>0</v>
      </c>
      <c r="K6161" t="n">
        <v>0</v>
      </c>
      <c r="L6161" t="n">
        <v>0</v>
      </c>
      <c r="M6161" t="n">
        <v>0</v>
      </c>
      <c r="N6161" t="n">
        <v>0</v>
      </c>
      <c r="O6161" t="n">
        <v>0</v>
      </c>
      <c r="P6161" t="n">
        <v>0</v>
      </c>
      <c r="Q6161" t="n">
        <v>0</v>
      </c>
      <c r="R6161" s="2" t="inlineStr"/>
    </row>
    <row r="6162" ht="15" customHeight="1">
      <c r="A6162" t="inlineStr">
        <is>
          <t>A 3680-2021</t>
        </is>
      </c>
      <c r="B6162" s="1" t="n">
        <v>44221</v>
      </c>
      <c r="C6162" s="1" t="n">
        <v>45212</v>
      </c>
      <c r="D6162" t="inlineStr">
        <is>
          <t>VÄSTRA GÖTALANDS LÄN</t>
        </is>
      </c>
      <c r="E6162" t="inlineStr">
        <is>
          <t>VARA</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3725-2021</t>
        </is>
      </c>
      <c r="B6163" s="1" t="n">
        <v>44221</v>
      </c>
      <c r="C6163" s="1" t="n">
        <v>45212</v>
      </c>
      <c r="D6163" t="inlineStr">
        <is>
          <t>VÄSTRA GÖTALANDS LÄN</t>
        </is>
      </c>
      <c r="E6163" t="inlineStr">
        <is>
          <t>VARA</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4075-2021</t>
        </is>
      </c>
      <c r="B6164" s="1" t="n">
        <v>44222</v>
      </c>
      <c r="C6164" s="1" t="n">
        <v>45212</v>
      </c>
      <c r="D6164" t="inlineStr">
        <is>
          <t>VÄSTRA GÖTALANDS LÄN</t>
        </is>
      </c>
      <c r="E6164" t="inlineStr">
        <is>
          <t>DALS-ED</t>
        </is>
      </c>
      <c r="G6164" t="n">
        <v>10.4</v>
      </c>
      <c r="H6164" t="n">
        <v>0</v>
      </c>
      <c r="I6164" t="n">
        <v>0</v>
      </c>
      <c r="J6164" t="n">
        <v>0</v>
      </c>
      <c r="K6164" t="n">
        <v>0</v>
      </c>
      <c r="L6164" t="n">
        <v>0</v>
      </c>
      <c r="M6164" t="n">
        <v>0</v>
      </c>
      <c r="N6164" t="n">
        <v>0</v>
      </c>
      <c r="O6164" t="n">
        <v>0</v>
      </c>
      <c r="P6164" t="n">
        <v>0</v>
      </c>
      <c r="Q6164" t="n">
        <v>0</v>
      </c>
      <c r="R6164" s="2" t="inlineStr"/>
    </row>
    <row r="6165" ht="15" customHeight="1">
      <c r="A6165" t="inlineStr">
        <is>
          <t>A 4087-2021</t>
        </is>
      </c>
      <c r="B6165" s="1" t="n">
        <v>44222</v>
      </c>
      <c r="C6165" s="1" t="n">
        <v>45212</v>
      </c>
      <c r="D6165" t="inlineStr">
        <is>
          <t>VÄSTRA GÖTALANDS LÄN</t>
        </is>
      </c>
      <c r="E6165" t="inlineStr">
        <is>
          <t>FÄRGELANDA</t>
        </is>
      </c>
      <c r="G6165" t="n">
        <v>14.6</v>
      </c>
      <c r="H6165" t="n">
        <v>0</v>
      </c>
      <c r="I6165" t="n">
        <v>0</v>
      </c>
      <c r="J6165" t="n">
        <v>0</v>
      </c>
      <c r="K6165" t="n">
        <v>0</v>
      </c>
      <c r="L6165" t="n">
        <v>0</v>
      </c>
      <c r="M6165" t="n">
        <v>0</v>
      </c>
      <c r="N6165" t="n">
        <v>0</v>
      </c>
      <c r="O6165" t="n">
        <v>0</v>
      </c>
      <c r="P6165" t="n">
        <v>0</v>
      </c>
      <c r="Q6165" t="n">
        <v>0</v>
      </c>
      <c r="R6165" s="2" t="inlineStr"/>
    </row>
    <row r="6166" ht="15" customHeight="1">
      <c r="A6166" t="inlineStr">
        <is>
          <t>A 4105-2021</t>
        </is>
      </c>
      <c r="B6166" s="1" t="n">
        <v>44222</v>
      </c>
      <c r="C6166" s="1" t="n">
        <v>45212</v>
      </c>
      <c r="D6166" t="inlineStr">
        <is>
          <t>VÄSTRA GÖTALANDS LÄN</t>
        </is>
      </c>
      <c r="E6166" t="inlineStr">
        <is>
          <t>BENGTSFORS</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4018-2021</t>
        </is>
      </c>
      <c r="B6167" s="1" t="n">
        <v>44222</v>
      </c>
      <c r="C6167" s="1" t="n">
        <v>45212</v>
      </c>
      <c r="D6167" t="inlineStr">
        <is>
          <t>VÄSTRA GÖTALANDS LÄN</t>
        </is>
      </c>
      <c r="E6167" t="inlineStr">
        <is>
          <t>ULRICEHAMN</t>
        </is>
      </c>
      <c r="G6167" t="n">
        <v>6.8</v>
      </c>
      <c r="H6167" t="n">
        <v>0</v>
      </c>
      <c r="I6167" t="n">
        <v>0</v>
      </c>
      <c r="J6167" t="n">
        <v>0</v>
      </c>
      <c r="K6167" t="n">
        <v>0</v>
      </c>
      <c r="L6167" t="n">
        <v>0</v>
      </c>
      <c r="M6167" t="n">
        <v>0</v>
      </c>
      <c r="N6167" t="n">
        <v>0</v>
      </c>
      <c r="O6167" t="n">
        <v>0</v>
      </c>
      <c r="P6167" t="n">
        <v>0</v>
      </c>
      <c r="Q6167" t="n">
        <v>0</v>
      </c>
      <c r="R6167" s="2" t="inlineStr"/>
    </row>
    <row r="6168" ht="15" customHeight="1">
      <c r="A6168" t="inlineStr">
        <is>
          <t>A 4095-2021</t>
        </is>
      </c>
      <c r="B6168" s="1" t="n">
        <v>44222</v>
      </c>
      <c r="C6168" s="1" t="n">
        <v>45212</v>
      </c>
      <c r="D6168" t="inlineStr">
        <is>
          <t>VÄSTRA GÖTALANDS LÄN</t>
        </is>
      </c>
      <c r="E6168" t="inlineStr">
        <is>
          <t>FÄRGELANDA</t>
        </is>
      </c>
      <c r="G6168" t="n">
        <v>6.6</v>
      </c>
      <c r="H6168" t="n">
        <v>0</v>
      </c>
      <c r="I6168" t="n">
        <v>0</v>
      </c>
      <c r="J6168" t="n">
        <v>0</v>
      </c>
      <c r="K6168" t="n">
        <v>0</v>
      </c>
      <c r="L6168" t="n">
        <v>0</v>
      </c>
      <c r="M6168" t="n">
        <v>0</v>
      </c>
      <c r="N6168" t="n">
        <v>0</v>
      </c>
      <c r="O6168" t="n">
        <v>0</v>
      </c>
      <c r="P6168" t="n">
        <v>0</v>
      </c>
      <c r="Q6168" t="n">
        <v>0</v>
      </c>
      <c r="R6168" s="2" t="inlineStr"/>
    </row>
    <row r="6169" ht="15" customHeight="1">
      <c r="A6169" t="inlineStr">
        <is>
          <t>A 3860-2021</t>
        </is>
      </c>
      <c r="B6169" s="1" t="n">
        <v>44222</v>
      </c>
      <c r="C6169" s="1" t="n">
        <v>45212</v>
      </c>
      <c r="D6169" t="inlineStr">
        <is>
          <t>VÄSTRA GÖTALANDS LÄN</t>
        </is>
      </c>
      <c r="E6169" t="inlineStr">
        <is>
          <t>HERRLJUNGA</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3870-2021</t>
        </is>
      </c>
      <c r="B6170" s="1" t="n">
        <v>44222</v>
      </c>
      <c r="C6170" s="1" t="n">
        <v>45212</v>
      </c>
      <c r="D6170" t="inlineStr">
        <is>
          <t>VÄSTRA GÖTALANDS LÄN</t>
        </is>
      </c>
      <c r="E6170" t="inlineStr">
        <is>
          <t>TRANEMO</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4084-2021</t>
        </is>
      </c>
      <c r="B6171" s="1" t="n">
        <v>44222</v>
      </c>
      <c r="C6171" s="1" t="n">
        <v>45212</v>
      </c>
      <c r="D6171" t="inlineStr">
        <is>
          <t>VÄSTRA GÖTALANDS LÄN</t>
        </is>
      </c>
      <c r="E6171" t="inlineStr">
        <is>
          <t>FÄRGELANDA</t>
        </is>
      </c>
      <c r="G6171" t="n">
        <v>14.8</v>
      </c>
      <c r="H6171" t="n">
        <v>0</v>
      </c>
      <c r="I6171" t="n">
        <v>0</v>
      </c>
      <c r="J6171" t="n">
        <v>0</v>
      </c>
      <c r="K6171" t="n">
        <v>0</v>
      </c>
      <c r="L6171" t="n">
        <v>0</v>
      </c>
      <c r="M6171" t="n">
        <v>0</v>
      </c>
      <c r="N6171" t="n">
        <v>0</v>
      </c>
      <c r="O6171" t="n">
        <v>0</v>
      </c>
      <c r="P6171" t="n">
        <v>0</v>
      </c>
      <c r="Q6171" t="n">
        <v>0</v>
      </c>
      <c r="R6171" s="2" t="inlineStr"/>
    </row>
    <row r="6172" ht="15" customHeight="1">
      <c r="A6172" t="inlineStr">
        <is>
          <t>A 4092-2021</t>
        </is>
      </c>
      <c r="B6172" s="1" t="n">
        <v>44222</v>
      </c>
      <c r="C6172" s="1" t="n">
        <v>45212</v>
      </c>
      <c r="D6172" t="inlineStr">
        <is>
          <t>VÄSTRA GÖTALANDS LÄN</t>
        </is>
      </c>
      <c r="E6172" t="inlineStr">
        <is>
          <t>KARLSBORG</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4140-2021</t>
        </is>
      </c>
      <c r="B6173" s="1" t="n">
        <v>44223</v>
      </c>
      <c r="C6173" s="1" t="n">
        <v>45212</v>
      </c>
      <c r="D6173" t="inlineStr">
        <is>
          <t>VÄSTRA GÖTALANDS LÄN</t>
        </is>
      </c>
      <c r="E6173" t="inlineStr">
        <is>
          <t>HJO</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4154-2021</t>
        </is>
      </c>
      <c r="B6174" s="1" t="n">
        <v>44223</v>
      </c>
      <c r="C6174" s="1" t="n">
        <v>45212</v>
      </c>
      <c r="D6174" t="inlineStr">
        <is>
          <t>VÄSTRA GÖTALANDS LÄN</t>
        </is>
      </c>
      <c r="E6174" t="inlineStr">
        <is>
          <t>ESSUNGA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4233-2021</t>
        </is>
      </c>
      <c r="B6175" s="1" t="n">
        <v>44223</v>
      </c>
      <c r="C6175" s="1" t="n">
        <v>45212</v>
      </c>
      <c r="D6175" t="inlineStr">
        <is>
          <t>VÄSTRA GÖTALANDS LÄN</t>
        </is>
      </c>
      <c r="E6175" t="inlineStr">
        <is>
          <t>STENUNGSUND</t>
        </is>
      </c>
      <c r="G6175" t="n">
        <v>8.9</v>
      </c>
      <c r="H6175" t="n">
        <v>0</v>
      </c>
      <c r="I6175" t="n">
        <v>0</v>
      </c>
      <c r="J6175" t="n">
        <v>0</v>
      </c>
      <c r="K6175" t="n">
        <v>0</v>
      </c>
      <c r="L6175" t="n">
        <v>0</v>
      </c>
      <c r="M6175" t="n">
        <v>0</v>
      </c>
      <c r="N6175" t="n">
        <v>0</v>
      </c>
      <c r="O6175" t="n">
        <v>0</v>
      </c>
      <c r="P6175" t="n">
        <v>0</v>
      </c>
      <c r="Q6175" t="n">
        <v>0</v>
      </c>
      <c r="R6175" s="2" t="inlineStr"/>
    </row>
    <row r="6176" ht="15" customHeight="1">
      <c r="A6176" t="inlineStr">
        <is>
          <t>A 4332-2021</t>
        </is>
      </c>
      <c r="B6176" s="1" t="n">
        <v>44223</v>
      </c>
      <c r="C6176" s="1" t="n">
        <v>45212</v>
      </c>
      <c r="D6176" t="inlineStr">
        <is>
          <t>VÄSTRA GÖTALANDS LÄN</t>
        </is>
      </c>
      <c r="E6176" t="inlineStr">
        <is>
          <t>MUNKEDAL</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4577-2021</t>
        </is>
      </c>
      <c r="B6177" s="1" t="n">
        <v>44223</v>
      </c>
      <c r="C6177" s="1" t="n">
        <v>45212</v>
      </c>
      <c r="D6177" t="inlineStr">
        <is>
          <t>VÄSTRA GÖTALANDS LÄN</t>
        </is>
      </c>
      <c r="E6177" t="inlineStr">
        <is>
          <t>SVENLJUNGA</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4336-2021</t>
        </is>
      </c>
      <c r="B6178" s="1" t="n">
        <v>44223</v>
      </c>
      <c r="C6178" s="1" t="n">
        <v>45212</v>
      </c>
      <c r="D6178" t="inlineStr">
        <is>
          <t>VÄSTRA GÖTALANDS LÄN</t>
        </is>
      </c>
      <c r="E6178" t="inlineStr">
        <is>
          <t>MÖLNDAL</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4585-2021</t>
        </is>
      </c>
      <c r="B6179" s="1" t="n">
        <v>44223</v>
      </c>
      <c r="C6179" s="1" t="n">
        <v>45212</v>
      </c>
      <c r="D6179" t="inlineStr">
        <is>
          <t>VÄSTRA GÖTALANDS LÄN</t>
        </is>
      </c>
      <c r="E6179" t="inlineStr">
        <is>
          <t>VÅRGÅRDA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4182-2021</t>
        </is>
      </c>
      <c r="B6180" s="1" t="n">
        <v>44223</v>
      </c>
      <c r="C6180" s="1" t="n">
        <v>45212</v>
      </c>
      <c r="D6180" t="inlineStr">
        <is>
          <t>VÄSTRA GÖTALANDS LÄN</t>
        </is>
      </c>
      <c r="E6180" t="inlineStr">
        <is>
          <t>HJO</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4390-2021</t>
        </is>
      </c>
      <c r="B6181" s="1" t="n">
        <v>44223</v>
      </c>
      <c r="C6181" s="1" t="n">
        <v>45212</v>
      </c>
      <c r="D6181" t="inlineStr">
        <is>
          <t>VÄSTRA GÖTALANDS LÄN</t>
        </is>
      </c>
      <c r="E6181" t="inlineStr">
        <is>
          <t>TÖREBODA</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4491-2021</t>
        </is>
      </c>
      <c r="B6182" s="1" t="n">
        <v>44224</v>
      </c>
      <c r="C6182" s="1" t="n">
        <v>45212</v>
      </c>
      <c r="D6182" t="inlineStr">
        <is>
          <t>VÄSTRA GÖTALANDS LÄN</t>
        </is>
      </c>
      <c r="E6182" t="inlineStr">
        <is>
          <t>SVENLJUNGA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4544-2021</t>
        </is>
      </c>
      <c r="B6183" s="1" t="n">
        <v>44224</v>
      </c>
      <c r="C6183" s="1" t="n">
        <v>45212</v>
      </c>
      <c r="D6183" t="inlineStr">
        <is>
          <t>VÄSTRA GÖTALANDS LÄN</t>
        </is>
      </c>
      <c r="E6183" t="inlineStr">
        <is>
          <t>TROLLHÄTTAN</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4572-2021</t>
        </is>
      </c>
      <c r="B6184" s="1" t="n">
        <v>44224</v>
      </c>
      <c r="C6184" s="1" t="n">
        <v>45212</v>
      </c>
      <c r="D6184" t="inlineStr">
        <is>
          <t>VÄSTRA GÖTALANDS LÄN</t>
        </is>
      </c>
      <c r="E6184" t="inlineStr">
        <is>
          <t>BORÅS</t>
        </is>
      </c>
      <c r="G6184" t="n">
        <v>0.2</v>
      </c>
      <c r="H6184" t="n">
        <v>0</v>
      </c>
      <c r="I6184" t="n">
        <v>0</v>
      </c>
      <c r="J6184" t="n">
        <v>0</v>
      </c>
      <c r="K6184" t="n">
        <v>0</v>
      </c>
      <c r="L6184" t="n">
        <v>0</v>
      </c>
      <c r="M6184" t="n">
        <v>0</v>
      </c>
      <c r="N6184" t="n">
        <v>0</v>
      </c>
      <c r="O6184" t="n">
        <v>0</v>
      </c>
      <c r="P6184" t="n">
        <v>0</v>
      </c>
      <c r="Q6184" t="n">
        <v>0</v>
      </c>
      <c r="R6184" s="2" t="inlineStr"/>
    </row>
    <row r="6185" ht="15" customHeight="1">
      <c r="A6185" t="inlineStr">
        <is>
          <t>A 4521-2021</t>
        </is>
      </c>
      <c r="B6185" s="1" t="n">
        <v>44224</v>
      </c>
      <c r="C6185" s="1" t="n">
        <v>45212</v>
      </c>
      <c r="D6185" t="inlineStr">
        <is>
          <t>VÄSTRA GÖTALANDS LÄN</t>
        </is>
      </c>
      <c r="E6185" t="inlineStr">
        <is>
          <t>HJO</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4541-2021</t>
        </is>
      </c>
      <c r="B6186" s="1" t="n">
        <v>44224</v>
      </c>
      <c r="C6186" s="1" t="n">
        <v>45212</v>
      </c>
      <c r="D6186" t="inlineStr">
        <is>
          <t>VÄSTRA GÖTALANDS LÄN</t>
        </is>
      </c>
      <c r="E6186" t="inlineStr">
        <is>
          <t>GÖTENE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4626-2021</t>
        </is>
      </c>
      <c r="B6187" s="1" t="n">
        <v>44224</v>
      </c>
      <c r="C6187" s="1" t="n">
        <v>45212</v>
      </c>
      <c r="D6187" t="inlineStr">
        <is>
          <t>VÄSTRA GÖTALANDS LÄN</t>
        </is>
      </c>
      <c r="E6187" t="inlineStr">
        <is>
          <t>BENGTSFORS</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4442-2021</t>
        </is>
      </c>
      <c r="B6188" s="1" t="n">
        <v>44224</v>
      </c>
      <c r="C6188" s="1" t="n">
        <v>45212</v>
      </c>
      <c r="D6188" t="inlineStr">
        <is>
          <t>VÄSTRA GÖTALANDS LÄN</t>
        </is>
      </c>
      <c r="E6188" t="inlineStr">
        <is>
          <t>SVENLJUNGA</t>
        </is>
      </c>
      <c r="G6188" t="n">
        <v>3.9</v>
      </c>
      <c r="H6188" t="n">
        <v>0</v>
      </c>
      <c r="I6188" t="n">
        <v>0</v>
      </c>
      <c r="J6188" t="n">
        <v>0</v>
      </c>
      <c r="K6188" t="n">
        <v>0</v>
      </c>
      <c r="L6188" t="n">
        <v>0</v>
      </c>
      <c r="M6188" t="n">
        <v>0</v>
      </c>
      <c r="N6188" t="n">
        <v>0</v>
      </c>
      <c r="O6188" t="n">
        <v>0</v>
      </c>
      <c r="P6188" t="n">
        <v>0</v>
      </c>
      <c r="Q6188" t="n">
        <v>0</v>
      </c>
      <c r="R6188" s="2" t="inlineStr"/>
    </row>
    <row r="6189" ht="15" customHeight="1">
      <c r="A6189" t="inlineStr">
        <is>
          <t>A 4457-2021</t>
        </is>
      </c>
      <c r="B6189" s="1" t="n">
        <v>44224</v>
      </c>
      <c r="C6189" s="1" t="n">
        <v>45212</v>
      </c>
      <c r="D6189" t="inlineStr">
        <is>
          <t>VÄSTRA GÖTALANDS LÄN</t>
        </is>
      </c>
      <c r="E6189" t="inlineStr">
        <is>
          <t>SVENLJUNGA</t>
        </is>
      </c>
      <c r="G6189" t="n">
        <v>1.5</v>
      </c>
      <c r="H6189" t="n">
        <v>0</v>
      </c>
      <c r="I6189" t="n">
        <v>0</v>
      </c>
      <c r="J6189" t="n">
        <v>0</v>
      </c>
      <c r="K6189" t="n">
        <v>0</v>
      </c>
      <c r="L6189" t="n">
        <v>0</v>
      </c>
      <c r="M6189" t="n">
        <v>0</v>
      </c>
      <c r="N6189" t="n">
        <v>0</v>
      </c>
      <c r="O6189" t="n">
        <v>0</v>
      </c>
      <c r="P6189" t="n">
        <v>0</v>
      </c>
      <c r="Q6189" t="n">
        <v>0</v>
      </c>
      <c r="R6189" s="2" t="inlineStr"/>
    </row>
    <row r="6190" ht="15" customHeight="1">
      <c r="A6190" t="inlineStr">
        <is>
          <t>A 4538-2021</t>
        </is>
      </c>
      <c r="B6190" s="1" t="n">
        <v>44224</v>
      </c>
      <c r="C6190" s="1" t="n">
        <v>45212</v>
      </c>
      <c r="D6190" t="inlineStr">
        <is>
          <t>VÄSTRA GÖTALANDS LÄN</t>
        </is>
      </c>
      <c r="E6190" t="inlineStr">
        <is>
          <t>GÖTENE</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4552-2021</t>
        </is>
      </c>
      <c r="B6191" s="1" t="n">
        <v>44224</v>
      </c>
      <c r="C6191" s="1" t="n">
        <v>45212</v>
      </c>
      <c r="D6191" t="inlineStr">
        <is>
          <t>VÄSTRA GÖTALANDS LÄN</t>
        </is>
      </c>
      <c r="E6191" t="inlineStr">
        <is>
          <t>FÄRGELANDA</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4559-2021</t>
        </is>
      </c>
      <c r="B6192" s="1" t="n">
        <v>44224</v>
      </c>
      <c r="C6192" s="1" t="n">
        <v>45212</v>
      </c>
      <c r="D6192" t="inlineStr">
        <is>
          <t>VÄSTRA GÖTALANDS LÄN</t>
        </is>
      </c>
      <c r="E6192" t="inlineStr">
        <is>
          <t>FÄRGELANDA</t>
        </is>
      </c>
      <c r="G6192" t="n">
        <v>3.9</v>
      </c>
      <c r="H6192" t="n">
        <v>0</v>
      </c>
      <c r="I6192" t="n">
        <v>0</v>
      </c>
      <c r="J6192" t="n">
        <v>0</v>
      </c>
      <c r="K6192" t="n">
        <v>0</v>
      </c>
      <c r="L6192" t="n">
        <v>0</v>
      </c>
      <c r="M6192" t="n">
        <v>0</v>
      </c>
      <c r="N6192" t="n">
        <v>0</v>
      </c>
      <c r="O6192" t="n">
        <v>0</v>
      </c>
      <c r="P6192" t="n">
        <v>0</v>
      </c>
      <c r="Q6192" t="n">
        <v>0</v>
      </c>
      <c r="R6192" s="2" t="inlineStr"/>
    </row>
    <row r="6193" ht="15" customHeight="1">
      <c r="A6193" t="inlineStr">
        <is>
          <t>A 4892-2021</t>
        </is>
      </c>
      <c r="B6193" s="1" t="n">
        <v>44224</v>
      </c>
      <c r="C6193" s="1" t="n">
        <v>45212</v>
      </c>
      <c r="D6193" t="inlineStr">
        <is>
          <t>VÄSTRA GÖTALANDS LÄN</t>
        </is>
      </c>
      <c r="E6193" t="inlineStr">
        <is>
          <t>KUNGÄLV</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5082-2021</t>
        </is>
      </c>
      <c r="B6194" s="1" t="n">
        <v>44224</v>
      </c>
      <c r="C6194" s="1" t="n">
        <v>45212</v>
      </c>
      <c r="D6194" t="inlineStr">
        <is>
          <t>VÄSTRA GÖTALANDS LÄN</t>
        </is>
      </c>
      <c r="E6194" t="inlineStr">
        <is>
          <t>SKÖVDE</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4705-2021</t>
        </is>
      </c>
      <c r="B6195" s="1" t="n">
        <v>44225</v>
      </c>
      <c r="C6195" s="1" t="n">
        <v>45212</v>
      </c>
      <c r="D6195" t="inlineStr">
        <is>
          <t>VÄSTRA GÖTALANDS LÄN</t>
        </is>
      </c>
      <c r="E6195" t="inlineStr">
        <is>
          <t>FÄRGELANDA</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4765-2021</t>
        </is>
      </c>
      <c r="B6196" s="1" t="n">
        <v>44225</v>
      </c>
      <c r="C6196" s="1" t="n">
        <v>45212</v>
      </c>
      <c r="D6196" t="inlineStr">
        <is>
          <t>VÄSTRA GÖTALANDS LÄN</t>
        </is>
      </c>
      <c r="E6196" t="inlineStr">
        <is>
          <t>TROLLHÄTTAN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4780-2021</t>
        </is>
      </c>
      <c r="B6197" s="1" t="n">
        <v>44225</v>
      </c>
      <c r="C6197" s="1" t="n">
        <v>45212</v>
      </c>
      <c r="D6197" t="inlineStr">
        <is>
          <t>VÄSTRA GÖTALANDS LÄN</t>
        </is>
      </c>
      <c r="E6197" t="inlineStr">
        <is>
          <t>KARLSBORG</t>
        </is>
      </c>
      <c r="G6197" t="n">
        <v>5.6</v>
      </c>
      <c r="H6197" t="n">
        <v>0</v>
      </c>
      <c r="I6197" t="n">
        <v>0</v>
      </c>
      <c r="J6197" t="n">
        <v>0</v>
      </c>
      <c r="K6197" t="n">
        <v>0</v>
      </c>
      <c r="L6197" t="n">
        <v>0</v>
      </c>
      <c r="M6197" t="n">
        <v>0</v>
      </c>
      <c r="N6197" t="n">
        <v>0</v>
      </c>
      <c r="O6197" t="n">
        <v>0</v>
      </c>
      <c r="P6197" t="n">
        <v>0</v>
      </c>
      <c r="Q6197" t="n">
        <v>0</v>
      </c>
      <c r="R6197" s="2" t="inlineStr"/>
    </row>
    <row r="6198" ht="15" customHeight="1">
      <c r="A6198" t="inlineStr">
        <is>
          <t>A 4766-2021</t>
        </is>
      </c>
      <c r="B6198" s="1" t="n">
        <v>44225</v>
      </c>
      <c r="C6198" s="1" t="n">
        <v>45212</v>
      </c>
      <c r="D6198" t="inlineStr">
        <is>
          <t>VÄSTRA GÖTALANDS LÄN</t>
        </is>
      </c>
      <c r="E6198" t="inlineStr">
        <is>
          <t>TROLLHÄTTAN</t>
        </is>
      </c>
      <c r="G6198" t="n">
        <v>0.7</v>
      </c>
      <c r="H6198" t="n">
        <v>0</v>
      </c>
      <c r="I6198" t="n">
        <v>0</v>
      </c>
      <c r="J6198" t="n">
        <v>0</v>
      </c>
      <c r="K6198" t="n">
        <v>0</v>
      </c>
      <c r="L6198" t="n">
        <v>0</v>
      </c>
      <c r="M6198" t="n">
        <v>0</v>
      </c>
      <c r="N6198" t="n">
        <v>0</v>
      </c>
      <c r="O6198" t="n">
        <v>0</v>
      </c>
      <c r="P6198" t="n">
        <v>0</v>
      </c>
      <c r="Q6198" t="n">
        <v>0</v>
      </c>
      <c r="R6198" s="2" t="inlineStr"/>
    </row>
    <row r="6199" ht="15" customHeight="1">
      <c r="A6199" t="inlineStr">
        <is>
          <t>A 4787-2021</t>
        </is>
      </c>
      <c r="B6199" s="1" t="n">
        <v>44225</v>
      </c>
      <c r="C6199" s="1" t="n">
        <v>45212</v>
      </c>
      <c r="D6199" t="inlineStr">
        <is>
          <t>VÄSTRA GÖTALANDS LÄN</t>
        </is>
      </c>
      <c r="E6199" t="inlineStr">
        <is>
          <t>FÄRGELANDA</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4816-2021</t>
        </is>
      </c>
      <c r="B6200" s="1" t="n">
        <v>44225</v>
      </c>
      <c r="C6200" s="1" t="n">
        <v>45212</v>
      </c>
      <c r="D6200" t="inlineStr">
        <is>
          <t>VÄSTRA GÖTALANDS LÄN</t>
        </is>
      </c>
      <c r="E6200" t="inlineStr">
        <is>
          <t>VÄNERSBORG</t>
        </is>
      </c>
      <c r="F6200" t="inlineStr">
        <is>
          <t>Bergvik skog väst AB</t>
        </is>
      </c>
      <c r="G6200" t="n">
        <v>5.2</v>
      </c>
      <c r="H6200" t="n">
        <v>0</v>
      </c>
      <c r="I6200" t="n">
        <v>0</v>
      </c>
      <c r="J6200" t="n">
        <v>0</v>
      </c>
      <c r="K6200" t="n">
        <v>0</v>
      </c>
      <c r="L6200" t="n">
        <v>0</v>
      </c>
      <c r="M6200" t="n">
        <v>0</v>
      </c>
      <c r="N6200" t="n">
        <v>0</v>
      </c>
      <c r="O6200" t="n">
        <v>0</v>
      </c>
      <c r="P6200" t="n">
        <v>0</v>
      </c>
      <c r="Q6200" t="n">
        <v>0</v>
      </c>
      <c r="R6200" s="2" t="inlineStr"/>
    </row>
    <row r="6201" ht="15" customHeight="1">
      <c r="A6201" t="inlineStr">
        <is>
          <t>A 4843-2021</t>
        </is>
      </c>
      <c r="B6201" s="1" t="n">
        <v>44225</v>
      </c>
      <c r="C6201" s="1" t="n">
        <v>45212</v>
      </c>
      <c r="D6201" t="inlineStr">
        <is>
          <t>VÄSTRA GÖTALANDS LÄN</t>
        </is>
      </c>
      <c r="E6201" t="inlineStr">
        <is>
          <t>TRANEMO</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5149-2021</t>
        </is>
      </c>
      <c r="B6202" s="1" t="n">
        <v>44225</v>
      </c>
      <c r="C6202" s="1" t="n">
        <v>45212</v>
      </c>
      <c r="D6202" t="inlineStr">
        <is>
          <t>VÄSTRA GÖTALANDS LÄN</t>
        </is>
      </c>
      <c r="E6202" t="inlineStr">
        <is>
          <t>MARK</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5051-2021</t>
        </is>
      </c>
      <c r="B6203" s="1" t="n">
        <v>44228</v>
      </c>
      <c r="C6203" s="1" t="n">
        <v>45212</v>
      </c>
      <c r="D6203" t="inlineStr">
        <is>
          <t>VÄSTRA GÖTALANDS LÄN</t>
        </is>
      </c>
      <c r="E6203" t="inlineStr">
        <is>
          <t>TRANEMO</t>
        </is>
      </c>
      <c r="G6203" t="n">
        <v>1.3</v>
      </c>
      <c r="H6203" t="n">
        <v>0</v>
      </c>
      <c r="I6203" t="n">
        <v>0</v>
      </c>
      <c r="J6203" t="n">
        <v>0</v>
      </c>
      <c r="K6203" t="n">
        <v>0</v>
      </c>
      <c r="L6203" t="n">
        <v>0</v>
      </c>
      <c r="M6203" t="n">
        <v>0</v>
      </c>
      <c r="N6203" t="n">
        <v>0</v>
      </c>
      <c r="O6203" t="n">
        <v>0</v>
      </c>
      <c r="P6203" t="n">
        <v>0</v>
      </c>
      <c r="Q6203" t="n">
        <v>0</v>
      </c>
      <c r="R6203" s="2" t="inlineStr"/>
    </row>
    <row r="6204" ht="15" customHeight="1">
      <c r="A6204" t="inlineStr">
        <is>
          <t>A 5099-2021</t>
        </is>
      </c>
      <c r="B6204" s="1" t="n">
        <v>44228</v>
      </c>
      <c r="C6204" s="1" t="n">
        <v>45212</v>
      </c>
      <c r="D6204" t="inlineStr">
        <is>
          <t>VÄSTRA GÖTALANDS LÄN</t>
        </is>
      </c>
      <c r="E6204" t="inlineStr">
        <is>
          <t>KUNGÄLV</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5113-2021</t>
        </is>
      </c>
      <c r="B6205" s="1" t="n">
        <v>44228</v>
      </c>
      <c r="C6205" s="1" t="n">
        <v>45212</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5147-2021</t>
        </is>
      </c>
      <c r="B6206" s="1" t="n">
        <v>44228</v>
      </c>
      <c r="C6206" s="1" t="n">
        <v>45212</v>
      </c>
      <c r="D6206" t="inlineStr">
        <is>
          <t>VÄSTRA GÖTALANDS LÄN</t>
        </is>
      </c>
      <c r="E6206" t="inlineStr">
        <is>
          <t>FALKÖPING</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5168-2021</t>
        </is>
      </c>
      <c r="B6207" s="1" t="n">
        <v>44228</v>
      </c>
      <c r="C6207" s="1" t="n">
        <v>45212</v>
      </c>
      <c r="D6207" t="inlineStr">
        <is>
          <t>VÄSTRA GÖTALANDS LÄN</t>
        </is>
      </c>
      <c r="E6207" t="inlineStr">
        <is>
          <t>TROLLHÄTTAN</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5188-2021</t>
        </is>
      </c>
      <c r="B6208" s="1" t="n">
        <v>44228</v>
      </c>
      <c r="C6208" s="1" t="n">
        <v>45212</v>
      </c>
      <c r="D6208" t="inlineStr">
        <is>
          <t>VÄSTRA GÖTALANDS LÄN</t>
        </is>
      </c>
      <c r="E6208" t="inlineStr">
        <is>
          <t>BOLLEBYGD</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5196-2021</t>
        </is>
      </c>
      <c r="B6209" s="1" t="n">
        <v>44228</v>
      </c>
      <c r="C6209" s="1" t="n">
        <v>45212</v>
      </c>
      <c r="D6209" t="inlineStr">
        <is>
          <t>VÄSTRA GÖTALANDS LÄN</t>
        </is>
      </c>
      <c r="E6209" t="inlineStr">
        <is>
          <t>BOLLEBYGD</t>
        </is>
      </c>
      <c r="G6209" t="n">
        <v>0.4</v>
      </c>
      <c r="H6209" t="n">
        <v>0</v>
      </c>
      <c r="I6209" t="n">
        <v>0</v>
      </c>
      <c r="J6209" t="n">
        <v>0</v>
      </c>
      <c r="K6209" t="n">
        <v>0</v>
      </c>
      <c r="L6209" t="n">
        <v>0</v>
      </c>
      <c r="M6209" t="n">
        <v>0</v>
      </c>
      <c r="N6209" t="n">
        <v>0</v>
      </c>
      <c r="O6209" t="n">
        <v>0</v>
      </c>
      <c r="P6209" t="n">
        <v>0</v>
      </c>
      <c r="Q6209" t="n">
        <v>0</v>
      </c>
      <c r="R6209" s="2" t="inlineStr"/>
    </row>
    <row r="6210" ht="15" customHeight="1">
      <c r="A6210" t="inlineStr">
        <is>
          <t>A 5103-2021</t>
        </is>
      </c>
      <c r="B6210" s="1" t="n">
        <v>44228</v>
      </c>
      <c r="C6210" s="1" t="n">
        <v>45212</v>
      </c>
      <c r="D6210" t="inlineStr">
        <is>
          <t>VÄSTRA GÖTALANDS LÄN</t>
        </is>
      </c>
      <c r="E6210" t="inlineStr">
        <is>
          <t>HJO</t>
        </is>
      </c>
      <c r="G6210" t="n">
        <v>5</v>
      </c>
      <c r="H6210" t="n">
        <v>0</v>
      </c>
      <c r="I6210" t="n">
        <v>0</v>
      </c>
      <c r="J6210" t="n">
        <v>0</v>
      </c>
      <c r="K6210" t="n">
        <v>0</v>
      </c>
      <c r="L6210" t="n">
        <v>0</v>
      </c>
      <c r="M6210" t="n">
        <v>0</v>
      </c>
      <c r="N6210" t="n">
        <v>0</v>
      </c>
      <c r="O6210" t="n">
        <v>0</v>
      </c>
      <c r="P6210" t="n">
        <v>0</v>
      </c>
      <c r="Q6210" t="n">
        <v>0</v>
      </c>
      <c r="R6210" s="2" t="inlineStr"/>
    </row>
    <row r="6211" ht="15" customHeight="1">
      <c r="A6211" t="inlineStr">
        <is>
          <t>A 5152-2021</t>
        </is>
      </c>
      <c r="B6211" s="1" t="n">
        <v>44228</v>
      </c>
      <c r="C6211" s="1" t="n">
        <v>45212</v>
      </c>
      <c r="D6211" t="inlineStr">
        <is>
          <t>VÄSTRA GÖTALANDS LÄN</t>
        </is>
      </c>
      <c r="E6211" t="inlineStr">
        <is>
          <t>MARIESTAD</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5191-2021</t>
        </is>
      </c>
      <c r="B6212" s="1" t="n">
        <v>44228</v>
      </c>
      <c r="C6212" s="1" t="n">
        <v>45212</v>
      </c>
      <c r="D6212" t="inlineStr">
        <is>
          <t>VÄSTRA GÖTALANDS LÄN</t>
        </is>
      </c>
      <c r="E6212" t="inlineStr">
        <is>
          <t>BOLLEBYGD</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5415-2021</t>
        </is>
      </c>
      <c r="B6213" s="1" t="n">
        <v>44228</v>
      </c>
      <c r="C6213" s="1" t="n">
        <v>45212</v>
      </c>
      <c r="D6213" t="inlineStr">
        <is>
          <t>VÄSTRA GÖTALANDS LÄN</t>
        </is>
      </c>
      <c r="E6213" t="inlineStr">
        <is>
          <t>TANUM</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5003-2021</t>
        </is>
      </c>
      <c r="B6214" s="1" t="n">
        <v>44228</v>
      </c>
      <c r="C6214" s="1" t="n">
        <v>45212</v>
      </c>
      <c r="D6214" t="inlineStr">
        <is>
          <t>VÄSTRA GÖTALANDS LÄN</t>
        </is>
      </c>
      <c r="E6214" t="inlineStr">
        <is>
          <t>DALS-ED</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5093-2021</t>
        </is>
      </c>
      <c r="B6215" s="1" t="n">
        <v>44228</v>
      </c>
      <c r="C6215" s="1" t="n">
        <v>45212</v>
      </c>
      <c r="D6215" t="inlineStr">
        <is>
          <t>VÄSTRA GÖTALANDS LÄN</t>
        </is>
      </c>
      <c r="E6215" t="inlineStr">
        <is>
          <t>KUNGÄLV</t>
        </is>
      </c>
      <c r="G6215" t="n">
        <v>4.3</v>
      </c>
      <c r="H6215" t="n">
        <v>0</v>
      </c>
      <c r="I6215" t="n">
        <v>0</v>
      </c>
      <c r="J6215" t="n">
        <v>0</v>
      </c>
      <c r="K6215" t="n">
        <v>0</v>
      </c>
      <c r="L6215" t="n">
        <v>0</v>
      </c>
      <c r="M6215" t="n">
        <v>0</v>
      </c>
      <c r="N6215" t="n">
        <v>0</v>
      </c>
      <c r="O6215" t="n">
        <v>0</v>
      </c>
      <c r="P6215" t="n">
        <v>0</v>
      </c>
      <c r="Q6215" t="n">
        <v>0</v>
      </c>
      <c r="R6215" s="2" t="inlineStr"/>
    </row>
    <row r="6216" ht="15" customHeight="1">
      <c r="A6216" t="inlineStr">
        <is>
          <t>A 5135-2021</t>
        </is>
      </c>
      <c r="B6216" s="1" t="n">
        <v>44228</v>
      </c>
      <c r="C6216" s="1" t="n">
        <v>45212</v>
      </c>
      <c r="D6216" t="inlineStr">
        <is>
          <t>VÄSTRA GÖTALANDS LÄN</t>
        </is>
      </c>
      <c r="E6216" t="inlineStr">
        <is>
          <t>VÅRGÅRDA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5193-2021</t>
        </is>
      </c>
      <c r="B6217" s="1" t="n">
        <v>44228</v>
      </c>
      <c r="C6217" s="1" t="n">
        <v>45212</v>
      </c>
      <c r="D6217" t="inlineStr">
        <is>
          <t>VÄSTRA GÖTALANDS LÄN</t>
        </is>
      </c>
      <c r="E6217" t="inlineStr">
        <is>
          <t>BOLLEBYGD</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5405-2021</t>
        </is>
      </c>
      <c r="B6218" s="1" t="n">
        <v>44228</v>
      </c>
      <c r="C6218" s="1" t="n">
        <v>45212</v>
      </c>
      <c r="D6218" t="inlineStr">
        <is>
          <t>VÄSTRA GÖTALANDS LÄN</t>
        </is>
      </c>
      <c r="E6218" t="inlineStr">
        <is>
          <t>MUNKEDAL</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5023-2021</t>
        </is>
      </c>
      <c r="B6219" s="1" t="n">
        <v>44228</v>
      </c>
      <c r="C6219" s="1" t="n">
        <v>45212</v>
      </c>
      <c r="D6219" t="inlineStr">
        <is>
          <t>VÄSTRA GÖTALANDS LÄN</t>
        </is>
      </c>
      <c r="E6219" t="inlineStr">
        <is>
          <t>TRANEMO</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5085-2021</t>
        </is>
      </c>
      <c r="B6220" s="1" t="n">
        <v>44228</v>
      </c>
      <c r="C6220" s="1" t="n">
        <v>45212</v>
      </c>
      <c r="D6220" t="inlineStr">
        <is>
          <t>VÄSTRA GÖTALANDS LÄN</t>
        </is>
      </c>
      <c r="E6220" t="inlineStr">
        <is>
          <t>FALKÖPING</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5177-2021</t>
        </is>
      </c>
      <c r="B6221" s="1" t="n">
        <v>44228</v>
      </c>
      <c r="C6221" s="1" t="n">
        <v>45212</v>
      </c>
      <c r="D6221" t="inlineStr">
        <is>
          <t>VÄSTRA GÖTALANDS LÄN</t>
        </is>
      </c>
      <c r="E6221" t="inlineStr">
        <is>
          <t>FÄRGELANDA</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5192-2021</t>
        </is>
      </c>
      <c r="B6222" s="1" t="n">
        <v>44228</v>
      </c>
      <c r="C6222" s="1" t="n">
        <v>45212</v>
      </c>
      <c r="D6222" t="inlineStr">
        <is>
          <t>VÄSTRA GÖTALANDS LÄN</t>
        </is>
      </c>
      <c r="E6222" t="inlineStr">
        <is>
          <t>BOLLEBYGD</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5285-2021</t>
        </is>
      </c>
      <c r="B6223" s="1" t="n">
        <v>44229</v>
      </c>
      <c r="C6223" s="1" t="n">
        <v>45212</v>
      </c>
      <c r="D6223" t="inlineStr">
        <is>
          <t>VÄSTRA GÖTALANDS LÄN</t>
        </is>
      </c>
      <c r="E6223" t="inlineStr">
        <is>
          <t>VÄNERSBORG</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5390-2021</t>
        </is>
      </c>
      <c r="B6224" s="1" t="n">
        <v>44229</v>
      </c>
      <c r="C6224" s="1" t="n">
        <v>45212</v>
      </c>
      <c r="D6224" t="inlineStr">
        <is>
          <t>VÄSTRA GÖTALANDS LÄN</t>
        </is>
      </c>
      <c r="E6224" t="inlineStr">
        <is>
          <t>TANUM</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5416-2021</t>
        </is>
      </c>
      <c r="B6225" s="1" t="n">
        <v>44229</v>
      </c>
      <c r="C6225" s="1" t="n">
        <v>45212</v>
      </c>
      <c r="D6225" t="inlineStr">
        <is>
          <t>VÄSTRA GÖTALANDS LÄN</t>
        </is>
      </c>
      <c r="E6225" t="inlineStr">
        <is>
          <t>TROLLHÄTTAN</t>
        </is>
      </c>
      <c r="G6225" t="n">
        <v>12.8</v>
      </c>
      <c r="H6225" t="n">
        <v>0</v>
      </c>
      <c r="I6225" t="n">
        <v>0</v>
      </c>
      <c r="J6225" t="n">
        <v>0</v>
      </c>
      <c r="K6225" t="n">
        <v>0</v>
      </c>
      <c r="L6225" t="n">
        <v>0</v>
      </c>
      <c r="M6225" t="n">
        <v>0</v>
      </c>
      <c r="N6225" t="n">
        <v>0</v>
      </c>
      <c r="O6225" t="n">
        <v>0</v>
      </c>
      <c r="P6225" t="n">
        <v>0</v>
      </c>
      <c r="Q6225" t="n">
        <v>0</v>
      </c>
      <c r="R6225" s="2" t="inlineStr"/>
    </row>
    <row r="6226" ht="15" customHeight="1">
      <c r="A6226" t="inlineStr">
        <is>
          <t>A 5430-2021</t>
        </is>
      </c>
      <c r="B6226" s="1" t="n">
        <v>44229</v>
      </c>
      <c r="C6226" s="1" t="n">
        <v>45212</v>
      </c>
      <c r="D6226" t="inlineStr">
        <is>
          <t>VÄSTRA GÖTALANDS LÄN</t>
        </is>
      </c>
      <c r="E6226" t="inlineStr">
        <is>
          <t>ULRICEHAMN</t>
        </is>
      </c>
      <c r="G6226" t="n">
        <v>0.2</v>
      </c>
      <c r="H6226" t="n">
        <v>0</v>
      </c>
      <c r="I6226" t="n">
        <v>0</v>
      </c>
      <c r="J6226" t="n">
        <v>0</v>
      </c>
      <c r="K6226" t="n">
        <v>0</v>
      </c>
      <c r="L6226" t="n">
        <v>0</v>
      </c>
      <c r="M6226" t="n">
        <v>0</v>
      </c>
      <c r="N6226" t="n">
        <v>0</v>
      </c>
      <c r="O6226" t="n">
        <v>0</v>
      </c>
      <c r="P6226" t="n">
        <v>0</v>
      </c>
      <c r="Q6226" t="n">
        <v>0</v>
      </c>
      <c r="R6226" s="2" t="inlineStr"/>
    </row>
    <row r="6227" ht="15" customHeight="1">
      <c r="A6227" t="inlineStr">
        <is>
          <t>A 5720-2021</t>
        </is>
      </c>
      <c r="B6227" s="1" t="n">
        <v>44229</v>
      </c>
      <c r="C6227" s="1" t="n">
        <v>45212</v>
      </c>
      <c r="D6227" t="inlineStr">
        <is>
          <t>VÄSTRA GÖTALANDS LÄN</t>
        </is>
      </c>
      <c r="E6227" t="inlineStr">
        <is>
          <t>VÄNERSBORG</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5239-2021</t>
        </is>
      </c>
      <c r="B6228" s="1" t="n">
        <v>44229</v>
      </c>
      <c r="C6228" s="1" t="n">
        <v>45212</v>
      </c>
      <c r="D6228" t="inlineStr">
        <is>
          <t>VÄSTRA GÖTALANDS LÄN</t>
        </is>
      </c>
      <c r="E6228" t="inlineStr">
        <is>
          <t>LIDKÖPING</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5281-2021</t>
        </is>
      </c>
      <c r="B6229" s="1" t="n">
        <v>44229</v>
      </c>
      <c r="C6229" s="1" t="n">
        <v>45212</v>
      </c>
      <c r="D6229" t="inlineStr">
        <is>
          <t>VÄSTRA GÖTALANDS LÄN</t>
        </is>
      </c>
      <c r="E6229" t="inlineStr">
        <is>
          <t>SVENLJUNGA</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5715-2021</t>
        </is>
      </c>
      <c r="B6230" s="1" t="n">
        <v>44229</v>
      </c>
      <c r="C6230" s="1" t="n">
        <v>45212</v>
      </c>
      <c r="D6230" t="inlineStr">
        <is>
          <t>VÄSTRA GÖTALANDS LÄN</t>
        </is>
      </c>
      <c r="E6230" t="inlineStr">
        <is>
          <t>TANUM</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5932-2021</t>
        </is>
      </c>
      <c r="B6231" s="1" t="n">
        <v>44229</v>
      </c>
      <c r="C6231" s="1" t="n">
        <v>45212</v>
      </c>
      <c r="D6231" t="inlineStr">
        <is>
          <t>VÄSTRA GÖTALANDS LÄN</t>
        </is>
      </c>
      <c r="E6231" t="inlineStr">
        <is>
          <t>VÄNERSBORG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5331-2021</t>
        </is>
      </c>
      <c r="B6232" s="1" t="n">
        <v>44229</v>
      </c>
      <c r="C6232" s="1" t="n">
        <v>45212</v>
      </c>
      <c r="D6232" t="inlineStr">
        <is>
          <t>VÄSTRA GÖTALANDS LÄN</t>
        </is>
      </c>
      <c r="E6232" t="inlineStr">
        <is>
          <t>TRANEMO</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5358-2021</t>
        </is>
      </c>
      <c r="B6233" s="1" t="n">
        <v>44229</v>
      </c>
      <c r="C6233" s="1" t="n">
        <v>45212</v>
      </c>
      <c r="D6233" t="inlineStr">
        <is>
          <t>VÄSTRA GÖTALANDS LÄN</t>
        </is>
      </c>
      <c r="E6233" t="inlineStr">
        <is>
          <t>LIDKÖPING</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5696-2021</t>
        </is>
      </c>
      <c r="B6234" s="1" t="n">
        <v>44229</v>
      </c>
      <c r="C6234" s="1" t="n">
        <v>45212</v>
      </c>
      <c r="D6234" t="inlineStr">
        <is>
          <t>VÄSTRA GÖTALANDS LÄN</t>
        </is>
      </c>
      <c r="E6234" t="inlineStr">
        <is>
          <t>STRÖMSTAD</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5820-2021</t>
        </is>
      </c>
      <c r="B6235" s="1" t="n">
        <v>44229</v>
      </c>
      <c r="C6235" s="1" t="n">
        <v>45212</v>
      </c>
      <c r="D6235" t="inlineStr">
        <is>
          <t>VÄSTRA GÖTALANDS LÄN</t>
        </is>
      </c>
      <c r="E6235" t="inlineStr">
        <is>
          <t>VÄNERSBORG</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5419-2021</t>
        </is>
      </c>
      <c r="B6236" s="1" t="n">
        <v>44229</v>
      </c>
      <c r="C6236" s="1" t="n">
        <v>45212</v>
      </c>
      <c r="D6236" t="inlineStr">
        <is>
          <t>VÄSTRA GÖTALANDS LÄN</t>
        </is>
      </c>
      <c r="E6236" t="inlineStr">
        <is>
          <t>TIDAHOLM</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5486-2021</t>
        </is>
      </c>
      <c r="B6237" s="1" t="n">
        <v>44230</v>
      </c>
      <c r="C6237" s="1" t="n">
        <v>45212</v>
      </c>
      <c r="D6237" t="inlineStr">
        <is>
          <t>VÄSTRA GÖTALANDS LÄN</t>
        </is>
      </c>
      <c r="E6237" t="inlineStr">
        <is>
          <t>TRANEMO</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5633-2021</t>
        </is>
      </c>
      <c r="B6238" s="1" t="n">
        <v>44230</v>
      </c>
      <c r="C6238" s="1" t="n">
        <v>45212</v>
      </c>
      <c r="D6238" t="inlineStr">
        <is>
          <t>VÄSTRA GÖTALANDS LÄN</t>
        </is>
      </c>
      <c r="E6238" t="inlineStr">
        <is>
          <t>BOLLEBYGD</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5699-2021</t>
        </is>
      </c>
      <c r="B6239" s="1" t="n">
        <v>44230</v>
      </c>
      <c r="C6239" s="1" t="n">
        <v>45212</v>
      </c>
      <c r="D6239" t="inlineStr">
        <is>
          <t>VÄSTRA GÖTALANDS LÄN</t>
        </is>
      </c>
      <c r="E6239" t="inlineStr">
        <is>
          <t>MARK</t>
        </is>
      </c>
      <c r="G6239" t="n">
        <v>2.7</v>
      </c>
      <c r="H6239" t="n">
        <v>0</v>
      </c>
      <c r="I6239" t="n">
        <v>0</v>
      </c>
      <c r="J6239" t="n">
        <v>0</v>
      </c>
      <c r="K6239" t="n">
        <v>0</v>
      </c>
      <c r="L6239" t="n">
        <v>0</v>
      </c>
      <c r="M6239" t="n">
        <v>0</v>
      </c>
      <c r="N6239" t="n">
        <v>0</v>
      </c>
      <c r="O6239" t="n">
        <v>0</v>
      </c>
      <c r="P6239" t="n">
        <v>0</v>
      </c>
      <c r="Q6239" t="n">
        <v>0</v>
      </c>
      <c r="R6239" s="2" t="inlineStr"/>
    </row>
    <row r="6240" ht="15" customHeight="1">
      <c r="A6240" t="inlineStr">
        <is>
          <t>A 5532-2021</t>
        </is>
      </c>
      <c r="B6240" s="1" t="n">
        <v>44230</v>
      </c>
      <c r="C6240" s="1" t="n">
        <v>45212</v>
      </c>
      <c r="D6240" t="inlineStr">
        <is>
          <t>VÄSTRA GÖTALANDS LÄN</t>
        </is>
      </c>
      <c r="E6240" t="inlineStr">
        <is>
          <t>DALS-ED</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5668-2021</t>
        </is>
      </c>
      <c r="B6241" s="1" t="n">
        <v>44230</v>
      </c>
      <c r="C6241" s="1" t="n">
        <v>45212</v>
      </c>
      <c r="D6241" t="inlineStr">
        <is>
          <t>VÄSTRA GÖTALANDS LÄN</t>
        </is>
      </c>
      <c r="E6241" t="inlineStr">
        <is>
          <t>TIDAHOLM</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5786-2021</t>
        </is>
      </c>
      <c r="B6242" s="1" t="n">
        <v>44230</v>
      </c>
      <c r="C6242" s="1" t="n">
        <v>45212</v>
      </c>
      <c r="D6242" t="inlineStr">
        <is>
          <t>VÄSTRA GÖTALANDS LÄN</t>
        </is>
      </c>
      <c r="E6242" t="inlineStr">
        <is>
          <t>MARK</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5483-2021</t>
        </is>
      </c>
      <c r="B6243" s="1" t="n">
        <v>44230</v>
      </c>
      <c r="C6243" s="1" t="n">
        <v>45212</v>
      </c>
      <c r="D6243" t="inlineStr">
        <is>
          <t>VÄSTRA GÖTALANDS LÄN</t>
        </is>
      </c>
      <c r="E6243" t="inlineStr">
        <is>
          <t>UDDEVALLA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5588-2021</t>
        </is>
      </c>
      <c r="B6244" s="1" t="n">
        <v>44230</v>
      </c>
      <c r="C6244" s="1" t="n">
        <v>45212</v>
      </c>
      <c r="D6244" t="inlineStr">
        <is>
          <t>VÄSTRA GÖTALANDS LÄN</t>
        </is>
      </c>
      <c r="E6244" t="inlineStr">
        <is>
          <t>SKARA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5698-2021</t>
        </is>
      </c>
      <c r="B6245" s="1" t="n">
        <v>44230</v>
      </c>
      <c r="C6245" s="1" t="n">
        <v>45212</v>
      </c>
      <c r="D6245" t="inlineStr">
        <is>
          <t>VÄSTRA GÖTALANDS LÄN</t>
        </is>
      </c>
      <c r="E6245" t="inlineStr">
        <is>
          <t>FALKÖPING</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5766-2021</t>
        </is>
      </c>
      <c r="B6246" s="1" t="n">
        <v>44230</v>
      </c>
      <c r="C6246" s="1" t="n">
        <v>45212</v>
      </c>
      <c r="D6246" t="inlineStr">
        <is>
          <t>VÄSTRA GÖTALANDS LÄN</t>
        </is>
      </c>
      <c r="E6246" t="inlineStr">
        <is>
          <t>DALS-ED</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5530-2021</t>
        </is>
      </c>
      <c r="B6247" s="1" t="n">
        <v>44230</v>
      </c>
      <c r="C6247" s="1" t="n">
        <v>45212</v>
      </c>
      <c r="D6247" t="inlineStr">
        <is>
          <t>VÄSTRA GÖTALANDS LÄN</t>
        </is>
      </c>
      <c r="E6247" t="inlineStr">
        <is>
          <t>TÖREBODA</t>
        </is>
      </c>
      <c r="G6247" t="n">
        <v>1.3</v>
      </c>
      <c r="H6247" t="n">
        <v>0</v>
      </c>
      <c r="I6247" t="n">
        <v>0</v>
      </c>
      <c r="J6247" t="n">
        <v>0</v>
      </c>
      <c r="K6247" t="n">
        <v>0</v>
      </c>
      <c r="L6247" t="n">
        <v>0</v>
      </c>
      <c r="M6247" t="n">
        <v>0</v>
      </c>
      <c r="N6247" t="n">
        <v>0</v>
      </c>
      <c r="O6247" t="n">
        <v>0</v>
      </c>
      <c r="P6247" t="n">
        <v>0</v>
      </c>
      <c r="Q6247" t="n">
        <v>0</v>
      </c>
      <c r="R6247" s="2" t="inlineStr"/>
    </row>
    <row r="6248" ht="15" customHeight="1">
      <c r="A6248" t="inlineStr">
        <is>
          <t>A 5681-2021</t>
        </is>
      </c>
      <c r="B6248" s="1" t="n">
        <v>44230</v>
      </c>
      <c r="C6248" s="1" t="n">
        <v>45212</v>
      </c>
      <c r="D6248" t="inlineStr">
        <is>
          <t>VÄSTRA GÖTALANDS LÄN</t>
        </is>
      </c>
      <c r="E6248" t="inlineStr">
        <is>
          <t>BOLLEBYGD</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5755-2021</t>
        </is>
      </c>
      <c r="B6249" s="1" t="n">
        <v>44230</v>
      </c>
      <c r="C6249" s="1" t="n">
        <v>45212</v>
      </c>
      <c r="D6249" t="inlineStr">
        <is>
          <t>VÄSTRA GÖTALANDS LÄN</t>
        </is>
      </c>
      <c r="E6249" t="inlineStr">
        <is>
          <t>VARA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5833-2021</t>
        </is>
      </c>
      <c r="B6250" s="1" t="n">
        <v>44231</v>
      </c>
      <c r="C6250" s="1" t="n">
        <v>45212</v>
      </c>
      <c r="D6250" t="inlineStr">
        <is>
          <t>VÄSTRA GÖTALANDS LÄN</t>
        </is>
      </c>
      <c r="E6250" t="inlineStr">
        <is>
          <t>GÖTENE</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5847-2021</t>
        </is>
      </c>
      <c r="B6251" s="1" t="n">
        <v>44231</v>
      </c>
      <c r="C6251" s="1" t="n">
        <v>45212</v>
      </c>
      <c r="D6251" t="inlineStr">
        <is>
          <t>VÄSTRA GÖTALANDS LÄN</t>
        </is>
      </c>
      <c r="E6251" t="inlineStr">
        <is>
          <t>FÄRGELANDA</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5873-2021</t>
        </is>
      </c>
      <c r="B6252" s="1" t="n">
        <v>44231</v>
      </c>
      <c r="C6252" s="1" t="n">
        <v>45212</v>
      </c>
      <c r="D6252" t="inlineStr">
        <is>
          <t>VÄSTRA GÖTALANDS LÄN</t>
        </is>
      </c>
      <c r="E6252" t="inlineStr">
        <is>
          <t>TIBRO</t>
        </is>
      </c>
      <c r="G6252" t="n">
        <v>8.1</v>
      </c>
      <c r="H6252" t="n">
        <v>0</v>
      </c>
      <c r="I6252" t="n">
        <v>0</v>
      </c>
      <c r="J6252" t="n">
        <v>0</v>
      </c>
      <c r="K6252" t="n">
        <v>0</v>
      </c>
      <c r="L6252" t="n">
        <v>0</v>
      </c>
      <c r="M6252" t="n">
        <v>0</v>
      </c>
      <c r="N6252" t="n">
        <v>0</v>
      </c>
      <c r="O6252" t="n">
        <v>0</v>
      </c>
      <c r="P6252" t="n">
        <v>0</v>
      </c>
      <c r="Q6252" t="n">
        <v>0</v>
      </c>
      <c r="R6252" s="2" t="inlineStr"/>
    </row>
    <row r="6253" ht="15" customHeight="1">
      <c r="A6253" t="inlineStr">
        <is>
          <t>A 5959-2021</t>
        </is>
      </c>
      <c r="B6253" s="1" t="n">
        <v>44231</v>
      </c>
      <c r="C6253" s="1" t="n">
        <v>45212</v>
      </c>
      <c r="D6253" t="inlineStr">
        <is>
          <t>VÄSTRA GÖTALANDS LÄN</t>
        </is>
      </c>
      <c r="E6253" t="inlineStr">
        <is>
          <t>SKARA</t>
        </is>
      </c>
      <c r="G6253" t="n">
        <v>1.2</v>
      </c>
      <c r="H6253" t="n">
        <v>0</v>
      </c>
      <c r="I6253" t="n">
        <v>0</v>
      </c>
      <c r="J6253" t="n">
        <v>0</v>
      </c>
      <c r="K6253" t="n">
        <v>0</v>
      </c>
      <c r="L6253" t="n">
        <v>0</v>
      </c>
      <c r="M6253" t="n">
        <v>0</v>
      </c>
      <c r="N6253" t="n">
        <v>0</v>
      </c>
      <c r="O6253" t="n">
        <v>0</v>
      </c>
      <c r="P6253" t="n">
        <v>0</v>
      </c>
      <c r="Q6253" t="n">
        <v>0</v>
      </c>
      <c r="R6253" s="2" t="inlineStr"/>
    </row>
    <row r="6254" ht="15" customHeight="1">
      <c r="A6254" t="inlineStr">
        <is>
          <t>A 6056-2021</t>
        </is>
      </c>
      <c r="B6254" s="1" t="n">
        <v>44231</v>
      </c>
      <c r="C6254" s="1" t="n">
        <v>45212</v>
      </c>
      <c r="D6254" t="inlineStr">
        <is>
          <t>VÄSTRA GÖTALANDS LÄN</t>
        </is>
      </c>
      <c r="E6254" t="inlineStr">
        <is>
          <t>VÄNERSBORG</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5964-2021</t>
        </is>
      </c>
      <c r="B6255" s="1" t="n">
        <v>44231</v>
      </c>
      <c r="C6255" s="1" t="n">
        <v>45212</v>
      </c>
      <c r="D6255" t="inlineStr">
        <is>
          <t>VÄSTRA GÖTALANDS LÄN</t>
        </is>
      </c>
      <c r="E6255" t="inlineStr">
        <is>
          <t>ÅMÅL</t>
        </is>
      </c>
      <c r="G6255" t="n">
        <v>4.3</v>
      </c>
      <c r="H6255" t="n">
        <v>0</v>
      </c>
      <c r="I6255" t="n">
        <v>0</v>
      </c>
      <c r="J6255" t="n">
        <v>0</v>
      </c>
      <c r="K6255" t="n">
        <v>0</v>
      </c>
      <c r="L6255" t="n">
        <v>0</v>
      </c>
      <c r="M6255" t="n">
        <v>0</v>
      </c>
      <c r="N6255" t="n">
        <v>0</v>
      </c>
      <c r="O6255" t="n">
        <v>0</v>
      </c>
      <c r="P6255" t="n">
        <v>0</v>
      </c>
      <c r="Q6255" t="n">
        <v>0</v>
      </c>
      <c r="R6255" s="2" t="inlineStr"/>
    </row>
    <row r="6256" ht="15" customHeight="1">
      <c r="A6256" t="inlineStr">
        <is>
          <t>A 6113-2021</t>
        </is>
      </c>
      <c r="B6256" s="1" t="n">
        <v>44232</v>
      </c>
      <c r="C6256" s="1" t="n">
        <v>45212</v>
      </c>
      <c r="D6256" t="inlineStr">
        <is>
          <t>VÄSTRA GÖTALANDS LÄN</t>
        </is>
      </c>
      <c r="E6256" t="inlineStr">
        <is>
          <t>DALS-ED</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6081-2021</t>
        </is>
      </c>
      <c r="B6257" s="1" t="n">
        <v>44232</v>
      </c>
      <c r="C6257" s="1" t="n">
        <v>45212</v>
      </c>
      <c r="D6257" t="inlineStr">
        <is>
          <t>VÄSTRA GÖTALANDS LÄN</t>
        </is>
      </c>
      <c r="E6257" t="inlineStr">
        <is>
          <t>BORÅS</t>
        </is>
      </c>
      <c r="G6257" t="n">
        <v>7.5</v>
      </c>
      <c r="H6257" t="n">
        <v>0</v>
      </c>
      <c r="I6257" t="n">
        <v>0</v>
      </c>
      <c r="J6257" t="n">
        <v>0</v>
      </c>
      <c r="K6257" t="n">
        <v>0</v>
      </c>
      <c r="L6257" t="n">
        <v>0</v>
      </c>
      <c r="M6257" t="n">
        <v>0</v>
      </c>
      <c r="N6257" t="n">
        <v>0</v>
      </c>
      <c r="O6257" t="n">
        <v>0</v>
      </c>
      <c r="P6257" t="n">
        <v>0</v>
      </c>
      <c r="Q6257" t="n">
        <v>0</v>
      </c>
      <c r="R6257" s="2" t="inlineStr"/>
    </row>
    <row r="6258" ht="15" customHeight="1">
      <c r="A6258" t="inlineStr">
        <is>
          <t>A 6043-2021</t>
        </is>
      </c>
      <c r="B6258" s="1" t="n">
        <v>44232</v>
      </c>
      <c r="C6258" s="1" t="n">
        <v>45212</v>
      </c>
      <c r="D6258" t="inlineStr">
        <is>
          <t>VÄSTRA GÖTALANDS LÄN</t>
        </is>
      </c>
      <c r="E6258" t="inlineStr">
        <is>
          <t>TANUM</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6193-2021</t>
        </is>
      </c>
      <c r="B6259" s="1" t="n">
        <v>44234</v>
      </c>
      <c r="C6259" s="1" t="n">
        <v>45212</v>
      </c>
      <c r="D6259" t="inlineStr">
        <is>
          <t>VÄSTRA GÖTALANDS LÄN</t>
        </is>
      </c>
      <c r="E6259" t="inlineStr">
        <is>
          <t>LILLA EDET</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6200-2021</t>
        </is>
      </c>
      <c r="B6260" s="1" t="n">
        <v>44234</v>
      </c>
      <c r="C6260" s="1" t="n">
        <v>45212</v>
      </c>
      <c r="D6260" t="inlineStr">
        <is>
          <t>VÄSTRA GÖTALANDS LÄN</t>
        </is>
      </c>
      <c r="E6260" t="inlineStr">
        <is>
          <t>BORÅS</t>
        </is>
      </c>
      <c r="G6260" t="n">
        <v>4</v>
      </c>
      <c r="H6260" t="n">
        <v>0</v>
      </c>
      <c r="I6260" t="n">
        <v>0</v>
      </c>
      <c r="J6260" t="n">
        <v>0</v>
      </c>
      <c r="K6260" t="n">
        <v>0</v>
      </c>
      <c r="L6260" t="n">
        <v>0</v>
      </c>
      <c r="M6260" t="n">
        <v>0</v>
      </c>
      <c r="N6260" t="n">
        <v>0</v>
      </c>
      <c r="O6260" t="n">
        <v>0</v>
      </c>
      <c r="P6260" t="n">
        <v>0</v>
      </c>
      <c r="Q6260" t="n">
        <v>0</v>
      </c>
      <c r="R6260" s="2" t="inlineStr"/>
    </row>
    <row r="6261" ht="15" customHeight="1">
      <c r="A6261" t="inlineStr">
        <is>
          <t>A 6246-2021</t>
        </is>
      </c>
      <c r="B6261" s="1" t="n">
        <v>44235</v>
      </c>
      <c r="C6261" s="1" t="n">
        <v>45212</v>
      </c>
      <c r="D6261" t="inlineStr">
        <is>
          <t>VÄSTRA GÖTALANDS LÄN</t>
        </is>
      </c>
      <c r="E6261" t="inlineStr">
        <is>
          <t>BENGTSFORS</t>
        </is>
      </c>
      <c r="G6261" t="n">
        <v>7</v>
      </c>
      <c r="H6261" t="n">
        <v>0</v>
      </c>
      <c r="I6261" t="n">
        <v>0</v>
      </c>
      <c r="J6261" t="n">
        <v>0</v>
      </c>
      <c r="K6261" t="n">
        <v>0</v>
      </c>
      <c r="L6261" t="n">
        <v>0</v>
      </c>
      <c r="M6261" t="n">
        <v>0</v>
      </c>
      <c r="N6261" t="n">
        <v>0</v>
      </c>
      <c r="O6261" t="n">
        <v>0</v>
      </c>
      <c r="P6261" t="n">
        <v>0</v>
      </c>
      <c r="Q6261" t="n">
        <v>0</v>
      </c>
      <c r="R6261" s="2" t="inlineStr"/>
    </row>
    <row r="6262" ht="15" customHeight="1">
      <c r="A6262" t="inlineStr">
        <is>
          <t>A 6313-2021</t>
        </is>
      </c>
      <c r="B6262" s="1" t="n">
        <v>44235</v>
      </c>
      <c r="C6262" s="1" t="n">
        <v>45212</v>
      </c>
      <c r="D6262" t="inlineStr">
        <is>
          <t>VÄSTRA GÖTALANDS LÄN</t>
        </is>
      </c>
      <c r="E6262" t="inlineStr">
        <is>
          <t>FÄRGELANDA</t>
        </is>
      </c>
      <c r="G6262" t="n">
        <v>7.9</v>
      </c>
      <c r="H6262" t="n">
        <v>0</v>
      </c>
      <c r="I6262" t="n">
        <v>0</v>
      </c>
      <c r="J6262" t="n">
        <v>0</v>
      </c>
      <c r="K6262" t="n">
        <v>0</v>
      </c>
      <c r="L6262" t="n">
        <v>0</v>
      </c>
      <c r="M6262" t="n">
        <v>0</v>
      </c>
      <c r="N6262" t="n">
        <v>0</v>
      </c>
      <c r="O6262" t="n">
        <v>0</v>
      </c>
      <c r="P6262" t="n">
        <v>0</v>
      </c>
      <c r="Q6262" t="n">
        <v>0</v>
      </c>
      <c r="R6262" s="2" t="inlineStr"/>
    </row>
    <row r="6263" ht="15" customHeight="1">
      <c r="A6263" t="inlineStr">
        <is>
          <t>A 6391-2021</t>
        </is>
      </c>
      <c r="B6263" s="1" t="n">
        <v>44235</v>
      </c>
      <c r="C6263" s="1" t="n">
        <v>45212</v>
      </c>
      <c r="D6263" t="inlineStr">
        <is>
          <t>VÄSTRA GÖTALANDS LÄN</t>
        </is>
      </c>
      <c r="E6263" t="inlineStr">
        <is>
          <t>ALINGSÅS</t>
        </is>
      </c>
      <c r="G6263" t="n">
        <v>1.6</v>
      </c>
      <c r="H6263" t="n">
        <v>0</v>
      </c>
      <c r="I6263" t="n">
        <v>0</v>
      </c>
      <c r="J6263" t="n">
        <v>0</v>
      </c>
      <c r="K6263" t="n">
        <v>0</v>
      </c>
      <c r="L6263" t="n">
        <v>0</v>
      </c>
      <c r="M6263" t="n">
        <v>0</v>
      </c>
      <c r="N6263" t="n">
        <v>0</v>
      </c>
      <c r="O6263" t="n">
        <v>0</v>
      </c>
      <c r="P6263" t="n">
        <v>0</v>
      </c>
      <c r="Q6263" t="n">
        <v>0</v>
      </c>
      <c r="R6263" s="2" t="inlineStr"/>
    </row>
    <row r="6264" ht="15" customHeight="1">
      <c r="A6264" t="inlineStr">
        <is>
          <t>A 6443-2021</t>
        </is>
      </c>
      <c r="B6264" s="1" t="n">
        <v>44235</v>
      </c>
      <c r="C6264" s="1" t="n">
        <v>45212</v>
      </c>
      <c r="D6264" t="inlineStr">
        <is>
          <t>VÄSTRA GÖTALANDS LÄN</t>
        </is>
      </c>
      <c r="E6264" t="inlineStr">
        <is>
          <t>BORÅS</t>
        </is>
      </c>
      <c r="F6264" t="inlineStr">
        <is>
          <t>Sveaskog</t>
        </is>
      </c>
      <c r="G6264" t="n">
        <v>9.1</v>
      </c>
      <c r="H6264" t="n">
        <v>0</v>
      </c>
      <c r="I6264" t="n">
        <v>0</v>
      </c>
      <c r="J6264" t="n">
        <v>0</v>
      </c>
      <c r="K6264" t="n">
        <v>0</v>
      </c>
      <c r="L6264" t="n">
        <v>0</v>
      </c>
      <c r="M6264" t="n">
        <v>0</v>
      </c>
      <c r="N6264" t="n">
        <v>0</v>
      </c>
      <c r="O6264" t="n">
        <v>0</v>
      </c>
      <c r="P6264" t="n">
        <v>0</v>
      </c>
      <c r="Q6264" t="n">
        <v>0</v>
      </c>
      <c r="R6264" s="2" t="inlineStr"/>
    </row>
    <row r="6265" ht="15" customHeight="1">
      <c r="A6265" t="inlineStr">
        <is>
          <t>A 6380-2021</t>
        </is>
      </c>
      <c r="B6265" s="1" t="n">
        <v>44235</v>
      </c>
      <c r="C6265" s="1" t="n">
        <v>45212</v>
      </c>
      <c r="D6265" t="inlineStr">
        <is>
          <t>VÄSTRA GÖTALANDS LÄN</t>
        </is>
      </c>
      <c r="E6265" t="inlineStr">
        <is>
          <t>VARA</t>
        </is>
      </c>
      <c r="G6265" t="n">
        <v>5.1</v>
      </c>
      <c r="H6265" t="n">
        <v>0</v>
      </c>
      <c r="I6265" t="n">
        <v>0</v>
      </c>
      <c r="J6265" t="n">
        <v>0</v>
      </c>
      <c r="K6265" t="n">
        <v>0</v>
      </c>
      <c r="L6265" t="n">
        <v>0</v>
      </c>
      <c r="M6265" t="n">
        <v>0</v>
      </c>
      <c r="N6265" t="n">
        <v>0</v>
      </c>
      <c r="O6265" t="n">
        <v>0</v>
      </c>
      <c r="P6265" t="n">
        <v>0</v>
      </c>
      <c r="Q6265" t="n">
        <v>0</v>
      </c>
      <c r="R6265" s="2" t="inlineStr"/>
    </row>
    <row r="6266" ht="15" customHeight="1">
      <c r="A6266" t="inlineStr">
        <is>
          <t>A 6402-2021</t>
        </is>
      </c>
      <c r="B6266" s="1" t="n">
        <v>44235</v>
      </c>
      <c r="C6266" s="1" t="n">
        <v>45212</v>
      </c>
      <c r="D6266" t="inlineStr">
        <is>
          <t>VÄSTRA GÖTALANDS LÄN</t>
        </is>
      </c>
      <c r="E6266" t="inlineStr">
        <is>
          <t>TROLLHÄTTAN</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6469-2021</t>
        </is>
      </c>
      <c r="B6267" s="1" t="n">
        <v>44235</v>
      </c>
      <c r="C6267" s="1" t="n">
        <v>45212</v>
      </c>
      <c r="D6267" t="inlineStr">
        <is>
          <t>VÄSTRA GÖTALANDS LÄN</t>
        </is>
      </c>
      <c r="E6267" t="inlineStr">
        <is>
          <t>VÄNERSBORG</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6477-2021</t>
        </is>
      </c>
      <c r="B6268" s="1" t="n">
        <v>44235</v>
      </c>
      <c r="C6268" s="1" t="n">
        <v>45212</v>
      </c>
      <c r="D6268" t="inlineStr">
        <is>
          <t>VÄSTRA GÖTALANDS LÄN</t>
        </is>
      </c>
      <c r="E6268" t="inlineStr">
        <is>
          <t>VÄNERSBORG</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6496-2021</t>
        </is>
      </c>
      <c r="B6269" s="1" t="n">
        <v>44235</v>
      </c>
      <c r="C6269" s="1" t="n">
        <v>45212</v>
      </c>
      <c r="D6269" t="inlineStr">
        <is>
          <t>VÄSTRA GÖTALANDS LÄN</t>
        </is>
      </c>
      <c r="E6269" t="inlineStr">
        <is>
          <t>SKÖVDE</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6675-2021</t>
        </is>
      </c>
      <c r="B6270" s="1" t="n">
        <v>44236</v>
      </c>
      <c r="C6270" s="1" t="n">
        <v>45212</v>
      </c>
      <c r="D6270" t="inlineStr">
        <is>
          <t>VÄSTRA GÖTALANDS LÄN</t>
        </is>
      </c>
      <c r="E6270" t="inlineStr">
        <is>
          <t>HERRLJUNGA</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6690-2021</t>
        </is>
      </c>
      <c r="B6271" s="1" t="n">
        <v>44236</v>
      </c>
      <c r="C6271" s="1" t="n">
        <v>45212</v>
      </c>
      <c r="D6271" t="inlineStr">
        <is>
          <t>VÄSTRA GÖTALANDS LÄN</t>
        </is>
      </c>
      <c r="E6271" t="inlineStr">
        <is>
          <t>DALS-ED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6613-2021</t>
        </is>
      </c>
      <c r="B6272" s="1" t="n">
        <v>44236</v>
      </c>
      <c r="C6272" s="1" t="n">
        <v>45212</v>
      </c>
      <c r="D6272" t="inlineStr">
        <is>
          <t>VÄSTRA GÖTALANDS LÄN</t>
        </is>
      </c>
      <c r="E6272" t="inlineStr">
        <is>
          <t>ORUST</t>
        </is>
      </c>
      <c r="G6272" t="n">
        <v>8.800000000000001</v>
      </c>
      <c r="H6272" t="n">
        <v>0</v>
      </c>
      <c r="I6272" t="n">
        <v>0</v>
      </c>
      <c r="J6272" t="n">
        <v>0</v>
      </c>
      <c r="K6272" t="n">
        <v>0</v>
      </c>
      <c r="L6272" t="n">
        <v>0</v>
      </c>
      <c r="M6272" t="n">
        <v>0</v>
      </c>
      <c r="N6272" t="n">
        <v>0</v>
      </c>
      <c r="O6272" t="n">
        <v>0</v>
      </c>
      <c r="P6272" t="n">
        <v>0</v>
      </c>
      <c r="Q6272" t="n">
        <v>0</v>
      </c>
      <c r="R6272" s="2" t="inlineStr"/>
    </row>
    <row r="6273" ht="15" customHeight="1">
      <c r="A6273" t="inlineStr">
        <is>
          <t>A 6628-2021</t>
        </is>
      </c>
      <c r="B6273" s="1" t="n">
        <v>44236</v>
      </c>
      <c r="C6273" s="1" t="n">
        <v>45212</v>
      </c>
      <c r="D6273" t="inlineStr">
        <is>
          <t>VÄSTRA GÖTALANDS LÄN</t>
        </is>
      </c>
      <c r="E6273" t="inlineStr">
        <is>
          <t>HERRLJUNGA</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6716-2021</t>
        </is>
      </c>
      <c r="B6274" s="1" t="n">
        <v>44236</v>
      </c>
      <c r="C6274" s="1" t="n">
        <v>45212</v>
      </c>
      <c r="D6274" t="inlineStr">
        <is>
          <t>VÄSTRA GÖTALANDS LÄN</t>
        </is>
      </c>
      <c r="E6274" t="inlineStr">
        <is>
          <t>VARA</t>
        </is>
      </c>
      <c r="G6274" t="n">
        <v>2.9</v>
      </c>
      <c r="H6274" t="n">
        <v>0</v>
      </c>
      <c r="I6274" t="n">
        <v>0</v>
      </c>
      <c r="J6274" t="n">
        <v>0</v>
      </c>
      <c r="K6274" t="n">
        <v>0</v>
      </c>
      <c r="L6274" t="n">
        <v>0</v>
      </c>
      <c r="M6274" t="n">
        <v>0</v>
      </c>
      <c r="N6274" t="n">
        <v>0</v>
      </c>
      <c r="O6274" t="n">
        <v>0</v>
      </c>
      <c r="P6274" t="n">
        <v>0</v>
      </c>
      <c r="Q6274" t="n">
        <v>0</v>
      </c>
      <c r="R6274" s="2" t="inlineStr"/>
    </row>
    <row r="6275" ht="15" customHeight="1">
      <c r="A6275" t="inlineStr">
        <is>
          <t>A 6731-2021</t>
        </is>
      </c>
      <c r="B6275" s="1" t="n">
        <v>44236</v>
      </c>
      <c r="C6275" s="1" t="n">
        <v>45212</v>
      </c>
      <c r="D6275" t="inlineStr">
        <is>
          <t>VÄSTRA GÖTALANDS LÄN</t>
        </is>
      </c>
      <c r="E6275" t="inlineStr">
        <is>
          <t>ULRICEHAMN</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6668-2021</t>
        </is>
      </c>
      <c r="B6276" s="1" t="n">
        <v>44236</v>
      </c>
      <c r="C6276" s="1" t="n">
        <v>45212</v>
      </c>
      <c r="D6276" t="inlineStr">
        <is>
          <t>VÄSTRA GÖTALANDS LÄN</t>
        </is>
      </c>
      <c r="E6276" t="inlineStr">
        <is>
          <t>DALS-ED</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6674-2021</t>
        </is>
      </c>
      <c r="B6277" s="1" t="n">
        <v>44236</v>
      </c>
      <c r="C6277" s="1" t="n">
        <v>45212</v>
      </c>
      <c r="D6277" t="inlineStr">
        <is>
          <t>VÄSTRA GÖTALANDS LÄN</t>
        </is>
      </c>
      <c r="E6277" t="inlineStr">
        <is>
          <t>DALS-ED</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6550-2021</t>
        </is>
      </c>
      <c r="B6278" s="1" t="n">
        <v>44236</v>
      </c>
      <c r="C6278" s="1" t="n">
        <v>45212</v>
      </c>
      <c r="D6278" t="inlineStr">
        <is>
          <t>VÄSTRA GÖTALANDS LÄN</t>
        </is>
      </c>
      <c r="E6278" t="inlineStr">
        <is>
          <t>VÄNERSBORG</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6625-2021</t>
        </is>
      </c>
      <c r="B6279" s="1" t="n">
        <v>44236</v>
      </c>
      <c r="C6279" s="1" t="n">
        <v>45212</v>
      </c>
      <c r="D6279" t="inlineStr">
        <is>
          <t>VÄSTRA GÖTALANDS LÄN</t>
        </is>
      </c>
      <c r="E6279" t="inlineStr">
        <is>
          <t>HERRLJUNGA</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6644-2021</t>
        </is>
      </c>
      <c r="B6280" s="1" t="n">
        <v>44236</v>
      </c>
      <c r="C6280" s="1" t="n">
        <v>45212</v>
      </c>
      <c r="D6280" t="inlineStr">
        <is>
          <t>VÄSTRA GÖTALANDS LÄN</t>
        </is>
      </c>
      <c r="E6280" t="inlineStr">
        <is>
          <t>MARK</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6743-2021</t>
        </is>
      </c>
      <c r="B6281" s="1" t="n">
        <v>44236</v>
      </c>
      <c r="C6281" s="1" t="n">
        <v>45212</v>
      </c>
      <c r="D6281" t="inlineStr">
        <is>
          <t>VÄSTRA GÖTALANDS LÄN</t>
        </is>
      </c>
      <c r="E6281" t="inlineStr">
        <is>
          <t>BORÅS</t>
        </is>
      </c>
      <c r="G6281" t="n">
        <v>6.2</v>
      </c>
      <c r="H6281" t="n">
        <v>0</v>
      </c>
      <c r="I6281" t="n">
        <v>0</v>
      </c>
      <c r="J6281" t="n">
        <v>0</v>
      </c>
      <c r="K6281" t="n">
        <v>0</v>
      </c>
      <c r="L6281" t="n">
        <v>0</v>
      </c>
      <c r="M6281" t="n">
        <v>0</v>
      </c>
      <c r="N6281" t="n">
        <v>0</v>
      </c>
      <c r="O6281" t="n">
        <v>0</v>
      </c>
      <c r="P6281" t="n">
        <v>0</v>
      </c>
      <c r="Q6281" t="n">
        <v>0</v>
      </c>
      <c r="R6281" s="2" t="inlineStr"/>
    </row>
    <row r="6282" ht="15" customHeight="1">
      <c r="A6282" t="inlineStr">
        <is>
          <t>A 6766-2021</t>
        </is>
      </c>
      <c r="B6282" s="1" t="n">
        <v>44236</v>
      </c>
      <c r="C6282" s="1" t="n">
        <v>45212</v>
      </c>
      <c r="D6282" t="inlineStr">
        <is>
          <t>VÄSTRA GÖTALANDS LÄN</t>
        </is>
      </c>
      <c r="E6282" t="inlineStr">
        <is>
          <t>VÅRGÅRDA</t>
        </is>
      </c>
      <c r="G6282" t="n">
        <v>0.4</v>
      </c>
      <c r="H6282" t="n">
        <v>0</v>
      </c>
      <c r="I6282" t="n">
        <v>0</v>
      </c>
      <c r="J6282" t="n">
        <v>0</v>
      </c>
      <c r="K6282" t="n">
        <v>0</v>
      </c>
      <c r="L6282" t="n">
        <v>0</v>
      </c>
      <c r="M6282" t="n">
        <v>0</v>
      </c>
      <c r="N6282" t="n">
        <v>0</v>
      </c>
      <c r="O6282" t="n">
        <v>0</v>
      </c>
      <c r="P6282" t="n">
        <v>0</v>
      </c>
      <c r="Q6282" t="n">
        <v>0</v>
      </c>
      <c r="R6282" s="2" t="inlineStr"/>
    </row>
    <row r="6283" ht="15" customHeight="1">
      <c r="A6283" t="inlineStr">
        <is>
          <t>A 6794-2021</t>
        </is>
      </c>
      <c r="B6283" s="1" t="n">
        <v>44236</v>
      </c>
      <c r="C6283" s="1" t="n">
        <v>45212</v>
      </c>
      <c r="D6283" t="inlineStr">
        <is>
          <t>VÄSTRA GÖTALANDS LÄN</t>
        </is>
      </c>
      <c r="E6283" t="inlineStr">
        <is>
          <t>VÅRGÅRDA</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6829-2021</t>
        </is>
      </c>
      <c r="B6284" s="1" t="n">
        <v>44237</v>
      </c>
      <c r="C6284" s="1" t="n">
        <v>45212</v>
      </c>
      <c r="D6284" t="inlineStr">
        <is>
          <t>VÄSTRA GÖTALANDS LÄN</t>
        </is>
      </c>
      <c r="E6284" t="inlineStr">
        <is>
          <t>DALS-ED</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6979-2021</t>
        </is>
      </c>
      <c r="B6285" s="1" t="n">
        <v>44237</v>
      </c>
      <c r="C6285" s="1" t="n">
        <v>45212</v>
      </c>
      <c r="D6285" t="inlineStr">
        <is>
          <t>VÄSTRA GÖTALANDS LÄN</t>
        </is>
      </c>
      <c r="E6285" t="inlineStr">
        <is>
          <t>BENGTSFORS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6993-2021</t>
        </is>
      </c>
      <c r="B6286" s="1" t="n">
        <v>44237</v>
      </c>
      <c r="C6286" s="1" t="n">
        <v>45212</v>
      </c>
      <c r="D6286" t="inlineStr">
        <is>
          <t>VÄSTRA GÖTALANDS LÄN</t>
        </is>
      </c>
      <c r="E6286" t="inlineStr">
        <is>
          <t>GÖTENE</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7064-2021</t>
        </is>
      </c>
      <c r="B6287" s="1" t="n">
        <v>44237</v>
      </c>
      <c r="C6287" s="1" t="n">
        <v>45212</v>
      </c>
      <c r="D6287" t="inlineStr">
        <is>
          <t>VÄSTRA GÖTALANDS LÄN</t>
        </is>
      </c>
      <c r="E6287" t="inlineStr">
        <is>
          <t>VARA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6899-2021</t>
        </is>
      </c>
      <c r="B6288" s="1" t="n">
        <v>44237</v>
      </c>
      <c r="C6288" s="1" t="n">
        <v>45212</v>
      </c>
      <c r="D6288" t="inlineStr">
        <is>
          <t>VÄSTRA GÖTALANDS LÄN</t>
        </is>
      </c>
      <c r="E6288" t="inlineStr">
        <is>
          <t>MUNKEDAL</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6991-2021</t>
        </is>
      </c>
      <c r="B6289" s="1" t="n">
        <v>44237</v>
      </c>
      <c r="C6289" s="1" t="n">
        <v>45212</v>
      </c>
      <c r="D6289" t="inlineStr">
        <is>
          <t>VÄSTRA GÖTALANDS LÄN</t>
        </is>
      </c>
      <c r="E6289" t="inlineStr">
        <is>
          <t>LIDKÖPING</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6990-2021</t>
        </is>
      </c>
      <c r="B6290" s="1" t="n">
        <v>44237</v>
      </c>
      <c r="C6290" s="1" t="n">
        <v>45212</v>
      </c>
      <c r="D6290" t="inlineStr">
        <is>
          <t>VÄSTRA GÖTALANDS LÄN</t>
        </is>
      </c>
      <c r="E6290" t="inlineStr">
        <is>
          <t>VÄNERSBORG</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6826-2021</t>
        </is>
      </c>
      <c r="B6291" s="1" t="n">
        <v>44237</v>
      </c>
      <c r="C6291" s="1" t="n">
        <v>45212</v>
      </c>
      <c r="D6291" t="inlineStr">
        <is>
          <t>VÄSTRA GÖTALANDS LÄN</t>
        </is>
      </c>
      <c r="E6291" t="inlineStr">
        <is>
          <t>DALS-ED</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7055-2021</t>
        </is>
      </c>
      <c r="B6292" s="1" t="n">
        <v>44237</v>
      </c>
      <c r="C6292" s="1" t="n">
        <v>45212</v>
      </c>
      <c r="D6292" t="inlineStr">
        <is>
          <t>VÄSTRA GÖTALANDS LÄN</t>
        </is>
      </c>
      <c r="E6292" t="inlineStr">
        <is>
          <t>ULRICEHAMN</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7290-2021</t>
        </is>
      </c>
      <c r="B6293" s="1" t="n">
        <v>44238</v>
      </c>
      <c r="C6293" s="1" t="n">
        <v>45212</v>
      </c>
      <c r="D6293" t="inlineStr">
        <is>
          <t>VÄSTRA GÖTALANDS LÄN</t>
        </is>
      </c>
      <c r="E6293" t="inlineStr">
        <is>
          <t>TRANEMO</t>
        </is>
      </c>
      <c r="F6293" t="inlineStr">
        <is>
          <t>Kyrkan</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7270-2021</t>
        </is>
      </c>
      <c r="B6294" s="1" t="n">
        <v>44238</v>
      </c>
      <c r="C6294" s="1" t="n">
        <v>45212</v>
      </c>
      <c r="D6294" t="inlineStr">
        <is>
          <t>VÄSTRA GÖTALANDS LÄN</t>
        </is>
      </c>
      <c r="E6294" t="inlineStr">
        <is>
          <t>ULRICEHAMN</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7157-2021</t>
        </is>
      </c>
      <c r="B6295" s="1" t="n">
        <v>44238</v>
      </c>
      <c r="C6295" s="1" t="n">
        <v>45212</v>
      </c>
      <c r="D6295" t="inlineStr">
        <is>
          <t>VÄSTRA GÖTALANDS LÄN</t>
        </is>
      </c>
      <c r="E6295" t="inlineStr">
        <is>
          <t>MUNKEDAL</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7235-2021</t>
        </is>
      </c>
      <c r="B6296" s="1" t="n">
        <v>44238</v>
      </c>
      <c r="C6296" s="1" t="n">
        <v>45212</v>
      </c>
      <c r="D6296" t="inlineStr">
        <is>
          <t>VÄSTRA GÖTALANDS LÄN</t>
        </is>
      </c>
      <c r="E6296" t="inlineStr">
        <is>
          <t>ULRICEHAMN</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7309-2021</t>
        </is>
      </c>
      <c r="B6297" s="1" t="n">
        <v>44238</v>
      </c>
      <c r="C6297" s="1" t="n">
        <v>45212</v>
      </c>
      <c r="D6297" t="inlineStr">
        <is>
          <t>VÄSTRA GÖTALANDS LÄN</t>
        </is>
      </c>
      <c r="E6297" t="inlineStr">
        <is>
          <t>MARK</t>
        </is>
      </c>
      <c r="G6297" t="n">
        <v>4.9</v>
      </c>
      <c r="H6297" t="n">
        <v>0</v>
      </c>
      <c r="I6297" t="n">
        <v>0</v>
      </c>
      <c r="J6297" t="n">
        <v>0</v>
      </c>
      <c r="K6297" t="n">
        <v>0</v>
      </c>
      <c r="L6297" t="n">
        <v>0</v>
      </c>
      <c r="M6297" t="n">
        <v>0</v>
      </c>
      <c r="N6297" t="n">
        <v>0</v>
      </c>
      <c r="O6297" t="n">
        <v>0</v>
      </c>
      <c r="P6297" t="n">
        <v>0</v>
      </c>
      <c r="Q6297" t="n">
        <v>0</v>
      </c>
      <c r="R6297" s="2" t="inlineStr"/>
    </row>
    <row r="6298" ht="15" customHeight="1">
      <c r="A6298" t="inlineStr">
        <is>
          <t>A 7103-2021</t>
        </is>
      </c>
      <c r="B6298" s="1" t="n">
        <v>44238</v>
      </c>
      <c r="C6298" s="1" t="n">
        <v>45212</v>
      </c>
      <c r="D6298" t="inlineStr">
        <is>
          <t>VÄSTRA GÖTALANDS LÄN</t>
        </is>
      </c>
      <c r="E6298" t="inlineStr">
        <is>
          <t>TRANEMO</t>
        </is>
      </c>
      <c r="G6298" t="n">
        <v>5.4</v>
      </c>
      <c r="H6298" t="n">
        <v>0</v>
      </c>
      <c r="I6298" t="n">
        <v>0</v>
      </c>
      <c r="J6298" t="n">
        <v>0</v>
      </c>
      <c r="K6298" t="n">
        <v>0</v>
      </c>
      <c r="L6298" t="n">
        <v>0</v>
      </c>
      <c r="M6298" t="n">
        <v>0</v>
      </c>
      <c r="N6298" t="n">
        <v>0</v>
      </c>
      <c r="O6298" t="n">
        <v>0</v>
      </c>
      <c r="P6298" t="n">
        <v>0</v>
      </c>
      <c r="Q6298" t="n">
        <v>0</v>
      </c>
      <c r="R6298" s="2" t="inlineStr"/>
    </row>
    <row r="6299" ht="15" customHeight="1">
      <c r="A6299" t="inlineStr">
        <is>
          <t>A 7288-2021</t>
        </is>
      </c>
      <c r="B6299" s="1" t="n">
        <v>44238</v>
      </c>
      <c r="C6299" s="1" t="n">
        <v>45212</v>
      </c>
      <c r="D6299" t="inlineStr">
        <is>
          <t>VÄSTRA GÖTALANDS LÄN</t>
        </is>
      </c>
      <c r="E6299" t="inlineStr">
        <is>
          <t>MARIESTAD</t>
        </is>
      </c>
      <c r="G6299" t="n">
        <v>1.8</v>
      </c>
      <c r="H6299" t="n">
        <v>0</v>
      </c>
      <c r="I6299" t="n">
        <v>0</v>
      </c>
      <c r="J6299" t="n">
        <v>0</v>
      </c>
      <c r="K6299" t="n">
        <v>0</v>
      </c>
      <c r="L6299" t="n">
        <v>0</v>
      </c>
      <c r="M6299" t="n">
        <v>0</v>
      </c>
      <c r="N6299" t="n">
        <v>0</v>
      </c>
      <c r="O6299" t="n">
        <v>0</v>
      </c>
      <c r="P6299" t="n">
        <v>0</v>
      </c>
      <c r="Q6299" t="n">
        <v>0</v>
      </c>
      <c r="R6299" s="2" t="inlineStr"/>
    </row>
    <row r="6300" ht="15" customHeight="1">
      <c r="A6300" t="inlineStr">
        <is>
          <t>A 7308-2021</t>
        </is>
      </c>
      <c r="B6300" s="1" t="n">
        <v>44238</v>
      </c>
      <c r="C6300" s="1" t="n">
        <v>45212</v>
      </c>
      <c r="D6300" t="inlineStr">
        <is>
          <t>VÄSTRA GÖTALANDS LÄN</t>
        </is>
      </c>
      <c r="E6300" t="inlineStr">
        <is>
          <t>MARK</t>
        </is>
      </c>
      <c r="G6300" t="n">
        <v>0.8</v>
      </c>
      <c r="H6300" t="n">
        <v>0</v>
      </c>
      <c r="I6300" t="n">
        <v>0</v>
      </c>
      <c r="J6300" t="n">
        <v>0</v>
      </c>
      <c r="K6300" t="n">
        <v>0</v>
      </c>
      <c r="L6300" t="n">
        <v>0</v>
      </c>
      <c r="M6300" t="n">
        <v>0</v>
      </c>
      <c r="N6300" t="n">
        <v>0</v>
      </c>
      <c r="O6300" t="n">
        <v>0</v>
      </c>
      <c r="P6300" t="n">
        <v>0</v>
      </c>
      <c r="Q6300" t="n">
        <v>0</v>
      </c>
      <c r="R6300" s="2" t="inlineStr"/>
    </row>
    <row r="6301" ht="15" customHeight="1">
      <c r="A6301" t="inlineStr">
        <is>
          <t>A 7402-2021</t>
        </is>
      </c>
      <c r="B6301" s="1" t="n">
        <v>44239</v>
      </c>
      <c r="C6301" s="1" t="n">
        <v>45212</v>
      </c>
      <c r="D6301" t="inlineStr">
        <is>
          <t>VÄSTRA GÖTALANDS LÄN</t>
        </is>
      </c>
      <c r="E6301" t="inlineStr">
        <is>
          <t>SKÖVDE</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7439-2021</t>
        </is>
      </c>
      <c r="B6302" s="1" t="n">
        <v>44239</v>
      </c>
      <c r="C6302" s="1" t="n">
        <v>45212</v>
      </c>
      <c r="D6302" t="inlineStr">
        <is>
          <t>VÄSTRA GÖTALANDS LÄN</t>
        </is>
      </c>
      <c r="E6302" t="inlineStr">
        <is>
          <t>FÄRGELANDA</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7459-2021</t>
        </is>
      </c>
      <c r="B6303" s="1" t="n">
        <v>44239</v>
      </c>
      <c r="C6303" s="1" t="n">
        <v>45212</v>
      </c>
      <c r="D6303" t="inlineStr">
        <is>
          <t>VÄSTRA GÖTALANDS LÄN</t>
        </is>
      </c>
      <c r="E6303" t="inlineStr">
        <is>
          <t>UDDEVALLA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7383-2021</t>
        </is>
      </c>
      <c r="B6304" s="1" t="n">
        <v>44239</v>
      </c>
      <c r="C6304" s="1" t="n">
        <v>45212</v>
      </c>
      <c r="D6304" t="inlineStr">
        <is>
          <t>VÄSTRA GÖTALANDS LÄN</t>
        </is>
      </c>
      <c r="E6304" t="inlineStr">
        <is>
          <t>TROLLHÄTTAN</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7398-2021</t>
        </is>
      </c>
      <c r="B6305" s="1" t="n">
        <v>44239</v>
      </c>
      <c r="C6305" s="1" t="n">
        <v>45212</v>
      </c>
      <c r="D6305" t="inlineStr">
        <is>
          <t>VÄSTRA GÖTALANDS LÄN</t>
        </is>
      </c>
      <c r="E6305" t="inlineStr">
        <is>
          <t>BORÅS</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7559-2021</t>
        </is>
      </c>
      <c r="B6306" s="1" t="n">
        <v>44239</v>
      </c>
      <c r="C6306" s="1" t="n">
        <v>45212</v>
      </c>
      <c r="D6306" t="inlineStr">
        <is>
          <t>VÄSTRA GÖTALANDS LÄN</t>
        </is>
      </c>
      <c r="E6306" t="inlineStr">
        <is>
          <t>LIDKÖPING</t>
        </is>
      </c>
      <c r="F6306" t="inlineStr">
        <is>
          <t>Sveaskog</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7422-2021</t>
        </is>
      </c>
      <c r="B6307" s="1" t="n">
        <v>44239</v>
      </c>
      <c r="C6307" s="1" t="n">
        <v>45212</v>
      </c>
      <c r="D6307" t="inlineStr">
        <is>
          <t>VÄSTRA GÖTALANDS LÄN</t>
        </is>
      </c>
      <c r="E6307" t="inlineStr">
        <is>
          <t>MELLERUD</t>
        </is>
      </c>
      <c r="G6307" t="n">
        <v>0.8</v>
      </c>
      <c r="H6307" t="n">
        <v>0</v>
      </c>
      <c r="I6307" t="n">
        <v>0</v>
      </c>
      <c r="J6307" t="n">
        <v>0</v>
      </c>
      <c r="K6307" t="n">
        <v>0</v>
      </c>
      <c r="L6307" t="n">
        <v>0</v>
      </c>
      <c r="M6307" t="n">
        <v>0</v>
      </c>
      <c r="N6307" t="n">
        <v>0</v>
      </c>
      <c r="O6307" t="n">
        <v>0</v>
      </c>
      <c r="P6307" t="n">
        <v>0</v>
      </c>
      <c r="Q6307" t="n">
        <v>0</v>
      </c>
      <c r="R6307" s="2" t="inlineStr"/>
    </row>
    <row r="6308" ht="15" customHeight="1">
      <c r="A6308" t="inlineStr">
        <is>
          <t>A 7433-2021</t>
        </is>
      </c>
      <c r="B6308" s="1" t="n">
        <v>44239</v>
      </c>
      <c r="C6308" s="1" t="n">
        <v>45212</v>
      </c>
      <c r="D6308" t="inlineStr">
        <is>
          <t>VÄSTRA GÖTALANDS LÄN</t>
        </is>
      </c>
      <c r="E6308" t="inlineStr">
        <is>
          <t>FÄRGELANDA</t>
        </is>
      </c>
      <c r="G6308" t="n">
        <v>4.4</v>
      </c>
      <c r="H6308" t="n">
        <v>0</v>
      </c>
      <c r="I6308" t="n">
        <v>0</v>
      </c>
      <c r="J6308" t="n">
        <v>0</v>
      </c>
      <c r="K6308" t="n">
        <v>0</v>
      </c>
      <c r="L6308" t="n">
        <v>0</v>
      </c>
      <c r="M6308" t="n">
        <v>0</v>
      </c>
      <c r="N6308" t="n">
        <v>0</v>
      </c>
      <c r="O6308" t="n">
        <v>0</v>
      </c>
      <c r="P6308" t="n">
        <v>0</v>
      </c>
      <c r="Q6308" t="n">
        <v>0</v>
      </c>
      <c r="R6308" s="2" t="inlineStr"/>
    </row>
    <row r="6309" ht="15" customHeight="1">
      <c r="A6309" t="inlineStr">
        <is>
          <t>A 7590-2021</t>
        </is>
      </c>
      <c r="B6309" s="1" t="n">
        <v>44241</v>
      </c>
      <c r="C6309" s="1" t="n">
        <v>45212</v>
      </c>
      <c r="D6309" t="inlineStr">
        <is>
          <t>VÄSTRA GÖTALANDS LÄN</t>
        </is>
      </c>
      <c r="E6309" t="inlineStr">
        <is>
          <t>TANUM</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7773-2021</t>
        </is>
      </c>
      <c r="B6310" s="1" t="n">
        <v>44242</v>
      </c>
      <c r="C6310" s="1" t="n">
        <v>45212</v>
      </c>
      <c r="D6310" t="inlineStr">
        <is>
          <t>VÄSTRA GÖTALANDS LÄN</t>
        </is>
      </c>
      <c r="E6310" t="inlineStr">
        <is>
          <t>HERRLJUNGA</t>
        </is>
      </c>
      <c r="G6310" t="n">
        <v>9.9</v>
      </c>
      <c r="H6310" t="n">
        <v>0</v>
      </c>
      <c r="I6310" t="n">
        <v>0</v>
      </c>
      <c r="J6310" t="n">
        <v>0</v>
      </c>
      <c r="K6310" t="n">
        <v>0</v>
      </c>
      <c r="L6310" t="n">
        <v>0</v>
      </c>
      <c r="M6310" t="n">
        <v>0</v>
      </c>
      <c r="N6310" t="n">
        <v>0</v>
      </c>
      <c r="O6310" t="n">
        <v>0</v>
      </c>
      <c r="P6310" t="n">
        <v>0</v>
      </c>
      <c r="Q6310" t="n">
        <v>0</v>
      </c>
      <c r="R6310" s="2" t="inlineStr"/>
    </row>
    <row r="6311" ht="15" customHeight="1">
      <c r="A6311" t="inlineStr">
        <is>
          <t>A 7792-2021</t>
        </is>
      </c>
      <c r="B6311" s="1" t="n">
        <v>44242</v>
      </c>
      <c r="C6311" s="1" t="n">
        <v>45212</v>
      </c>
      <c r="D6311" t="inlineStr">
        <is>
          <t>VÄSTRA GÖTALANDS LÄN</t>
        </is>
      </c>
      <c r="E6311" t="inlineStr">
        <is>
          <t>STRÖMSTAD</t>
        </is>
      </c>
      <c r="G6311" t="n">
        <v>4.9</v>
      </c>
      <c r="H6311" t="n">
        <v>0</v>
      </c>
      <c r="I6311" t="n">
        <v>0</v>
      </c>
      <c r="J6311" t="n">
        <v>0</v>
      </c>
      <c r="K6311" t="n">
        <v>0</v>
      </c>
      <c r="L6311" t="n">
        <v>0</v>
      </c>
      <c r="M6311" t="n">
        <v>0</v>
      </c>
      <c r="N6311" t="n">
        <v>0</v>
      </c>
      <c r="O6311" t="n">
        <v>0</v>
      </c>
      <c r="P6311" t="n">
        <v>0</v>
      </c>
      <c r="Q6311" t="n">
        <v>0</v>
      </c>
      <c r="R6311" s="2" t="inlineStr"/>
    </row>
    <row r="6312" ht="15" customHeight="1">
      <c r="A6312" t="inlineStr">
        <is>
          <t>A 7849-2021</t>
        </is>
      </c>
      <c r="B6312" s="1" t="n">
        <v>44242</v>
      </c>
      <c r="C6312" s="1" t="n">
        <v>45212</v>
      </c>
      <c r="D6312" t="inlineStr">
        <is>
          <t>VÄSTRA GÖTALANDS LÄN</t>
        </is>
      </c>
      <c r="E6312" t="inlineStr">
        <is>
          <t>BENGTSFORS</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7819-2021</t>
        </is>
      </c>
      <c r="B6313" s="1" t="n">
        <v>44242</v>
      </c>
      <c r="C6313" s="1" t="n">
        <v>45212</v>
      </c>
      <c r="D6313" t="inlineStr">
        <is>
          <t>VÄSTRA GÖTALANDS LÄN</t>
        </is>
      </c>
      <c r="E6313" t="inlineStr">
        <is>
          <t>FÄRGELANDA</t>
        </is>
      </c>
      <c r="G6313" t="n">
        <v>13.4</v>
      </c>
      <c r="H6313" t="n">
        <v>0</v>
      </c>
      <c r="I6313" t="n">
        <v>0</v>
      </c>
      <c r="J6313" t="n">
        <v>0</v>
      </c>
      <c r="K6313" t="n">
        <v>0</v>
      </c>
      <c r="L6313" t="n">
        <v>0</v>
      </c>
      <c r="M6313" t="n">
        <v>0</v>
      </c>
      <c r="N6313" t="n">
        <v>0</v>
      </c>
      <c r="O6313" t="n">
        <v>0</v>
      </c>
      <c r="P6313" t="n">
        <v>0</v>
      </c>
      <c r="Q6313" t="n">
        <v>0</v>
      </c>
      <c r="R6313" s="2" t="inlineStr"/>
    </row>
    <row r="6314" ht="15" customHeight="1">
      <c r="A6314" t="inlineStr">
        <is>
          <t>A 7832-2021</t>
        </is>
      </c>
      <c r="B6314" s="1" t="n">
        <v>44242</v>
      </c>
      <c r="C6314" s="1" t="n">
        <v>45212</v>
      </c>
      <c r="D6314" t="inlineStr">
        <is>
          <t>VÄSTRA GÖTALANDS LÄN</t>
        </is>
      </c>
      <c r="E6314" t="inlineStr">
        <is>
          <t>LILLA EDET</t>
        </is>
      </c>
      <c r="G6314" t="n">
        <v>3.5</v>
      </c>
      <c r="H6314" t="n">
        <v>0</v>
      </c>
      <c r="I6314" t="n">
        <v>0</v>
      </c>
      <c r="J6314" t="n">
        <v>0</v>
      </c>
      <c r="K6314" t="n">
        <v>0</v>
      </c>
      <c r="L6314" t="n">
        <v>0</v>
      </c>
      <c r="M6314" t="n">
        <v>0</v>
      </c>
      <c r="N6314" t="n">
        <v>0</v>
      </c>
      <c r="O6314" t="n">
        <v>0</v>
      </c>
      <c r="P6314" t="n">
        <v>0</v>
      </c>
      <c r="Q6314" t="n">
        <v>0</v>
      </c>
      <c r="R6314" s="2" t="inlineStr"/>
    </row>
    <row r="6315" ht="15" customHeight="1">
      <c r="A6315" t="inlineStr">
        <is>
          <t>A 7627-2021</t>
        </is>
      </c>
      <c r="B6315" s="1" t="n">
        <v>44242</v>
      </c>
      <c r="C6315" s="1" t="n">
        <v>45212</v>
      </c>
      <c r="D6315" t="inlineStr">
        <is>
          <t>VÄSTRA GÖTALANDS LÄN</t>
        </is>
      </c>
      <c r="E6315" t="inlineStr">
        <is>
          <t>ÅMÅL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7652-2021</t>
        </is>
      </c>
      <c r="B6316" s="1" t="n">
        <v>44242</v>
      </c>
      <c r="C6316" s="1" t="n">
        <v>45212</v>
      </c>
      <c r="D6316" t="inlineStr">
        <is>
          <t>VÄSTRA GÖTALANDS LÄN</t>
        </is>
      </c>
      <c r="E6316" t="inlineStr">
        <is>
          <t>ALINGSÅS</t>
        </is>
      </c>
      <c r="G6316" t="n">
        <v>24.7</v>
      </c>
      <c r="H6316" t="n">
        <v>0</v>
      </c>
      <c r="I6316" t="n">
        <v>0</v>
      </c>
      <c r="J6316" t="n">
        <v>0</v>
      </c>
      <c r="K6316" t="n">
        <v>0</v>
      </c>
      <c r="L6316" t="n">
        <v>0</v>
      </c>
      <c r="M6316" t="n">
        <v>0</v>
      </c>
      <c r="N6316" t="n">
        <v>0</v>
      </c>
      <c r="O6316" t="n">
        <v>0</v>
      </c>
      <c r="P6316" t="n">
        <v>0</v>
      </c>
      <c r="Q6316" t="n">
        <v>0</v>
      </c>
      <c r="R6316" s="2" t="inlineStr"/>
    </row>
    <row r="6317" ht="15" customHeight="1">
      <c r="A6317" t="inlineStr">
        <is>
          <t>A 7748-2021</t>
        </is>
      </c>
      <c r="B6317" s="1" t="n">
        <v>44242</v>
      </c>
      <c r="C6317" s="1" t="n">
        <v>45212</v>
      </c>
      <c r="D6317" t="inlineStr">
        <is>
          <t>VÄSTRA GÖTALANDS LÄN</t>
        </is>
      </c>
      <c r="E6317" t="inlineStr">
        <is>
          <t>TANUM</t>
        </is>
      </c>
      <c r="G6317" t="n">
        <v>3.4</v>
      </c>
      <c r="H6317" t="n">
        <v>0</v>
      </c>
      <c r="I6317" t="n">
        <v>0</v>
      </c>
      <c r="J6317" t="n">
        <v>0</v>
      </c>
      <c r="K6317" t="n">
        <v>0</v>
      </c>
      <c r="L6317" t="n">
        <v>0</v>
      </c>
      <c r="M6317" t="n">
        <v>0</v>
      </c>
      <c r="N6317" t="n">
        <v>0</v>
      </c>
      <c r="O6317" t="n">
        <v>0</v>
      </c>
      <c r="P6317" t="n">
        <v>0</v>
      </c>
      <c r="Q6317" t="n">
        <v>0</v>
      </c>
      <c r="R6317" s="2" t="inlineStr"/>
    </row>
    <row r="6318" ht="15" customHeight="1">
      <c r="A6318" t="inlineStr">
        <is>
          <t>A 7769-2021</t>
        </is>
      </c>
      <c r="B6318" s="1" t="n">
        <v>44242</v>
      </c>
      <c r="C6318" s="1" t="n">
        <v>45212</v>
      </c>
      <c r="D6318" t="inlineStr">
        <is>
          <t>VÄSTRA GÖTALANDS LÄN</t>
        </is>
      </c>
      <c r="E6318" t="inlineStr">
        <is>
          <t>HERRLJUNGA</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7806-2021</t>
        </is>
      </c>
      <c r="B6319" s="1" t="n">
        <v>44242</v>
      </c>
      <c r="C6319" s="1" t="n">
        <v>45212</v>
      </c>
      <c r="D6319" t="inlineStr">
        <is>
          <t>VÄSTRA GÖTALANDS LÄN</t>
        </is>
      </c>
      <c r="E6319" t="inlineStr">
        <is>
          <t>FÄRGELANDA</t>
        </is>
      </c>
      <c r="G6319" t="n">
        <v>9.4</v>
      </c>
      <c r="H6319" t="n">
        <v>0</v>
      </c>
      <c r="I6319" t="n">
        <v>0</v>
      </c>
      <c r="J6319" t="n">
        <v>0</v>
      </c>
      <c r="K6319" t="n">
        <v>0</v>
      </c>
      <c r="L6319" t="n">
        <v>0</v>
      </c>
      <c r="M6319" t="n">
        <v>0</v>
      </c>
      <c r="N6319" t="n">
        <v>0</v>
      </c>
      <c r="O6319" t="n">
        <v>0</v>
      </c>
      <c r="P6319" t="n">
        <v>0</v>
      </c>
      <c r="Q6319" t="n">
        <v>0</v>
      </c>
      <c r="R6319" s="2" t="inlineStr"/>
    </row>
    <row r="6320" ht="15" customHeight="1">
      <c r="A6320" t="inlineStr">
        <is>
          <t>A 8093-2021</t>
        </is>
      </c>
      <c r="B6320" s="1" t="n">
        <v>44242</v>
      </c>
      <c r="C6320" s="1" t="n">
        <v>45212</v>
      </c>
      <c r="D6320" t="inlineStr">
        <is>
          <t>VÄSTRA GÖTALANDS LÄN</t>
        </is>
      </c>
      <c r="E6320" t="inlineStr">
        <is>
          <t>MUNKEDAL</t>
        </is>
      </c>
      <c r="F6320" t="inlineStr">
        <is>
          <t>Övriga Aktiebolag</t>
        </is>
      </c>
      <c r="G6320" t="n">
        <v>10.9</v>
      </c>
      <c r="H6320" t="n">
        <v>0</v>
      </c>
      <c r="I6320" t="n">
        <v>0</v>
      </c>
      <c r="J6320" t="n">
        <v>0</v>
      </c>
      <c r="K6320" t="n">
        <v>0</v>
      </c>
      <c r="L6320" t="n">
        <v>0</v>
      </c>
      <c r="M6320" t="n">
        <v>0</v>
      </c>
      <c r="N6320" t="n">
        <v>0</v>
      </c>
      <c r="O6320" t="n">
        <v>0</v>
      </c>
      <c r="P6320" t="n">
        <v>0</v>
      </c>
      <c r="Q6320" t="n">
        <v>0</v>
      </c>
      <c r="R6320" s="2" t="inlineStr"/>
    </row>
    <row r="6321" ht="15" customHeight="1">
      <c r="A6321" t="inlineStr">
        <is>
          <t>A 7641-2021</t>
        </is>
      </c>
      <c r="B6321" s="1" t="n">
        <v>44242</v>
      </c>
      <c r="C6321" s="1" t="n">
        <v>45212</v>
      </c>
      <c r="D6321" t="inlineStr">
        <is>
          <t>VÄSTRA GÖTALANDS LÄN</t>
        </is>
      </c>
      <c r="E6321" t="inlineStr">
        <is>
          <t>SVENLJUNGA</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7802-2021</t>
        </is>
      </c>
      <c r="B6322" s="1" t="n">
        <v>44242</v>
      </c>
      <c r="C6322" s="1" t="n">
        <v>45212</v>
      </c>
      <c r="D6322" t="inlineStr">
        <is>
          <t>VÄSTRA GÖTALANDS LÄN</t>
        </is>
      </c>
      <c r="E6322" t="inlineStr">
        <is>
          <t>FÄRGELANDA</t>
        </is>
      </c>
      <c r="G6322" t="n">
        <v>11.9</v>
      </c>
      <c r="H6322" t="n">
        <v>0</v>
      </c>
      <c r="I6322" t="n">
        <v>0</v>
      </c>
      <c r="J6322" t="n">
        <v>0</v>
      </c>
      <c r="K6322" t="n">
        <v>0</v>
      </c>
      <c r="L6322" t="n">
        <v>0</v>
      </c>
      <c r="M6322" t="n">
        <v>0</v>
      </c>
      <c r="N6322" t="n">
        <v>0</v>
      </c>
      <c r="O6322" t="n">
        <v>0</v>
      </c>
      <c r="P6322" t="n">
        <v>0</v>
      </c>
      <c r="Q6322" t="n">
        <v>0</v>
      </c>
      <c r="R6322" s="2" t="inlineStr"/>
    </row>
    <row r="6323" ht="15" customHeight="1">
      <c r="A6323" t="inlineStr">
        <is>
          <t>A 7824-2021</t>
        </is>
      </c>
      <c r="B6323" s="1" t="n">
        <v>44242</v>
      </c>
      <c r="C6323" s="1" t="n">
        <v>45212</v>
      </c>
      <c r="D6323" t="inlineStr">
        <is>
          <t>VÄSTRA GÖTALANDS LÄN</t>
        </is>
      </c>
      <c r="E6323" t="inlineStr">
        <is>
          <t>VÅRGÅRDA</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8001-2021</t>
        </is>
      </c>
      <c r="B6324" s="1" t="n">
        <v>44243</v>
      </c>
      <c r="C6324" s="1" t="n">
        <v>45212</v>
      </c>
      <c r="D6324" t="inlineStr">
        <is>
          <t>VÄSTRA GÖTALANDS LÄN</t>
        </is>
      </c>
      <c r="E6324" t="inlineStr">
        <is>
          <t>HÄRRYDA</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8299-2021</t>
        </is>
      </c>
      <c r="B6325" s="1" t="n">
        <v>44243</v>
      </c>
      <c r="C6325" s="1" t="n">
        <v>45212</v>
      </c>
      <c r="D6325" t="inlineStr">
        <is>
          <t>VÄSTRA GÖTALANDS LÄN</t>
        </is>
      </c>
      <c r="E6325" t="inlineStr">
        <is>
          <t>GULLSPÅNG</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8004-2021</t>
        </is>
      </c>
      <c r="B6326" s="1" t="n">
        <v>44243</v>
      </c>
      <c r="C6326" s="1" t="n">
        <v>45212</v>
      </c>
      <c r="D6326" t="inlineStr">
        <is>
          <t>VÄSTRA GÖTALANDS LÄN</t>
        </is>
      </c>
      <c r="E6326" t="inlineStr">
        <is>
          <t>MARIESTAD</t>
        </is>
      </c>
      <c r="G6326" t="n">
        <v>2</v>
      </c>
      <c r="H6326" t="n">
        <v>0</v>
      </c>
      <c r="I6326" t="n">
        <v>0</v>
      </c>
      <c r="J6326" t="n">
        <v>0</v>
      </c>
      <c r="K6326" t="n">
        <v>0</v>
      </c>
      <c r="L6326" t="n">
        <v>0</v>
      </c>
      <c r="M6326" t="n">
        <v>0</v>
      </c>
      <c r="N6326" t="n">
        <v>0</v>
      </c>
      <c r="O6326" t="n">
        <v>0</v>
      </c>
      <c r="P6326" t="n">
        <v>0</v>
      </c>
      <c r="Q6326" t="n">
        <v>0</v>
      </c>
      <c r="R6326" s="2" t="inlineStr"/>
    </row>
    <row r="6327" ht="15" customHeight="1">
      <c r="A6327" t="inlineStr">
        <is>
          <t>A 8028-2021</t>
        </is>
      </c>
      <c r="B6327" s="1" t="n">
        <v>44243</v>
      </c>
      <c r="C6327" s="1" t="n">
        <v>45212</v>
      </c>
      <c r="D6327" t="inlineStr">
        <is>
          <t>VÄSTRA GÖTALANDS LÄN</t>
        </is>
      </c>
      <c r="E6327" t="inlineStr">
        <is>
          <t>VÅRGÅRDA</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8124-2021</t>
        </is>
      </c>
      <c r="B6328" s="1" t="n">
        <v>44243</v>
      </c>
      <c r="C6328" s="1" t="n">
        <v>45212</v>
      </c>
      <c r="D6328" t="inlineStr">
        <is>
          <t>VÄSTRA GÖTALANDS LÄN</t>
        </is>
      </c>
      <c r="E6328" t="inlineStr">
        <is>
          <t>GÖTENE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7991-2021</t>
        </is>
      </c>
      <c r="B6329" s="1" t="n">
        <v>44243</v>
      </c>
      <c r="C6329" s="1" t="n">
        <v>45212</v>
      </c>
      <c r="D6329" t="inlineStr">
        <is>
          <t>VÄSTRA GÖTALANDS LÄN</t>
        </is>
      </c>
      <c r="E6329" t="inlineStr">
        <is>
          <t>ALINGSÅS</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8053-2021</t>
        </is>
      </c>
      <c r="B6330" s="1" t="n">
        <v>44243</v>
      </c>
      <c r="C6330" s="1" t="n">
        <v>45212</v>
      </c>
      <c r="D6330" t="inlineStr">
        <is>
          <t>VÄSTRA GÖTALANDS LÄN</t>
        </is>
      </c>
      <c r="E6330" t="inlineStr">
        <is>
          <t>LIDKÖPING</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8127-2021</t>
        </is>
      </c>
      <c r="B6331" s="1" t="n">
        <v>44243</v>
      </c>
      <c r="C6331" s="1" t="n">
        <v>45212</v>
      </c>
      <c r="D6331" t="inlineStr">
        <is>
          <t>VÄSTRA GÖTALANDS LÄN</t>
        </is>
      </c>
      <c r="E6331" t="inlineStr">
        <is>
          <t>GÖTENE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8011-2021</t>
        </is>
      </c>
      <c r="B6332" s="1" t="n">
        <v>44243</v>
      </c>
      <c r="C6332" s="1" t="n">
        <v>45212</v>
      </c>
      <c r="D6332" t="inlineStr">
        <is>
          <t>VÄSTRA GÖTALANDS LÄN</t>
        </is>
      </c>
      <c r="E6332" t="inlineStr">
        <is>
          <t>ALINGSÅS</t>
        </is>
      </c>
      <c r="F6332" t="inlineStr">
        <is>
          <t>Kyrkan</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8372-2021</t>
        </is>
      </c>
      <c r="B6333" s="1" t="n">
        <v>44245</v>
      </c>
      <c r="C6333" s="1" t="n">
        <v>45212</v>
      </c>
      <c r="D6333" t="inlineStr">
        <is>
          <t>VÄSTRA GÖTALANDS LÄN</t>
        </is>
      </c>
      <c r="E6333" t="inlineStr">
        <is>
          <t>BORÅS</t>
        </is>
      </c>
      <c r="G6333" t="n">
        <v>2</v>
      </c>
      <c r="H6333" t="n">
        <v>0</v>
      </c>
      <c r="I6333" t="n">
        <v>0</v>
      </c>
      <c r="J6333" t="n">
        <v>0</v>
      </c>
      <c r="K6333" t="n">
        <v>0</v>
      </c>
      <c r="L6333" t="n">
        <v>0</v>
      </c>
      <c r="M6333" t="n">
        <v>0</v>
      </c>
      <c r="N6333" t="n">
        <v>0</v>
      </c>
      <c r="O6333" t="n">
        <v>0</v>
      </c>
      <c r="P6333" t="n">
        <v>0</v>
      </c>
      <c r="Q6333" t="n">
        <v>0</v>
      </c>
      <c r="R6333" s="2" t="inlineStr"/>
    </row>
    <row r="6334" ht="15" customHeight="1">
      <c r="A6334" t="inlineStr">
        <is>
          <t>A 8466-2021</t>
        </is>
      </c>
      <c r="B6334" s="1" t="n">
        <v>44245</v>
      </c>
      <c r="C6334" s="1" t="n">
        <v>45212</v>
      </c>
      <c r="D6334" t="inlineStr">
        <is>
          <t>VÄSTRA GÖTALANDS LÄN</t>
        </is>
      </c>
      <c r="E6334" t="inlineStr">
        <is>
          <t>SKARA</t>
        </is>
      </c>
      <c r="G6334" t="n">
        <v>0.3</v>
      </c>
      <c r="H6334" t="n">
        <v>0</v>
      </c>
      <c r="I6334" t="n">
        <v>0</v>
      </c>
      <c r="J6334" t="n">
        <v>0</v>
      </c>
      <c r="K6334" t="n">
        <v>0</v>
      </c>
      <c r="L6334" t="n">
        <v>0</v>
      </c>
      <c r="M6334" t="n">
        <v>0</v>
      </c>
      <c r="N6334" t="n">
        <v>0</v>
      </c>
      <c r="O6334" t="n">
        <v>0</v>
      </c>
      <c r="P6334" t="n">
        <v>0</v>
      </c>
      <c r="Q6334" t="n">
        <v>0</v>
      </c>
      <c r="R6334" s="2" t="inlineStr"/>
    </row>
    <row r="6335" ht="15" customHeight="1">
      <c r="A6335" t="inlineStr">
        <is>
          <t>A 8479-2021</t>
        </is>
      </c>
      <c r="B6335" s="1" t="n">
        <v>44245</v>
      </c>
      <c r="C6335" s="1" t="n">
        <v>45212</v>
      </c>
      <c r="D6335" t="inlineStr">
        <is>
          <t>VÄSTRA GÖTALANDS LÄN</t>
        </is>
      </c>
      <c r="E6335" t="inlineStr">
        <is>
          <t>ÅMÅL</t>
        </is>
      </c>
      <c r="G6335" t="n">
        <v>3.7</v>
      </c>
      <c r="H6335" t="n">
        <v>0</v>
      </c>
      <c r="I6335" t="n">
        <v>0</v>
      </c>
      <c r="J6335" t="n">
        <v>0</v>
      </c>
      <c r="K6335" t="n">
        <v>0</v>
      </c>
      <c r="L6335" t="n">
        <v>0</v>
      </c>
      <c r="M6335" t="n">
        <v>0</v>
      </c>
      <c r="N6335" t="n">
        <v>0</v>
      </c>
      <c r="O6335" t="n">
        <v>0</v>
      </c>
      <c r="P6335" t="n">
        <v>0</v>
      </c>
      <c r="Q6335" t="n">
        <v>0</v>
      </c>
      <c r="R6335" s="2" t="inlineStr"/>
    </row>
    <row r="6336" ht="15" customHeight="1">
      <c r="A6336" t="inlineStr">
        <is>
          <t>A 8412-2021</t>
        </is>
      </c>
      <c r="B6336" s="1" t="n">
        <v>44245</v>
      </c>
      <c r="C6336" s="1" t="n">
        <v>45212</v>
      </c>
      <c r="D6336" t="inlineStr">
        <is>
          <t>VÄSTRA GÖTALANDS LÄN</t>
        </is>
      </c>
      <c r="E6336" t="inlineStr">
        <is>
          <t>BENGTSFORS</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8429-2021</t>
        </is>
      </c>
      <c r="B6337" s="1" t="n">
        <v>44245</v>
      </c>
      <c r="C6337" s="1" t="n">
        <v>45212</v>
      </c>
      <c r="D6337" t="inlineStr">
        <is>
          <t>VÄSTRA GÖTALANDS LÄN</t>
        </is>
      </c>
      <c r="E6337" t="inlineStr">
        <is>
          <t>ULRICEHAMN</t>
        </is>
      </c>
      <c r="G6337" t="n">
        <v>4.3</v>
      </c>
      <c r="H6337" t="n">
        <v>0</v>
      </c>
      <c r="I6337" t="n">
        <v>0</v>
      </c>
      <c r="J6337" t="n">
        <v>0</v>
      </c>
      <c r="K6337" t="n">
        <v>0</v>
      </c>
      <c r="L6337" t="n">
        <v>0</v>
      </c>
      <c r="M6337" t="n">
        <v>0</v>
      </c>
      <c r="N6337" t="n">
        <v>0</v>
      </c>
      <c r="O6337" t="n">
        <v>0</v>
      </c>
      <c r="P6337" t="n">
        <v>0</v>
      </c>
      <c r="Q6337" t="n">
        <v>0</v>
      </c>
      <c r="R6337" s="2" t="inlineStr"/>
    </row>
    <row r="6338" ht="15" customHeight="1">
      <c r="A6338" t="inlineStr">
        <is>
          <t>A 8546-2021</t>
        </is>
      </c>
      <c r="B6338" s="1" t="n">
        <v>44245</v>
      </c>
      <c r="C6338" s="1" t="n">
        <v>45212</v>
      </c>
      <c r="D6338" t="inlineStr">
        <is>
          <t>VÄSTRA GÖTALANDS LÄN</t>
        </is>
      </c>
      <c r="E6338" t="inlineStr">
        <is>
          <t>MARK</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8407-2021</t>
        </is>
      </c>
      <c r="B6339" s="1" t="n">
        <v>44245</v>
      </c>
      <c r="C6339" s="1" t="n">
        <v>45212</v>
      </c>
      <c r="D6339" t="inlineStr">
        <is>
          <t>VÄSTRA GÖTALANDS LÄN</t>
        </is>
      </c>
      <c r="E6339" t="inlineStr">
        <is>
          <t>BENGTSFORS</t>
        </is>
      </c>
      <c r="G6339" t="n">
        <v>6.1</v>
      </c>
      <c r="H6339" t="n">
        <v>0</v>
      </c>
      <c r="I6339" t="n">
        <v>0</v>
      </c>
      <c r="J6339" t="n">
        <v>0</v>
      </c>
      <c r="K6339" t="n">
        <v>0</v>
      </c>
      <c r="L6339" t="n">
        <v>0</v>
      </c>
      <c r="M6339" t="n">
        <v>0</v>
      </c>
      <c r="N6339" t="n">
        <v>0</v>
      </c>
      <c r="O6339" t="n">
        <v>0</v>
      </c>
      <c r="P6339" t="n">
        <v>0</v>
      </c>
      <c r="Q6339" t="n">
        <v>0</v>
      </c>
      <c r="R6339" s="2" t="inlineStr"/>
    </row>
    <row r="6340" ht="15" customHeight="1">
      <c r="A6340" t="inlineStr">
        <is>
          <t>A 8663-2021</t>
        </is>
      </c>
      <c r="B6340" s="1" t="n">
        <v>44245</v>
      </c>
      <c r="C6340" s="1" t="n">
        <v>45212</v>
      </c>
      <c r="D6340" t="inlineStr">
        <is>
          <t>VÄSTRA GÖTALANDS LÄN</t>
        </is>
      </c>
      <c r="E6340" t="inlineStr">
        <is>
          <t>BENGTSFORS</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8712-2021</t>
        </is>
      </c>
      <c r="B6341" s="1" t="n">
        <v>44246</v>
      </c>
      <c r="C6341" s="1" t="n">
        <v>45212</v>
      </c>
      <c r="D6341" t="inlineStr">
        <is>
          <t>VÄSTRA GÖTALANDS LÄN</t>
        </is>
      </c>
      <c r="E6341" t="inlineStr">
        <is>
          <t>BORÅS</t>
        </is>
      </c>
      <c r="G6341" t="n">
        <v>0.9</v>
      </c>
      <c r="H6341" t="n">
        <v>0</v>
      </c>
      <c r="I6341" t="n">
        <v>0</v>
      </c>
      <c r="J6341" t="n">
        <v>0</v>
      </c>
      <c r="K6341" t="n">
        <v>0</v>
      </c>
      <c r="L6341" t="n">
        <v>0</v>
      </c>
      <c r="M6341" t="n">
        <v>0</v>
      </c>
      <c r="N6341" t="n">
        <v>0</v>
      </c>
      <c r="O6341" t="n">
        <v>0</v>
      </c>
      <c r="P6341" t="n">
        <v>0</v>
      </c>
      <c r="Q6341" t="n">
        <v>0</v>
      </c>
      <c r="R6341" s="2" t="inlineStr"/>
    </row>
    <row r="6342" ht="15" customHeight="1">
      <c r="A6342" t="inlineStr">
        <is>
          <t>A 8659-2021</t>
        </is>
      </c>
      <c r="B6342" s="1" t="n">
        <v>44246</v>
      </c>
      <c r="C6342" s="1" t="n">
        <v>45212</v>
      </c>
      <c r="D6342" t="inlineStr">
        <is>
          <t>VÄSTRA GÖTALANDS LÄN</t>
        </is>
      </c>
      <c r="E6342" t="inlineStr">
        <is>
          <t>HERRLJUNGA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8789-2021</t>
        </is>
      </c>
      <c r="B6343" s="1" t="n">
        <v>44246</v>
      </c>
      <c r="C6343" s="1" t="n">
        <v>45212</v>
      </c>
      <c r="D6343" t="inlineStr">
        <is>
          <t>VÄSTRA GÖTALANDS LÄN</t>
        </is>
      </c>
      <c r="E6343" t="inlineStr">
        <is>
          <t>LIDKÖPING</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8913-2021</t>
        </is>
      </c>
      <c r="B6344" s="1" t="n">
        <v>44246</v>
      </c>
      <c r="C6344" s="1" t="n">
        <v>45212</v>
      </c>
      <c r="D6344" t="inlineStr">
        <is>
          <t>VÄSTRA GÖTALANDS LÄN</t>
        </is>
      </c>
      <c r="E6344" t="inlineStr">
        <is>
          <t>MUNKEDAL</t>
        </is>
      </c>
      <c r="F6344" t="inlineStr">
        <is>
          <t>Övriga Aktiebolag</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8884-2021</t>
        </is>
      </c>
      <c r="B6345" s="1" t="n">
        <v>44247</v>
      </c>
      <c r="C6345" s="1" t="n">
        <v>45212</v>
      </c>
      <c r="D6345" t="inlineStr">
        <is>
          <t>VÄSTRA GÖTALANDS LÄN</t>
        </is>
      </c>
      <c r="E6345" t="inlineStr">
        <is>
          <t>BENGTSFORS</t>
        </is>
      </c>
      <c r="G6345" t="n">
        <v>0.4</v>
      </c>
      <c r="H6345" t="n">
        <v>0</v>
      </c>
      <c r="I6345" t="n">
        <v>0</v>
      </c>
      <c r="J6345" t="n">
        <v>0</v>
      </c>
      <c r="K6345" t="n">
        <v>0</v>
      </c>
      <c r="L6345" t="n">
        <v>0</v>
      </c>
      <c r="M6345" t="n">
        <v>0</v>
      </c>
      <c r="N6345" t="n">
        <v>0</v>
      </c>
      <c r="O6345" t="n">
        <v>0</v>
      </c>
      <c r="P6345" t="n">
        <v>0</v>
      </c>
      <c r="Q6345" t="n">
        <v>0</v>
      </c>
      <c r="R6345" s="2" t="inlineStr"/>
    </row>
    <row r="6346" ht="15" customHeight="1">
      <c r="A6346" t="inlineStr">
        <is>
          <t>A 9106-2021</t>
        </is>
      </c>
      <c r="B6346" s="1" t="n">
        <v>44249</v>
      </c>
      <c r="C6346" s="1" t="n">
        <v>45212</v>
      </c>
      <c r="D6346" t="inlineStr">
        <is>
          <t>VÄSTRA GÖTALANDS LÄN</t>
        </is>
      </c>
      <c r="E6346" t="inlineStr">
        <is>
          <t>TIDAHOLM</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8923-2021</t>
        </is>
      </c>
      <c r="B6347" s="1" t="n">
        <v>44249</v>
      </c>
      <c r="C6347" s="1" t="n">
        <v>45212</v>
      </c>
      <c r="D6347" t="inlineStr">
        <is>
          <t>VÄSTRA GÖTALANDS LÄN</t>
        </is>
      </c>
      <c r="E6347" t="inlineStr">
        <is>
          <t>MARK</t>
        </is>
      </c>
      <c r="G6347" t="n">
        <v>3.5</v>
      </c>
      <c r="H6347" t="n">
        <v>0</v>
      </c>
      <c r="I6347" t="n">
        <v>0</v>
      </c>
      <c r="J6347" t="n">
        <v>0</v>
      </c>
      <c r="K6347" t="n">
        <v>0</v>
      </c>
      <c r="L6347" t="n">
        <v>0</v>
      </c>
      <c r="M6347" t="n">
        <v>0</v>
      </c>
      <c r="N6347" t="n">
        <v>0</v>
      </c>
      <c r="O6347" t="n">
        <v>0</v>
      </c>
      <c r="P6347" t="n">
        <v>0</v>
      </c>
      <c r="Q6347" t="n">
        <v>0</v>
      </c>
      <c r="R6347" s="2" t="inlineStr"/>
    </row>
    <row r="6348" ht="15" customHeight="1">
      <c r="A6348" t="inlineStr">
        <is>
          <t>A 8988-2021</t>
        </is>
      </c>
      <c r="B6348" s="1" t="n">
        <v>44249</v>
      </c>
      <c r="C6348" s="1" t="n">
        <v>45212</v>
      </c>
      <c r="D6348" t="inlineStr">
        <is>
          <t>VÄSTRA GÖTALANDS LÄN</t>
        </is>
      </c>
      <c r="E6348" t="inlineStr">
        <is>
          <t>TANUM</t>
        </is>
      </c>
      <c r="G6348" t="n">
        <v>10.2</v>
      </c>
      <c r="H6348" t="n">
        <v>0</v>
      </c>
      <c r="I6348" t="n">
        <v>0</v>
      </c>
      <c r="J6348" t="n">
        <v>0</v>
      </c>
      <c r="K6348" t="n">
        <v>0</v>
      </c>
      <c r="L6348" t="n">
        <v>0</v>
      </c>
      <c r="M6348" t="n">
        <v>0</v>
      </c>
      <c r="N6348" t="n">
        <v>0</v>
      </c>
      <c r="O6348" t="n">
        <v>0</v>
      </c>
      <c r="P6348" t="n">
        <v>0</v>
      </c>
      <c r="Q6348" t="n">
        <v>0</v>
      </c>
      <c r="R6348" s="2" t="inlineStr"/>
    </row>
    <row r="6349" ht="15" customHeight="1">
      <c r="A6349" t="inlineStr">
        <is>
          <t>A 9099-2021</t>
        </is>
      </c>
      <c r="B6349" s="1" t="n">
        <v>44249</v>
      </c>
      <c r="C6349" s="1" t="n">
        <v>45212</v>
      </c>
      <c r="D6349" t="inlineStr">
        <is>
          <t>VÄSTRA GÖTALANDS LÄN</t>
        </is>
      </c>
      <c r="E6349" t="inlineStr">
        <is>
          <t>BENGTSFORS</t>
        </is>
      </c>
      <c r="F6349" t="inlineStr">
        <is>
          <t>Övriga Aktiebolag</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9030-2021</t>
        </is>
      </c>
      <c r="B6350" s="1" t="n">
        <v>44249</v>
      </c>
      <c r="C6350" s="1" t="n">
        <v>45212</v>
      </c>
      <c r="D6350" t="inlineStr">
        <is>
          <t>VÄSTRA GÖTALANDS LÄN</t>
        </is>
      </c>
      <c r="E6350" t="inlineStr">
        <is>
          <t>BENGTSFORS</t>
        </is>
      </c>
      <c r="G6350" t="n">
        <v>8.699999999999999</v>
      </c>
      <c r="H6350" t="n">
        <v>0</v>
      </c>
      <c r="I6350" t="n">
        <v>0</v>
      </c>
      <c r="J6350" t="n">
        <v>0</v>
      </c>
      <c r="K6350" t="n">
        <v>0</v>
      </c>
      <c r="L6350" t="n">
        <v>0</v>
      </c>
      <c r="M6350" t="n">
        <v>0</v>
      </c>
      <c r="N6350" t="n">
        <v>0</v>
      </c>
      <c r="O6350" t="n">
        <v>0</v>
      </c>
      <c r="P6350" t="n">
        <v>0</v>
      </c>
      <c r="Q6350" t="n">
        <v>0</v>
      </c>
      <c r="R6350" s="2" t="inlineStr"/>
    </row>
    <row r="6351" ht="15" customHeight="1">
      <c r="A6351" t="inlineStr">
        <is>
          <t>A 9084-2021</t>
        </is>
      </c>
      <c r="B6351" s="1" t="n">
        <v>44249</v>
      </c>
      <c r="C6351" s="1" t="n">
        <v>45212</v>
      </c>
      <c r="D6351" t="inlineStr">
        <is>
          <t>VÄSTRA GÖTALANDS LÄN</t>
        </is>
      </c>
      <c r="E6351" t="inlineStr">
        <is>
          <t>DALS-ED</t>
        </is>
      </c>
      <c r="F6351" t="inlineStr">
        <is>
          <t>Övriga Aktiebolag</t>
        </is>
      </c>
      <c r="G6351" t="n">
        <v>3.8</v>
      </c>
      <c r="H6351" t="n">
        <v>0</v>
      </c>
      <c r="I6351" t="n">
        <v>0</v>
      </c>
      <c r="J6351" t="n">
        <v>0</v>
      </c>
      <c r="K6351" t="n">
        <v>0</v>
      </c>
      <c r="L6351" t="n">
        <v>0</v>
      </c>
      <c r="M6351" t="n">
        <v>0</v>
      </c>
      <c r="N6351" t="n">
        <v>0</v>
      </c>
      <c r="O6351" t="n">
        <v>0</v>
      </c>
      <c r="P6351" t="n">
        <v>0</v>
      </c>
      <c r="Q6351" t="n">
        <v>0</v>
      </c>
      <c r="R6351" s="2" t="inlineStr"/>
    </row>
    <row r="6352" ht="15" customHeight="1">
      <c r="A6352" t="inlineStr">
        <is>
          <t>A 9186-2021</t>
        </is>
      </c>
      <c r="B6352" s="1" t="n">
        <v>44250</v>
      </c>
      <c r="C6352" s="1" t="n">
        <v>45212</v>
      </c>
      <c r="D6352" t="inlineStr">
        <is>
          <t>VÄSTRA GÖTALANDS LÄN</t>
        </is>
      </c>
      <c r="E6352" t="inlineStr">
        <is>
          <t>GULLSPÅNG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9239-2021</t>
        </is>
      </c>
      <c r="B6353" s="1" t="n">
        <v>44250</v>
      </c>
      <c r="C6353" s="1" t="n">
        <v>45212</v>
      </c>
      <c r="D6353" t="inlineStr">
        <is>
          <t>VÄSTRA GÖTALANDS LÄN</t>
        </is>
      </c>
      <c r="E6353" t="inlineStr">
        <is>
          <t>SVENLJUNGA</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9249-2021</t>
        </is>
      </c>
      <c r="B6354" s="1" t="n">
        <v>44250</v>
      </c>
      <c r="C6354" s="1" t="n">
        <v>45212</v>
      </c>
      <c r="D6354" t="inlineStr">
        <is>
          <t>VÄSTRA GÖTALANDS LÄN</t>
        </is>
      </c>
      <c r="E6354" t="inlineStr">
        <is>
          <t>SVENLJUNGA</t>
        </is>
      </c>
      <c r="G6354" t="n">
        <v>4.3</v>
      </c>
      <c r="H6354" t="n">
        <v>0</v>
      </c>
      <c r="I6354" t="n">
        <v>0</v>
      </c>
      <c r="J6354" t="n">
        <v>0</v>
      </c>
      <c r="K6354" t="n">
        <v>0</v>
      </c>
      <c r="L6354" t="n">
        <v>0</v>
      </c>
      <c r="M6354" t="n">
        <v>0</v>
      </c>
      <c r="N6354" t="n">
        <v>0</v>
      </c>
      <c r="O6354" t="n">
        <v>0</v>
      </c>
      <c r="P6354" t="n">
        <v>0</v>
      </c>
      <c r="Q6354" t="n">
        <v>0</v>
      </c>
      <c r="R6354" s="2" t="inlineStr"/>
    </row>
    <row r="6355" ht="15" customHeight="1">
      <c r="A6355" t="inlineStr">
        <is>
          <t>A 9297-2021</t>
        </is>
      </c>
      <c r="B6355" s="1" t="n">
        <v>44250</v>
      </c>
      <c r="C6355" s="1" t="n">
        <v>45212</v>
      </c>
      <c r="D6355" t="inlineStr">
        <is>
          <t>VÄSTRA GÖTALANDS LÄN</t>
        </is>
      </c>
      <c r="E6355" t="inlineStr">
        <is>
          <t>KUNGÄLV</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9362-2021</t>
        </is>
      </c>
      <c r="B6356" s="1" t="n">
        <v>44250</v>
      </c>
      <c r="C6356" s="1" t="n">
        <v>45212</v>
      </c>
      <c r="D6356" t="inlineStr">
        <is>
          <t>VÄSTRA GÖTALANDS LÄN</t>
        </is>
      </c>
      <c r="E6356" t="inlineStr">
        <is>
          <t>TANUM</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9191-2021</t>
        </is>
      </c>
      <c r="B6357" s="1" t="n">
        <v>44250</v>
      </c>
      <c r="C6357" s="1" t="n">
        <v>45212</v>
      </c>
      <c r="D6357" t="inlineStr">
        <is>
          <t>VÄSTRA GÖTALANDS LÄN</t>
        </is>
      </c>
      <c r="E6357" t="inlineStr">
        <is>
          <t>KARLSBORG</t>
        </is>
      </c>
      <c r="G6357" t="n">
        <v>2.7</v>
      </c>
      <c r="H6357" t="n">
        <v>0</v>
      </c>
      <c r="I6357" t="n">
        <v>0</v>
      </c>
      <c r="J6357" t="n">
        <v>0</v>
      </c>
      <c r="K6357" t="n">
        <v>0</v>
      </c>
      <c r="L6357" t="n">
        <v>0</v>
      </c>
      <c r="M6357" t="n">
        <v>0</v>
      </c>
      <c r="N6357" t="n">
        <v>0</v>
      </c>
      <c r="O6357" t="n">
        <v>0</v>
      </c>
      <c r="P6357" t="n">
        <v>0</v>
      </c>
      <c r="Q6357" t="n">
        <v>0</v>
      </c>
      <c r="R6357" s="2" t="inlineStr"/>
    </row>
    <row r="6358" ht="15" customHeight="1">
      <c r="A6358" t="inlineStr">
        <is>
          <t>A 9241-2021</t>
        </is>
      </c>
      <c r="B6358" s="1" t="n">
        <v>44250</v>
      </c>
      <c r="C6358" s="1" t="n">
        <v>45212</v>
      </c>
      <c r="D6358" t="inlineStr">
        <is>
          <t>VÄSTRA GÖTALANDS LÄN</t>
        </is>
      </c>
      <c r="E6358" t="inlineStr">
        <is>
          <t>SVENLJUNGA</t>
        </is>
      </c>
      <c r="G6358" t="n">
        <v>11.2</v>
      </c>
      <c r="H6358" t="n">
        <v>0</v>
      </c>
      <c r="I6358" t="n">
        <v>0</v>
      </c>
      <c r="J6358" t="n">
        <v>0</v>
      </c>
      <c r="K6358" t="n">
        <v>0</v>
      </c>
      <c r="L6358" t="n">
        <v>0</v>
      </c>
      <c r="M6358" t="n">
        <v>0</v>
      </c>
      <c r="N6358" t="n">
        <v>0</v>
      </c>
      <c r="O6358" t="n">
        <v>0</v>
      </c>
      <c r="P6358" t="n">
        <v>0</v>
      </c>
      <c r="Q6358" t="n">
        <v>0</v>
      </c>
      <c r="R6358" s="2" t="inlineStr"/>
    </row>
    <row r="6359" ht="15" customHeight="1">
      <c r="A6359" t="inlineStr">
        <is>
          <t>A 9332-2021</t>
        </is>
      </c>
      <c r="B6359" s="1" t="n">
        <v>44250</v>
      </c>
      <c r="C6359" s="1" t="n">
        <v>45212</v>
      </c>
      <c r="D6359" t="inlineStr">
        <is>
          <t>VÄSTRA GÖTALANDS LÄN</t>
        </is>
      </c>
      <c r="E6359" t="inlineStr">
        <is>
          <t>HERRLJUNGA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9182-2021</t>
        </is>
      </c>
      <c r="B6360" s="1" t="n">
        <v>44250</v>
      </c>
      <c r="C6360" s="1" t="n">
        <v>45212</v>
      </c>
      <c r="D6360" t="inlineStr">
        <is>
          <t>VÄSTRA GÖTALANDS LÄN</t>
        </is>
      </c>
      <c r="E6360" t="inlineStr">
        <is>
          <t>ORUST</t>
        </is>
      </c>
      <c r="G6360" t="n">
        <v>1.1</v>
      </c>
      <c r="H6360" t="n">
        <v>0</v>
      </c>
      <c r="I6360" t="n">
        <v>0</v>
      </c>
      <c r="J6360" t="n">
        <v>0</v>
      </c>
      <c r="K6360" t="n">
        <v>0</v>
      </c>
      <c r="L6360" t="n">
        <v>0</v>
      </c>
      <c r="M6360" t="n">
        <v>0</v>
      </c>
      <c r="N6360" t="n">
        <v>0</v>
      </c>
      <c r="O6360" t="n">
        <v>0</v>
      </c>
      <c r="P6360" t="n">
        <v>0</v>
      </c>
      <c r="Q6360" t="n">
        <v>0</v>
      </c>
      <c r="R6360" s="2" t="inlineStr"/>
    </row>
    <row r="6361" ht="15" customHeight="1">
      <c r="A6361" t="inlineStr">
        <is>
          <t>A 9270-2021</t>
        </is>
      </c>
      <c r="B6361" s="1" t="n">
        <v>44250</v>
      </c>
      <c r="C6361" s="1" t="n">
        <v>45212</v>
      </c>
      <c r="D6361" t="inlineStr">
        <is>
          <t>VÄSTRA GÖTALANDS LÄN</t>
        </is>
      </c>
      <c r="E6361" t="inlineStr">
        <is>
          <t>BORÅS</t>
        </is>
      </c>
      <c r="G6361" t="n">
        <v>5.9</v>
      </c>
      <c r="H6361" t="n">
        <v>0</v>
      </c>
      <c r="I6361" t="n">
        <v>0</v>
      </c>
      <c r="J6361" t="n">
        <v>0</v>
      </c>
      <c r="K6361" t="n">
        <v>0</v>
      </c>
      <c r="L6361" t="n">
        <v>0</v>
      </c>
      <c r="M6361" t="n">
        <v>0</v>
      </c>
      <c r="N6361" t="n">
        <v>0</v>
      </c>
      <c r="O6361" t="n">
        <v>0</v>
      </c>
      <c r="P6361" t="n">
        <v>0</v>
      </c>
      <c r="Q6361" t="n">
        <v>0</v>
      </c>
      <c r="R6361" s="2" t="inlineStr"/>
    </row>
    <row r="6362" ht="15" customHeight="1">
      <c r="A6362" t="inlineStr">
        <is>
          <t>A 9361-2021</t>
        </is>
      </c>
      <c r="B6362" s="1" t="n">
        <v>44250</v>
      </c>
      <c r="C6362" s="1" t="n">
        <v>45212</v>
      </c>
      <c r="D6362" t="inlineStr">
        <is>
          <t>VÄSTRA GÖTALANDS LÄN</t>
        </is>
      </c>
      <c r="E6362" t="inlineStr">
        <is>
          <t>TANUM</t>
        </is>
      </c>
      <c r="G6362" t="n">
        <v>1.4</v>
      </c>
      <c r="H6362" t="n">
        <v>0</v>
      </c>
      <c r="I6362" t="n">
        <v>0</v>
      </c>
      <c r="J6362" t="n">
        <v>0</v>
      </c>
      <c r="K6362" t="n">
        <v>0</v>
      </c>
      <c r="L6362" t="n">
        <v>0</v>
      </c>
      <c r="M6362" t="n">
        <v>0</v>
      </c>
      <c r="N6362" t="n">
        <v>0</v>
      </c>
      <c r="O6362" t="n">
        <v>0</v>
      </c>
      <c r="P6362" t="n">
        <v>0</v>
      </c>
      <c r="Q6362" t="n">
        <v>0</v>
      </c>
      <c r="R6362" s="2" t="inlineStr"/>
    </row>
    <row r="6363" ht="15" customHeight="1">
      <c r="A6363" t="inlineStr">
        <is>
          <t>A 9541-2021</t>
        </is>
      </c>
      <c r="B6363" s="1" t="n">
        <v>44251</v>
      </c>
      <c r="C6363" s="1" t="n">
        <v>45212</v>
      </c>
      <c r="D6363" t="inlineStr">
        <is>
          <t>VÄSTRA GÖTALANDS LÄN</t>
        </is>
      </c>
      <c r="E6363" t="inlineStr">
        <is>
          <t>LILLA EDET</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9579-2021</t>
        </is>
      </c>
      <c r="B6364" s="1" t="n">
        <v>44251</v>
      </c>
      <c r="C6364" s="1" t="n">
        <v>45212</v>
      </c>
      <c r="D6364" t="inlineStr">
        <is>
          <t>VÄSTRA GÖTALANDS LÄN</t>
        </is>
      </c>
      <c r="E6364" t="inlineStr">
        <is>
          <t>VARA</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9452-2021</t>
        </is>
      </c>
      <c r="B6365" s="1" t="n">
        <v>44251</v>
      </c>
      <c r="C6365" s="1" t="n">
        <v>45212</v>
      </c>
      <c r="D6365" t="inlineStr">
        <is>
          <t>VÄSTRA GÖTALANDS LÄN</t>
        </is>
      </c>
      <c r="E6365" t="inlineStr">
        <is>
          <t>ALINGSÅS</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9577-2021</t>
        </is>
      </c>
      <c r="B6366" s="1" t="n">
        <v>44251</v>
      </c>
      <c r="C6366" s="1" t="n">
        <v>45212</v>
      </c>
      <c r="D6366" t="inlineStr">
        <is>
          <t>VÄSTRA GÖTALANDS LÄN</t>
        </is>
      </c>
      <c r="E6366" t="inlineStr">
        <is>
          <t>MUNKEDAL</t>
        </is>
      </c>
      <c r="G6366" t="n">
        <v>10</v>
      </c>
      <c r="H6366" t="n">
        <v>0</v>
      </c>
      <c r="I6366" t="n">
        <v>0</v>
      </c>
      <c r="J6366" t="n">
        <v>0</v>
      </c>
      <c r="K6366" t="n">
        <v>0</v>
      </c>
      <c r="L6366" t="n">
        <v>0</v>
      </c>
      <c r="M6366" t="n">
        <v>0</v>
      </c>
      <c r="N6366" t="n">
        <v>0</v>
      </c>
      <c r="O6366" t="n">
        <v>0</v>
      </c>
      <c r="P6366" t="n">
        <v>0</v>
      </c>
      <c r="Q6366" t="n">
        <v>0</v>
      </c>
      <c r="R6366" s="2" t="inlineStr"/>
    </row>
    <row r="6367" ht="15" customHeight="1">
      <c r="A6367" t="inlineStr">
        <is>
          <t>A 9790-2021</t>
        </is>
      </c>
      <c r="B6367" s="1" t="n">
        <v>44251</v>
      </c>
      <c r="C6367" s="1" t="n">
        <v>45212</v>
      </c>
      <c r="D6367" t="inlineStr">
        <is>
          <t>VÄSTRA GÖTALANDS LÄN</t>
        </is>
      </c>
      <c r="E6367" t="inlineStr">
        <is>
          <t>UDDEVALLA</t>
        </is>
      </c>
      <c r="F6367" t="inlineStr">
        <is>
          <t>Kommuner</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9513-2021</t>
        </is>
      </c>
      <c r="B6368" s="1" t="n">
        <v>44251</v>
      </c>
      <c r="C6368" s="1" t="n">
        <v>45212</v>
      </c>
      <c r="D6368" t="inlineStr">
        <is>
          <t>VÄSTRA GÖTALANDS LÄN</t>
        </is>
      </c>
      <c r="E6368" t="inlineStr">
        <is>
          <t>BENGTSFORS</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9413-2021</t>
        </is>
      </c>
      <c r="B6369" s="1" t="n">
        <v>44251</v>
      </c>
      <c r="C6369" s="1" t="n">
        <v>45212</v>
      </c>
      <c r="D6369" t="inlineStr">
        <is>
          <t>VÄSTRA GÖTALANDS LÄN</t>
        </is>
      </c>
      <c r="E6369" t="inlineStr">
        <is>
          <t>HERRLJUNGA</t>
        </is>
      </c>
      <c r="G6369" t="n">
        <v>2.8</v>
      </c>
      <c r="H6369" t="n">
        <v>0</v>
      </c>
      <c r="I6369" t="n">
        <v>0</v>
      </c>
      <c r="J6369" t="n">
        <v>0</v>
      </c>
      <c r="K6369" t="n">
        <v>0</v>
      </c>
      <c r="L6369" t="n">
        <v>0</v>
      </c>
      <c r="M6369" t="n">
        <v>0</v>
      </c>
      <c r="N6369" t="n">
        <v>0</v>
      </c>
      <c r="O6369" t="n">
        <v>0</v>
      </c>
      <c r="P6369" t="n">
        <v>0</v>
      </c>
      <c r="Q6369" t="n">
        <v>0</v>
      </c>
      <c r="R6369" s="2" t="inlineStr"/>
    </row>
    <row r="6370" ht="15" customHeight="1">
      <c r="A6370" t="inlineStr">
        <is>
          <t>A 9512-2021</t>
        </is>
      </c>
      <c r="B6370" s="1" t="n">
        <v>44251</v>
      </c>
      <c r="C6370" s="1" t="n">
        <v>45212</v>
      </c>
      <c r="D6370" t="inlineStr">
        <is>
          <t>VÄSTRA GÖTALANDS LÄN</t>
        </is>
      </c>
      <c r="E6370" t="inlineStr">
        <is>
          <t>HÄRRYDA</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9557-2021</t>
        </is>
      </c>
      <c r="B6371" s="1" t="n">
        <v>44251</v>
      </c>
      <c r="C6371" s="1" t="n">
        <v>45212</v>
      </c>
      <c r="D6371" t="inlineStr">
        <is>
          <t>VÄSTRA GÖTALANDS LÄN</t>
        </is>
      </c>
      <c r="E6371" t="inlineStr">
        <is>
          <t>TRANEMO</t>
        </is>
      </c>
      <c r="G6371" t="n">
        <v>0.5</v>
      </c>
      <c r="H6371" t="n">
        <v>0</v>
      </c>
      <c r="I6371" t="n">
        <v>0</v>
      </c>
      <c r="J6371" t="n">
        <v>0</v>
      </c>
      <c r="K6371" t="n">
        <v>0</v>
      </c>
      <c r="L6371" t="n">
        <v>0</v>
      </c>
      <c r="M6371" t="n">
        <v>0</v>
      </c>
      <c r="N6371" t="n">
        <v>0</v>
      </c>
      <c r="O6371" t="n">
        <v>0</v>
      </c>
      <c r="P6371" t="n">
        <v>0</v>
      </c>
      <c r="Q6371" t="n">
        <v>0</v>
      </c>
      <c r="R6371" s="2" t="inlineStr"/>
    </row>
    <row r="6372" ht="15" customHeight="1">
      <c r="A6372" t="inlineStr">
        <is>
          <t>A 9590-2021</t>
        </is>
      </c>
      <c r="B6372" s="1" t="n">
        <v>44251</v>
      </c>
      <c r="C6372" s="1" t="n">
        <v>45212</v>
      </c>
      <c r="D6372" t="inlineStr">
        <is>
          <t>VÄSTRA GÖTALANDS LÄN</t>
        </is>
      </c>
      <c r="E6372" t="inlineStr">
        <is>
          <t>STRÖMSTAD</t>
        </is>
      </c>
      <c r="G6372" t="n">
        <v>2.8</v>
      </c>
      <c r="H6372" t="n">
        <v>0</v>
      </c>
      <c r="I6372" t="n">
        <v>0</v>
      </c>
      <c r="J6372" t="n">
        <v>0</v>
      </c>
      <c r="K6372" t="n">
        <v>0</v>
      </c>
      <c r="L6372" t="n">
        <v>0</v>
      </c>
      <c r="M6372" t="n">
        <v>0</v>
      </c>
      <c r="N6372" t="n">
        <v>0</v>
      </c>
      <c r="O6372" t="n">
        <v>0</v>
      </c>
      <c r="P6372" t="n">
        <v>0</v>
      </c>
      <c r="Q6372" t="n">
        <v>0</v>
      </c>
      <c r="R6372" s="2" t="inlineStr"/>
    </row>
    <row r="6373" ht="15" customHeight="1">
      <c r="A6373" t="inlineStr">
        <is>
          <t>A 9811-2021</t>
        </is>
      </c>
      <c r="B6373" s="1" t="n">
        <v>44252</v>
      </c>
      <c r="C6373" s="1" t="n">
        <v>45212</v>
      </c>
      <c r="D6373" t="inlineStr">
        <is>
          <t>VÄSTRA GÖTALANDS LÄN</t>
        </is>
      </c>
      <c r="E6373" t="inlineStr">
        <is>
          <t>MARK</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9693-2021</t>
        </is>
      </c>
      <c r="B6374" s="1" t="n">
        <v>44252</v>
      </c>
      <c r="C6374" s="1" t="n">
        <v>45212</v>
      </c>
      <c r="D6374" t="inlineStr">
        <is>
          <t>VÄSTRA GÖTALANDS LÄN</t>
        </is>
      </c>
      <c r="E6374" t="inlineStr">
        <is>
          <t>HÄRRYDA</t>
        </is>
      </c>
      <c r="G6374" t="n">
        <v>1.2</v>
      </c>
      <c r="H6374" t="n">
        <v>0</v>
      </c>
      <c r="I6374" t="n">
        <v>0</v>
      </c>
      <c r="J6374" t="n">
        <v>0</v>
      </c>
      <c r="K6374" t="n">
        <v>0</v>
      </c>
      <c r="L6374" t="n">
        <v>0</v>
      </c>
      <c r="M6374" t="n">
        <v>0</v>
      </c>
      <c r="N6374" t="n">
        <v>0</v>
      </c>
      <c r="O6374" t="n">
        <v>0</v>
      </c>
      <c r="P6374" t="n">
        <v>0</v>
      </c>
      <c r="Q6374" t="n">
        <v>0</v>
      </c>
      <c r="R6374" s="2" t="inlineStr"/>
    </row>
    <row r="6375" ht="15" customHeight="1">
      <c r="A6375" t="inlineStr">
        <is>
          <t>A 9726-2021</t>
        </is>
      </c>
      <c r="B6375" s="1" t="n">
        <v>44252</v>
      </c>
      <c r="C6375" s="1" t="n">
        <v>45212</v>
      </c>
      <c r="D6375" t="inlineStr">
        <is>
          <t>VÄSTRA GÖTALANDS LÄN</t>
        </is>
      </c>
      <c r="E6375" t="inlineStr">
        <is>
          <t>ALINGSÅS</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9653-2021</t>
        </is>
      </c>
      <c r="B6376" s="1" t="n">
        <v>44252</v>
      </c>
      <c r="C6376" s="1" t="n">
        <v>45212</v>
      </c>
      <c r="D6376" t="inlineStr">
        <is>
          <t>VÄSTRA GÖTALANDS LÄN</t>
        </is>
      </c>
      <c r="E6376" t="inlineStr">
        <is>
          <t>FALKÖPING</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9756-2021</t>
        </is>
      </c>
      <c r="B6377" s="1" t="n">
        <v>44252</v>
      </c>
      <c r="C6377" s="1" t="n">
        <v>45212</v>
      </c>
      <c r="D6377" t="inlineStr">
        <is>
          <t>VÄSTRA GÖTALANDS LÄN</t>
        </is>
      </c>
      <c r="E6377" t="inlineStr">
        <is>
          <t>BENGTSFORS</t>
        </is>
      </c>
      <c r="G6377" t="n">
        <v>7</v>
      </c>
      <c r="H6377" t="n">
        <v>0</v>
      </c>
      <c r="I6377" t="n">
        <v>0</v>
      </c>
      <c r="J6377" t="n">
        <v>0</v>
      </c>
      <c r="K6377" t="n">
        <v>0</v>
      </c>
      <c r="L6377" t="n">
        <v>0</v>
      </c>
      <c r="M6377" t="n">
        <v>0</v>
      </c>
      <c r="N6377" t="n">
        <v>0</v>
      </c>
      <c r="O6377" t="n">
        <v>0</v>
      </c>
      <c r="P6377" t="n">
        <v>0</v>
      </c>
      <c r="Q6377" t="n">
        <v>0</v>
      </c>
      <c r="R6377" s="2" t="inlineStr"/>
    </row>
    <row r="6378" ht="15" customHeight="1">
      <c r="A6378" t="inlineStr">
        <is>
          <t>A 9771-2021</t>
        </is>
      </c>
      <c r="B6378" s="1" t="n">
        <v>44252</v>
      </c>
      <c r="C6378" s="1" t="n">
        <v>45212</v>
      </c>
      <c r="D6378" t="inlineStr">
        <is>
          <t>VÄSTRA GÖTALANDS LÄN</t>
        </is>
      </c>
      <c r="E6378" t="inlineStr">
        <is>
          <t>HJO</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9773-2021</t>
        </is>
      </c>
      <c r="B6379" s="1" t="n">
        <v>44252</v>
      </c>
      <c r="C6379" s="1" t="n">
        <v>45212</v>
      </c>
      <c r="D6379" t="inlineStr">
        <is>
          <t>VÄSTRA GÖTALANDS LÄN</t>
        </is>
      </c>
      <c r="E6379" t="inlineStr">
        <is>
          <t>HJO</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9801-2021</t>
        </is>
      </c>
      <c r="B6380" s="1" t="n">
        <v>44252</v>
      </c>
      <c r="C6380" s="1" t="n">
        <v>45212</v>
      </c>
      <c r="D6380" t="inlineStr">
        <is>
          <t>VÄSTRA GÖTALANDS LÄN</t>
        </is>
      </c>
      <c r="E6380" t="inlineStr">
        <is>
          <t>LILLA EDET</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15494-2021</t>
        </is>
      </c>
      <c r="B6381" s="1" t="n">
        <v>44253</v>
      </c>
      <c r="C6381" s="1" t="n">
        <v>45212</v>
      </c>
      <c r="D6381" t="inlineStr">
        <is>
          <t>VÄSTRA GÖTALANDS LÄN</t>
        </is>
      </c>
      <c r="E6381" t="inlineStr">
        <is>
          <t>MARK</t>
        </is>
      </c>
      <c r="G6381" t="n">
        <v>5.5</v>
      </c>
      <c r="H6381" t="n">
        <v>0</v>
      </c>
      <c r="I6381" t="n">
        <v>0</v>
      </c>
      <c r="J6381" t="n">
        <v>0</v>
      </c>
      <c r="K6381" t="n">
        <v>0</v>
      </c>
      <c r="L6381" t="n">
        <v>0</v>
      </c>
      <c r="M6381" t="n">
        <v>0</v>
      </c>
      <c r="N6381" t="n">
        <v>0</v>
      </c>
      <c r="O6381" t="n">
        <v>0</v>
      </c>
      <c r="P6381" t="n">
        <v>0</v>
      </c>
      <c r="Q6381" t="n">
        <v>0</v>
      </c>
      <c r="R6381" s="2" t="inlineStr"/>
    </row>
    <row r="6382" ht="15" customHeight="1">
      <c r="A6382" t="inlineStr">
        <is>
          <t>A 10129-2021</t>
        </is>
      </c>
      <c r="B6382" s="1" t="n">
        <v>44256</v>
      </c>
      <c r="C6382" s="1" t="n">
        <v>45212</v>
      </c>
      <c r="D6382" t="inlineStr">
        <is>
          <t>VÄSTRA GÖTALANDS LÄN</t>
        </is>
      </c>
      <c r="E6382" t="inlineStr">
        <is>
          <t>MARIESTAD</t>
        </is>
      </c>
      <c r="G6382" t="n">
        <v>0.6</v>
      </c>
      <c r="H6382" t="n">
        <v>0</v>
      </c>
      <c r="I6382" t="n">
        <v>0</v>
      </c>
      <c r="J6382" t="n">
        <v>0</v>
      </c>
      <c r="K6382" t="n">
        <v>0</v>
      </c>
      <c r="L6382" t="n">
        <v>0</v>
      </c>
      <c r="M6382" t="n">
        <v>0</v>
      </c>
      <c r="N6382" t="n">
        <v>0</v>
      </c>
      <c r="O6382" t="n">
        <v>0</v>
      </c>
      <c r="P6382" t="n">
        <v>0</v>
      </c>
      <c r="Q6382" t="n">
        <v>0</v>
      </c>
      <c r="R6382" s="2" t="inlineStr"/>
    </row>
    <row r="6383" ht="15" customHeight="1">
      <c r="A6383" t="inlineStr">
        <is>
          <t>A 10166-2021</t>
        </is>
      </c>
      <c r="B6383" s="1" t="n">
        <v>44256</v>
      </c>
      <c r="C6383" s="1" t="n">
        <v>45212</v>
      </c>
      <c r="D6383" t="inlineStr">
        <is>
          <t>VÄSTRA GÖTALANDS LÄN</t>
        </is>
      </c>
      <c r="E6383" t="inlineStr">
        <is>
          <t>HERRLJUNGA</t>
        </is>
      </c>
      <c r="G6383" t="n">
        <v>3.6</v>
      </c>
      <c r="H6383" t="n">
        <v>0</v>
      </c>
      <c r="I6383" t="n">
        <v>0</v>
      </c>
      <c r="J6383" t="n">
        <v>0</v>
      </c>
      <c r="K6383" t="n">
        <v>0</v>
      </c>
      <c r="L6383" t="n">
        <v>0</v>
      </c>
      <c r="M6383" t="n">
        <v>0</v>
      </c>
      <c r="N6383" t="n">
        <v>0</v>
      </c>
      <c r="O6383" t="n">
        <v>0</v>
      </c>
      <c r="P6383" t="n">
        <v>0</v>
      </c>
      <c r="Q6383" t="n">
        <v>0</v>
      </c>
      <c r="R6383" s="2" t="inlineStr"/>
    </row>
    <row r="6384" ht="15" customHeight="1">
      <c r="A6384" t="inlineStr">
        <is>
          <t>A 10252-2021</t>
        </is>
      </c>
      <c r="B6384" s="1" t="n">
        <v>44256</v>
      </c>
      <c r="C6384" s="1" t="n">
        <v>45212</v>
      </c>
      <c r="D6384" t="inlineStr">
        <is>
          <t>VÄSTRA GÖTALANDS LÄN</t>
        </is>
      </c>
      <c r="E6384" t="inlineStr">
        <is>
          <t>STRÖMSTAD</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10052-2021</t>
        </is>
      </c>
      <c r="B6385" s="1" t="n">
        <v>44256</v>
      </c>
      <c r="C6385" s="1" t="n">
        <v>45212</v>
      </c>
      <c r="D6385" t="inlineStr">
        <is>
          <t>VÄSTRA GÖTALANDS LÄN</t>
        </is>
      </c>
      <c r="E6385" t="inlineStr">
        <is>
          <t>LIDKÖPING</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10158-2021</t>
        </is>
      </c>
      <c r="B6386" s="1" t="n">
        <v>44256</v>
      </c>
      <c r="C6386" s="1" t="n">
        <v>45212</v>
      </c>
      <c r="D6386" t="inlineStr">
        <is>
          <t>VÄSTRA GÖTALANDS LÄN</t>
        </is>
      </c>
      <c r="E6386" t="inlineStr">
        <is>
          <t>VÅRGÅRDA</t>
        </is>
      </c>
      <c r="F6386" t="inlineStr">
        <is>
          <t>Sveaskog</t>
        </is>
      </c>
      <c r="G6386" t="n">
        <v>7.8</v>
      </c>
      <c r="H6386" t="n">
        <v>0</v>
      </c>
      <c r="I6386" t="n">
        <v>0</v>
      </c>
      <c r="J6386" t="n">
        <v>0</v>
      </c>
      <c r="K6386" t="n">
        <v>0</v>
      </c>
      <c r="L6386" t="n">
        <v>0</v>
      </c>
      <c r="M6386" t="n">
        <v>0</v>
      </c>
      <c r="N6386" t="n">
        <v>0</v>
      </c>
      <c r="O6386" t="n">
        <v>0</v>
      </c>
      <c r="P6386" t="n">
        <v>0</v>
      </c>
      <c r="Q6386" t="n">
        <v>0</v>
      </c>
      <c r="R6386" s="2" t="inlineStr"/>
    </row>
    <row r="6387" ht="15" customHeight="1">
      <c r="A6387" t="inlineStr">
        <is>
          <t>A 10173-2021</t>
        </is>
      </c>
      <c r="B6387" s="1" t="n">
        <v>44256</v>
      </c>
      <c r="C6387" s="1" t="n">
        <v>45212</v>
      </c>
      <c r="D6387" t="inlineStr">
        <is>
          <t>VÄSTRA GÖTALANDS LÄN</t>
        </is>
      </c>
      <c r="E6387" t="inlineStr">
        <is>
          <t>HERRLJUNGA</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10263-2021</t>
        </is>
      </c>
      <c r="B6388" s="1" t="n">
        <v>44256</v>
      </c>
      <c r="C6388" s="1" t="n">
        <v>45212</v>
      </c>
      <c r="D6388" t="inlineStr">
        <is>
          <t>VÄSTRA GÖTALANDS LÄN</t>
        </is>
      </c>
      <c r="E6388" t="inlineStr">
        <is>
          <t>FÄRGELANDA</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10023-2021</t>
        </is>
      </c>
      <c r="B6389" s="1" t="n">
        <v>44256</v>
      </c>
      <c r="C6389" s="1" t="n">
        <v>45212</v>
      </c>
      <c r="D6389" t="inlineStr">
        <is>
          <t>VÄSTRA GÖTALANDS LÄN</t>
        </is>
      </c>
      <c r="E6389" t="inlineStr">
        <is>
          <t>LILLA EDET</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10056-2021</t>
        </is>
      </c>
      <c r="B6390" s="1" t="n">
        <v>44256</v>
      </c>
      <c r="C6390" s="1" t="n">
        <v>45212</v>
      </c>
      <c r="D6390" t="inlineStr">
        <is>
          <t>VÄSTRA GÖTALANDS LÄN</t>
        </is>
      </c>
      <c r="E6390" t="inlineStr">
        <is>
          <t>MUNKEDAL</t>
        </is>
      </c>
      <c r="G6390" t="n">
        <v>6</v>
      </c>
      <c r="H6390" t="n">
        <v>0</v>
      </c>
      <c r="I6390" t="n">
        <v>0</v>
      </c>
      <c r="J6390" t="n">
        <v>0</v>
      </c>
      <c r="K6390" t="n">
        <v>0</v>
      </c>
      <c r="L6390" t="n">
        <v>0</v>
      </c>
      <c r="M6390" t="n">
        <v>0</v>
      </c>
      <c r="N6390" t="n">
        <v>0</v>
      </c>
      <c r="O6390" t="n">
        <v>0</v>
      </c>
      <c r="P6390" t="n">
        <v>0</v>
      </c>
      <c r="Q6390" t="n">
        <v>0</v>
      </c>
      <c r="R6390" s="2" t="inlineStr"/>
    </row>
    <row r="6391" ht="15" customHeight="1">
      <c r="A6391" t="inlineStr">
        <is>
          <t>A 10249-2021</t>
        </is>
      </c>
      <c r="B6391" s="1" t="n">
        <v>44256</v>
      </c>
      <c r="C6391" s="1" t="n">
        <v>45212</v>
      </c>
      <c r="D6391" t="inlineStr">
        <is>
          <t>VÄSTRA GÖTALANDS LÄN</t>
        </is>
      </c>
      <c r="E6391" t="inlineStr">
        <is>
          <t>STRÖMSTAD</t>
        </is>
      </c>
      <c r="G6391" t="n">
        <v>3.5</v>
      </c>
      <c r="H6391" t="n">
        <v>0</v>
      </c>
      <c r="I6391" t="n">
        <v>0</v>
      </c>
      <c r="J6391" t="n">
        <v>0</v>
      </c>
      <c r="K6391" t="n">
        <v>0</v>
      </c>
      <c r="L6391" t="n">
        <v>0</v>
      </c>
      <c r="M6391" t="n">
        <v>0</v>
      </c>
      <c r="N6391" t="n">
        <v>0</v>
      </c>
      <c r="O6391" t="n">
        <v>0</v>
      </c>
      <c r="P6391" t="n">
        <v>0</v>
      </c>
      <c r="Q6391" t="n">
        <v>0</v>
      </c>
      <c r="R6391" s="2" t="inlineStr"/>
    </row>
    <row r="6392" ht="15" customHeight="1">
      <c r="A6392" t="inlineStr">
        <is>
          <t>A 10302-2021</t>
        </is>
      </c>
      <c r="B6392" s="1" t="n">
        <v>44257</v>
      </c>
      <c r="C6392" s="1" t="n">
        <v>45212</v>
      </c>
      <c r="D6392" t="inlineStr">
        <is>
          <t>VÄSTRA GÖTALANDS LÄN</t>
        </is>
      </c>
      <c r="E6392" t="inlineStr">
        <is>
          <t>BOLLEBYGD</t>
        </is>
      </c>
      <c r="G6392" t="n">
        <v>1.5</v>
      </c>
      <c r="H6392" t="n">
        <v>0</v>
      </c>
      <c r="I6392" t="n">
        <v>0</v>
      </c>
      <c r="J6392" t="n">
        <v>0</v>
      </c>
      <c r="K6392" t="n">
        <v>0</v>
      </c>
      <c r="L6392" t="n">
        <v>0</v>
      </c>
      <c r="M6392" t="n">
        <v>0</v>
      </c>
      <c r="N6392" t="n">
        <v>0</v>
      </c>
      <c r="O6392" t="n">
        <v>0</v>
      </c>
      <c r="P6392" t="n">
        <v>0</v>
      </c>
      <c r="Q6392" t="n">
        <v>0</v>
      </c>
      <c r="R6392" s="2" t="inlineStr"/>
    </row>
    <row r="6393" ht="15" customHeight="1">
      <c r="A6393" t="inlineStr">
        <is>
          <t>A 10333-2021</t>
        </is>
      </c>
      <c r="B6393" s="1" t="n">
        <v>44257</v>
      </c>
      <c r="C6393" s="1" t="n">
        <v>45212</v>
      </c>
      <c r="D6393" t="inlineStr">
        <is>
          <t>VÄSTRA GÖTALANDS LÄN</t>
        </is>
      </c>
      <c r="E6393" t="inlineStr">
        <is>
          <t>VÄNERSBORG</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10351-2021</t>
        </is>
      </c>
      <c r="B6394" s="1" t="n">
        <v>44257</v>
      </c>
      <c r="C6394" s="1" t="n">
        <v>45212</v>
      </c>
      <c r="D6394" t="inlineStr">
        <is>
          <t>VÄSTRA GÖTALANDS LÄN</t>
        </is>
      </c>
      <c r="E6394" t="inlineStr">
        <is>
          <t>HÄRRYDA</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10375-2021</t>
        </is>
      </c>
      <c r="B6395" s="1" t="n">
        <v>44257</v>
      </c>
      <c r="C6395" s="1" t="n">
        <v>45212</v>
      </c>
      <c r="D6395" t="inlineStr">
        <is>
          <t>VÄSTRA GÖTALANDS LÄN</t>
        </is>
      </c>
      <c r="E6395" t="inlineStr">
        <is>
          <t>ULRICEHAMN</t>
        </is>
      </c>
      <c r="F6395" t="inlineStr">
        <is>
          <t>Sveaskog</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10296-2021</t>
        </is>
      </c>
      <c r="B6396" s="1" t="n">
        <v>44257</v>
      </c>
      <c r="C6396" s="1" t="n">
        <v>45212</v>
      </c>
      <c r="D6396" t="inlineStr">
        <is>
          <t>VÄSTRA GÖTALANDS LÄN</t>
        </is>
      </c>
      <c r="E6396" t="inlineStr">
        <is>
          <t>TIBRO</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10321-2021</t>
        </is>
      </c>
      <c r="B6397" s="1" t="n">
        <v>44257</v>
      </c>
      <c r="C6397" s="1" t="n">
        <v>45212</v>
      </c>
      <c r="D6397" t="inlineStr">
        <is>
          <t>VÄSTRA GÖTALANDS LÄN</t>
        </is>
      </c>
      <c r="E6397" t="inlineStr">
        <is>
          <t>DALS-ED</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10374-2021</t>
        </is>
      </c>
      <c r="B6398" s="1" t="n">
        <v>44257</v>
      </c>
      <c r="C6398" s="1" t="n">
        <v>45212</v>
      </c>
      <c r="D6398" t="inlineStr">
        <is>
          <t>VÄSTRA GÖTALANDS LÄN</t>
        </is>
      </c>
      <c r="E6398" t="inlineStr">
        <is>
          <t>ULRICEHAMN</t>
        </is>
      </c>
      <c r="F6398" t="inlineStr">
        <is>
          <t>Sveaskog</t>
        </is>
      </c>
      <c r="G6398" t="n">
        <v>12.1</v>
      </c>
      <c r="H6398" t="n">
        <v>0</v>
      </c>
      <c r="I6398" t="n">
        <v>0</v>
      </c>
      <c r="J6398" t="n">
        <v>0</v>
      </c>
      <c r="K6398" t="n">
        <v>0</v>
      </c>
      <c r="L6398" t="n">
        <v>0</v>
      </c>
      <c r="M6398" t="n">
        <v>0</v>
      </c>
      <c r="N6398" t="n">
        <v>0</v>
      </c>
      <c r="O6398" t="n">
        <v>0</v>
      </c>
      <c r="P6398" t="n">
        <v>0</v>
      </c>
      <c r="Q6398" t="n">
        <v>0</v>
      </c>
      <c r="R6398" s="2" t="inlineStr"/>
    </row>
    <row r="6399" ht="15" customHeight="1">
      <c r="A6399" t="inlineStr">
        <is>
          <t>A 10345-2021</t>
        </is>
      </c>
      <c r="B6399" s="1" t="n">
        <v>44257</v>
      </c>
      <c r="C6399" s="1" t="n">
        <v>45212</v>
      </c>
      <c r="D6399" t="inlineStr">
        <is>
          <t>VÄSTRA GÖTALANDS LÄN</t>
        </is>
      </c>
      <c r="E6399" t="inlineStr">
        <is>
          <t>GÖTENE</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10293-2021</t>
        </is>
      </c>
      <c r="B6400" s="1" t="n">
        <v>44257</v>
      </c>
      <c r="C6400" s="1" t="n">
        <v>45212</v>
      </c>
      <c r="D6400" t="inlineStr">
        <is>
          <t>VÄSTRA GÖTALANDS LÄN</t>
        </is>
      </c>
      <c r="E6400" t="inlineStr">
        <is>
          <t>TIBRO</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10583-2021</t>
        </is>
      </c>
      <c r="B6401" s="1" t="n">
        <v>44258</v>
      </c>
      <c r="C6401" s="1" t="n">
        <v>45212</v>
      </c>
      <c r="D6401" t="inlineStr">
        <is>
          <t>VÄSTRA GÖTALANDS LÄN</t>
        </is>
      </c>
      <c r="E6401" t="inlineStr">
        <is>
          <t>ORUST</t>
        </is>
      </c>
      <c r="G6401" t="n">
        <v>1.5</v>
      </c>
      <c r="H6401" t="n">
        <v>0</v>
      </c>
      <c r="I6401" t="n">
        <v>0</v>
      </c>
      <c r="J6401" t="n">
        <v>0</v>
      </c>
      <c r="K6401" t="n">
        <v>0</v>
      </c>
      <c r="L6401" t="n">
        <v>0</v>
      </c>
      <c r="M6401" t="n">
        <v>0</v>
      </c>
      <c r="N6401" t="n">
        <v>0</v>
      </c>
      <c r="O6401" t="n">
        <v>0</v>
      </c>
      <c r="P6401" t="n">
        <v>0</v>
      </c>
      <c r="Q6401" t="n">
        <v>0</v>
      </c>
      <c r="R6401" s="2" t="inlineStr"/>
    </row>
    <row r="6402" ht="15" customHeight="1">
      <c r="A6402" t="inlineStr">
        <is>
          <t>A 10629-2021</t>
        </is>
      </c>
      <c r="B6402" s="1" t="n">
        <v>44258</v>
      </c>
      <c r="C6402" s="1" t="n">
        <v>45212</v>
      </c>
      <c r="D6402" t="inlineStr">
        <is>
          <t>VÄSTRA GÖTALANDS LÄN</t>
        </is>
      </c>
      <c r="E6402" t="inlineStr">
        <is>
          <t>FÄRGELANDA</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10581-2021</t>
        </is>
      </c>
      <c r="B6403" s="1" t="n">
        <v>44258</v>
      </c>
      <c r="C6403" s="1" t="n">
        <v>45212</v>
      </c>
      <c r="D6403" t="inlineStr">
        <is>
          <t>VÄSTRA GÖTALANDS LÄN</t>
        </is>
      </c>
      <c r="E6403" t="inlineStr">
        <is>
          <t>TRANEMO</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10724-2021</t>
        </is>
      </c>
      <c r="B6404" s="1" t="n">
        <v>44258</v>
      </c>
      <c r="C6404" s="1" t="n">
        <v>45212</v>
      </c>
      <c r="D6404" t="inlineStr">
        <is>
          <t>VÄSTRA GÖTALANDS LÄN</t>
        </is>
      </c>
      <c r="E6404" t="inlineStr">
        <is>
          <t>SVENLJUNGA</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10544-2021</t>
        </is>
      </c>
      <c r="B6405" s="1" t="n">
        <v>44258</v>
      </c>
      <c r="C6405" s="1" t="n">
        <v>45212</v>
      </c>
      <c r="D6405" t="inlineStr">
        <is>
          <t>VÄSTRA GÖTALANDS LÄN</t>
        </is>
      </c>
      <c r="E6405" t="inlineStr">
        <is>
          <t>BENGTSFORS</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10587-2021</t>
        </is>
      </c>
      <c r="B6406" s="1" t="n">
        <v>44258</v>
      </c>
      <c r="C6406" s="1" t="n">
        <v>45212</v>
      </c>
      <c r="D6406" t="inlineStr">
        <is>
          <t>VÄSTRA GÖTALANDS LÄN</t>
        </is>
      </c>
      <c r="E6406" t="inlineStr">
        <is>
          <t>ÅMÅL</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10603-2021</t>
        </is>
      </c>
      <c r="B6407" s="1" t="n">
        <v>44258</v>
      </c>
      <c r="C6407" s="1" t="n">
        <v>45212</v>
      </c>
      <c r="D6407" t="inlineStr">
        <is>
          <t>VÄSTRA GÖTALANDS LÄN</t>
        </is>
      </c>
      <c r="E6407" t="inlineStr">
        <is>
          <t>BENGTSFORS</t>
        </is>
      </c>
      <c r="F6407" t="inlineStr">
        <is>
          <t>Övriga Aktiebolag</t>
        </is>
      </c>
      <c r="G6407" t="n">
        <v>4.3</v>
      </c>
      <c r="H6407" t="n">
        <v>0</v>
      </c>
      <c r="I6407" t="n">
        <v>0</v>
      </c>
      <c r="J6407" t="n">
        <v>0</v>
      </c>
      <c r="K6407" t="n">
        <v>0</v>
      </c>
      <c r="L6407" t="n">
        <v>0</v>
      </c>
      <c r="M6407" t="n">
        <v>0</v>
      </c>
      <c r="N6407" t="n">
        <v>0</v>
      </c>
      <c r="O6407" t="n">
        <v>0</v>
      </c>
      <c r="P6407" t="n">
        <v>0</v>
      </c>
      <c r="Q6407" t="n">
        <v>0</v>
      </c>
      <c r="R6407" s="2" t="inlineStr"/>
    </row>
    <row r="6408" ht="15" customHeight="1">
      <c r="A6408" t="inlineStr">
        <is>
          <t>A 10622-2021</t>
        </is>
      </c>
      <c r="B6408" s="1" t="n">
        <v>44258</v>
      </c>
      <c r="C6408" s="1" t="n">
        <v>45212</v>
      </c>
      <c r="D6408" t="inlineStr">
        <is>
          <t>VÄSTRA GÖTALANDS LÄN</t>
        </is>
      </c>
      <c r="E6408" t="inlineStr">
        <is>
          <t>BENGTSFORS</t>
        </is>
      </c>
      <c r="G6408" t="n">
        <v>10.7</v>
      </c>
      <c r="H6408" t="n">
        <v>0</v>
      </c>
      <c r="I6408" t="n">
        <v>0</v>
      </c>
      <c r="J6408" t="n">
        <v>0</v>
      </c>
      <c r="K6408" t="n">
        <v>0</v>
      </c>
      <c r="L6408" t="n">
        <v>0</v>
      </c>
      <c r="M6408" t="n">
        <v>0</v>
      </c>
      <c r="N6408" t="n">
        <v>0</v>
      </c>
      <c r="O6408" t="n">
        <v>0</v>
      </c>
      <c r="P6408" t="n">
        <v>0</v>
      </c>
      <c r="Q6408" t="n">
        <v>0</v>
      </c>
      <c r="R6408" s="2" t="inlineStr"/>
    </row>
    <row r="6409" ht="15" customHeight="1">
      <c r="A6409" t="inlineStr">
        <is>
          <t>A 10650-2021</t>
        </is>
      </c>
      <c r="B6409" s="1" t="n">
        <v>44258</v>
      </c>
      <c r="C6409" s="1" t="n">
        <v>45212</v>
      </c>
      <c r="D6409" t="inlineStr">
        <is>
          <t>VÄSTRA GÖTALANDS LÄN</t>
        </is>
      </c>
      <c r="E6409" t="inlineStr">
        <is>
          <t>BENGTSFORS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10689-2021</t>
        </is>
      </c>
      <c r="B6410" s="1" t="n">
        <v>44258</v>
      </c>
      <c r="C6410" s="1" t="n">
        <v>45212</v>
      </c>
      <c r="D6410" t="inlineStr">
        <is>
          <t>VÄSTRA GÖTALANDS LÄN</t>
        </is>
      </c>
      <c r="E6410" t="inlineStr">
        <is>
          <t>ALINGSÅS</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10722-2021</t>
        </is>
      </c>
      <c r="B6411" s="1" t="n">
        <v>44258</v>
      </c>
      <c r="C6411" s="1" t="n">
        <v>45212</v>
      </c>
      <c r="D6411" t="inlineStr">
        <is>
          <t>VÄSTRA GÖTALANDS LÄN</t>
        </is>
      </c>
      <c r="E6411" t="inlineStr">
        <is>
          <t>MARK</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10645-2021</t>
        </is>
      </c>
      <c r="B6412" s="1" t="n">
        <v>44258</v>
      </c>
      <c r="C6412" s="1" t="n">
        <v>45212</v>
      </c>
      <c r="D6412" t="inlineStr">
        <is>
          <t>VÄSTRA GÖTALANDS LÄN</t>
        </is>
      </c>
      <c r="E6412" t="inlineStr">
        <is>
          <t>FALKÖPING</t>
        </is>
      </c>
      <c r="F6412" t="inlineStr">
        <is>
          <t>Kyrkan</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10766-2021</t>
        </is>
      </c>
      <c r="B6413" s="1" t="n">
        <v>44259</v>
      </c>
      <c r="C6413" s="1" t="n">
        <v>45212</v>
      </c>
      <c r="D6413" t="inlineStr">
        <is>
          <t>VÄSTRA GÖTALANDS LÄN</t>
        </is>
      </c>
      <c r="E6413" t="inlineStr">
        <is>
          <t>UDDEVALLA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10879-2021</t>
        </is>
      </c>
      <c r="B6414" s="1" t="n">
        <v>44259</v>
      </c>
      <c r="C6414" s="1" t="n">
        <v>45212</v>
      </c>
      <c r="D6414" t="inlineStr">
        <is>
          <t>VÄSTRA GÖTALANDS LÄN</t>
        </is>
      </c>
      <c r="E6414" t="inlineStr">
        <is>
          <t>TROLLHÄTTAN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10901-2021</t>
        </is>
      </c>
      <c r="B6415" s="1" t="n">
        <v>44259</v>
      </c>
      <c r="C6415" s="1" t="n">
        <v>45212</v>
      </c>
      <c r="D6415" t="inlineStr">
        <is>
          <t>VÄSTRA GÖTALANDS LÄN</t>
        </is>
      </c>
      <c r="E6415" t="inlineStr">
        <is>
          <t>MARIESTAD</t>
        </is>
      </c>
      <c r="G6415" t="n">
        <v>4.7</v>
      </c>
      <c r="H6415" t="n">
        <v>0</v>
      </c>
      <c r="I6415" t="n">
        <v>0</v>
      </c>
      <c r="J6415" t="n">
        <v>0</v>
      </c>
      <c r="K6415" t="n">
        <v>0</v>
      </c>
      <c r="L6415" t="n">
        <v>0</v>
      </c>
      <c r="M6415" t="n">
        <v>0</v>
      </c>
      <c r="N6415" t="n">
        <v>0</v>
      </c>
      <c r="O6415" t="n">
        <v>0</v>
      </c>
      <c r="P6415" t="n">
        <v>0</v>
      </c>
      <c r="Q6415" t="n">
        <v>0</v>
      </c>
      <c r="R6415" s="2" t="inlineStr"/>
    </row>
    <row r="6416" ht="15" customHeight="1">
      <c r="A6416" t="inlineStr">
        <is>
          <t>A 10890-2021</t>
        </is>
      </c>
      <c r="B6416" s="1" t="n">
        <v>44259</v>
      </c>
      <c r="C6416" s="1" t="n">
        <v>45212</v>
      </c>
      <c r="D6416" t="inlineStr">
        <is>
          <t>VÄSTRA GÖTALANDS LÄN</t>
        </is>
      </c>
      <c r="E6416" t="inlineStr">
        <is>
          <t>TROLLHÄTTAN</t>
        </is>
      </c>
      <c r="G6416" t="n">
        <v>3.4</v>
      </c>
      <c r="H6416" t="n">
        <v>0</v>
      </c>
      <c r="I6416" t="n">
        <v>0</v>
      </c>
      <c r="J6416" t="n">
        <v>0</v>
      </c>
      <c r="K6416" t="n">
        <v>0</v>
      </c>
      <c r="L6416" t="n">
        <v>0</v>
      </c>
      <c r="M6416" t="n">
        <v>0</v>
      </c>
      <c r="N6416" t="n">
        <v>0</v>
      </c>
      <c r="O6416" t="n">
        <v>0</v>
      </c>
      <c r="P6416" t="n">
        <v>0</v>
      </c>
      <c r="Q6416" t="n">
        <v>0</v>
      </c>
      <c r="R6416" s="2" t="inlineStr"/>
    </row>
    <row r="6417" ht="15" customHeight="1">
      <c r="A6417" t="inlineStr">
        <is>
          <t>A 11023-2021</t>
        </is>
      </c>
      <c r="B6417" s="1" t="n">
        <v>44260</v>
      </c>
      <c r="C6417" s="1" t="n">
        <v>45212</v>
      </c>
      <c r="D6417" t="inlineStr">
        <is>
          <t>VÄSTRA GÖTALANDS LÄN</t>
        </is>
      </c>
      <c r="E6417" t="inlineStr">
        <is>
          <t>MARIESTAD</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11180-2021</t>
        </is>
      </c>
      <c r="B6418" s="1" t="n">
        <v>44262</v>
      </c>
      <c r="C6418" s="1" t="n">
        <v>45212</v>
      </c>
      <c r="D6418" t="inlineStr">
        <is>
          <t>VÄSTRA GÖTALANDS LÄN</t>
        </is>
      </c>
      <c r="E6418" t="inlineStr">
        <is>
          <t>BORÅS</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11200-2021</t>
        </is>
      </c>
      <c r="B6419" s="1" t="n">
        <v>44263</v>
      </c>
      <c r="C6419" s="1" t="n">
        <v>45212</v>
      </c>
      <c r="D6419" t="inlineStr">
        <is>
          <t>VÄSTRA GÖTALANDS LÄN</t>
        </is>
      </c>
      <c r="E6419" t="inlineStr">
        <is>
          <t>TÖREBODA</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11370-2021</t>
        </is>
      </c>
      <c r="B6420" s="1" t="n">
        <v>44263</v>
      </c>
      <c r="C6420" s="1" t="n">
        <v>45212</v>
      </c>
      <c r="D6420" t="inlineStr">
        <is>
          <t>VÄSTRA GÖTALANDS LÄN</t>
        </is>
      </c>
      <c r="E6420" t="inlineStr">
        <is>
          <t>FÄRGELANDA</t>
        </is>
      </c>
      <c r="F6420" t="inlineStr">
        <is>
          <t>Kommuner</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11218-2021</t>
        </is>
      </c>
      <c r="B6421" s="1" t="n">
        <v>44263</v>
      </c>
      <c r="C6421" s="1" t="n">
        <v>45212</v>
      </c>
      <c r="D6421" t="inlineStr">
        <is>
          <t>VÄSTRA GÖTALANDS LÄN</t>
        </is>
      </c>
      <c r="E6421" t="inlineStr">
        <is>
          <t>TRANEMO</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11331-2021</t>
        </is>
      </c>
      <c r="B6422" s="1" t="n">
        <v>44263</v>
      </c>
      <c r="C6422" s="1" t="n">
        <v>45212</v>
      </c>
      <c r="D6422" t="inlineStr">
        <is>
          <t>VÄSTRA GÖTALANDS LÄN</t>
        </is>
      </c>
      <c r="E6422" t="inlineStr">
        <is>
          <t>FALKÖPING</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11399-2021</t>
        </is>
      </c>
      <c r="B6423" s="1" t="n">
        <v>44263</v>
      </c>
      <c r="C6423" s="1" t="n">
        <v>45212</v>
      </c>
      <c r="D6423" t="inlineStr">
        <is>
          <t>VÄSTRA GÖTALANDS LÄN</t>
        </is>
      </c>
      <c r="E6423" t="inlineStr">
        <is>
          <t>ALINGSÅS</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11667-2021</t>
        </is>
      </c>
      <c r="B6424" s="1" t="n">
        <v>44264</v>
      </c>
      <c r="C6424" s="1" t="n">
        <v>45212</v>
      </c>
      <c r="D6424" t="inlineStr">
        <is>
          <t>VÄSTRA GÖTALANDS LÄN</t>
        </is>
      </c>
      <c r="E6424" t="inlineStr">
        <is>
          <t>MELLERUD</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11679-2021</t>
        </is>
      </c>
      <c r="B6425" s="1" t="n">
        <v>44264</v>
      </c>
      <c r="C6425" s="1" t="n">
        <v>45212</v>
      </c>
      <c r="D6425" t="inlineStr">
        <is>
          <t>VÄSTRA GÖTALANDS LÄN</t>
        </is>
      </c>
      <c r="E6425" t="inlineStr">
        <is>
          <t>SVENLJUNGA</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11526-2021</t>
        </is>
      </c>
      <c r="B6426" s="1" t="n">
        <v>44264</v>
      </c>
      <c r="C6426" s="1" t="n">
        <v>45212</v>
      </c>
      <c r="D6426" t="inlineStr">
        <is>
          <t>VÄSTRA GÖTALANDS LÄN</t>
        </is>
      </c>
      <c r="E6426" t="inlineStr">
        <is>
          <t>DALS-ED</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11643-2021</t>
        </is>
      </c>
      <c r="B6427" s="1" t="n">
        <v>44264</v>
      </c>
      <c r="C6427" s="1" t="n">
        <v>45212</v>
      </c>
      <c r="D6427" t="inlineStr">
        <is>
          <t>VÄSTRA GÖTALANDS LÄN</t>
        </is>
      </c>
      <c r="E6427" t="inlineStr">
        <is>
          <t>TRANEMO</t>
        </is>
      </c>
      <c r="F6427" t="inlineStr">
        <is>
          <t>Kommuner</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11656-2021</t>
        </is>
      </c>
      <c r="B6428" s="1" t="n">
        <v>44264</v>
      </c>
      <c r="C6428" s="1" t="n">
        <v>45212</v>
      </c>
      <c r="D6428" t="inlineStr">
        <is>
          <t>VÄSTRA GÖTALANDS LÄN</t>
        </is>
      </c>
      <c r="E6428" t="inlineStr">
        <is>
          <t>DALS-ED</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11557-2021</t>
        </is>
      </c>
      <c r="B6429" s="1" t="n">
        <v>44264</v>
      </c>
      <c r="C6429" s="1" t="n">
        <v>45212</v>
      </c>
      <c r="D6429" t="inlineStr">
        <is>
          <t>VÄSTRA GÖTALANDS LÄN</t>
        </is>
      </c>
      <c r="E6429" t="inlineStr">
        <is>
          <t>VARA</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11934-2021</t>
        </is>
      </c>
      <c r="B6430" s="1" t="n">
        <v>44265</v>
      </c>
      <c r="C6430" s="1" t="n">
        <v>45212</v>
      </c>
      <c r="D6430" t="inlineStr">
        <is>
          <t>VÄSTRA GÖTALANDS LÄN</t>
        </is>
      </c>
      <c r="E6430" t="inlineStr">
        <is>
          <t>SKARA</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11853-2021</t>
        </is>
      </c>
      <c r="B6431" s="1" t="n">
        <v>44265</v>
      </c>
      <c r="C6431" s="1" t="n">
        <v>45212</v>
      </c>
      <c r="D6431" t="inlineStr">
        <is>
          <t>VÄSTRA GÖTALANDS LÄN</t>
        </is>
      </c>
      <c r="E6431" t="inlineStr">
        <is>
          <t>TIDAHOLM</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11772-2021</t>
        </is>
      </c>
      <c r="B6432" s="1" t="n">
        <v>44265</v>
      </c>
      <c r="C6432" s="1" t="n">
        <v>45212</v>
      </c>
      <c r="D6432" t="inlineStr">
        <is>
          <t>VÄSTRA GÖTALANDS LÄN</t>
        </is>
      </c>
      <c r="E6432" t="inlineStr">
        <is>
          <t>ULRICEHAMN</t>
        </is>
      </c>
      <c r="G6432" t="n">
        <v>4.8</v>
      </c>
      <c r="H6432" t="n">
        <v>0</v>
      </c>
      <c r="I6432" t="n">
        <v>0</v>
      </c>
      <c r="J6432" t="n">
        <v>0</v>
      </c>
      <c r="K6432" t="n">
        <v>0</v>
      </c>
      <c r="L6432" t="n">
        <v>0</v>
      </c>
      <c r="M6432" t="n">
        <v>0</v>
      </c>
      <c r="N6432" t="n">
        <v>0</v>
      </c>
      <c r="O6432" t="n">
        <v>0</v>
      </c>
      <c r="P6432" t="n">
        <v>0</v>
      </c>
      <c r="Q6432" t="n">
        <v>0</v>
      </c>
      <c r="R6432" s="2" t="inlineStr"/>
    </row>
    <row r="6433" ht="15" customHeight="1">
      <c r="A6433" t="inlineStr">
        <is>
          <t>A 11850-2021</t>
        </is>
      </c>
      <c r="B6433" s="1" t="n">
        <v>44265</v>
      </c>
      <c r="C6433" s="1" t="n">
        <v>45212</v>
      </c>
      <c r="D6433" t="inlineStr">
        <is>
          <t>VÄSTRA GÖTALANDS LÄN</t>
        </is>
      </c>
      <c r="E6433" t="inlineStr">
        <is>
          <t>UDDEVALLA</t>
        </is>
      </c>
      <c r="G6433" t="n">
        <v>7.6</v>
      </c>
      <c r="H6433" t="n">
        <v>0</v>
      </c>
      <c r="I6433" t="n">
        <v>0</v>
      </c>
      <c r="J6433" t="n">
        <v>0</v>
      </c>
      <c r="K6433" t="n">
        <v>0</v>
      </c>
      <c r="L6433" t="n">
        <v>0</v>
      </c>
      <c r="M6433" t="n">
        <v>0</v>
      </c>
      <c r="N6433" t="n">
        <v>0</v>
      </c>
      <c r="O6433" t="n">
        <v>0</v>
      </c>
      <c r="P6433" t="n">
        <v>0</v>
      </c>
      <c r="Q6433" t="n">
        <v>0</v>
      </c>
      <c r="R6433" s="2" t="inlineStr"/>
    </row>
    <row r="6434" ht="15" customHeight="1">
      <c r="A6434" t="inlineStr">
        <is>
          <t>A 11887-2021</t>
        </is>
      </c>
      <c r="B6434" s="1" t="n">
        <v>44265</v>
      </c>
      <c r="C6434" s="1" t="n">
        <v>45212</v>
      </c>
      <c r="D6434" t="inlineStr">
        <is>
          <t>VÄSTRA GÖTALANDS LÄN</t>
        </is>
      </c>
      <c r="E6434" t="inlineStr">
        <is>
          <t>FALKÖPING</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11719-2021</t>
        </is>
      </c>
      <c r="B6435" s="1" t="n">
        <v>44265</v>
      </c>
      <c r="C6435" s="1" t="n">
        <v>45212</v>
      </c>
      <c r="D6435" t="inlineStr">
        <is>
          <t>VÄSTRA GÖTALANDS LÄN</t>
        </is>
      </c>
      <c r="E6435" t="inlineStr">
        <is>
          <t>GULLSPÅNG</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11805-2021</t>
        </is>
      </c>
      <c r="B6436" s="1" t="n">
        <v>44265</v>
      </c>
      <c r="C6436" s="1" t="n">
        <v>45212</v>
      </c>
      <c r="D6436" t="inlineStr">
        <is>
          <t>VÄSTRA GÖTALANDS LÄN</t>
        </is>
      </c>
      <c r="E6436" t="inlineStr">
        <is>
          <t>GULLSPÅNG</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11950-2021</t>
        </is>
      </c>
      <c r="B6437" s="1" t="n">
        <v>44266</v>
      </c>
      <c r="C6437" s="1" t="n">
        <v>45212</v>
      </c>
      <c r="D6437" t="inlineStr">
        <is>
          <t>VÄSTRA GÖTALANDS LÄN</t>
        </is>
      </c>
      <c r="E6437" t="inlineStr">
        <is>
          <t>BORÅS</t>
        </is>
      </c>
      <c r="G6437" t="n">
        <v>6.1</v>
      </c>
      <c r="H6437" t="n">
        <v>0</v>
      </c>
      <c r="I6437" t="n">
        <v>0</v>
      </c>
      <c r="J6437" t="n">
        <v>0</v>
      </c>
      <c r="K6437" t="n">
        <v>0</v>
      </c>
      <c r="L6437" t="n">
        <v>0</v>
      </c>
      <c r="M6437" t="n">
        <v>0</v>
      </c>
      <c r="N6437" t="n">
        <v>0</v>
      </c>
      <c r="O6437" t="n">
        <v>0</v>
      </c>
      <c r="P6437" t="n">
        <v>0</v>
      </c>
      <c r="Q6437" t="n">
        <v>0</v>
      </c>
      <c r="R6437" s="2" t="inlineStr"/>
    </row>
    <row r="6438" ht="15" customHeight="1">
      <c r="A6438" t="inlineStr">
        <is>
          <t>A 12046-2021</t>
        </is>
      </c>
      <c r="B6438" s="1" t="n">
        <v>44266</v>
      </c>
      <c r="C6438" s="1" t="n">
        <v>45212</v>
      </c>
      <c r="D6438" t="inlineStr">
        <is>
          <t>VÄSTRA GÖTALANDS LÄN</t>
        </is>
      </c>
      <c r="E6438" t="inlineStr">
        <is>
          <t>DALS-ED</t>
        </is>
      </c>
      <c r="G6438" t="n">
        <v>1.3</v>
      </c>
      <c r="H6438" t="n">
        <v>0</v>
      </c>
      <c r="I6438" t="n">
        <v>0</v>
      </c>
      <c r="J6438" t="n">
        <v>0</v>
      </c>
      <c r="K6438" t="n">
        <v>0</v>
      </c>
      <c r="L6438" t="n">
        <v>0</v>
      </c>
      <c r="M6438" t="n">
        <v>0</v>
      </c>
      <c r="N6438" t="n">
        <v>0</v>
      </c>
      <c r="O6438" t="n">
        <v>0</v>
      </c>
      <c r="P6438" t="n">
        <v>0</v>
      </c>
      <c r="Q6438" t="n">
        <v>0</v>
      </c>
      <c r="R6438" s="2" t="inlineStr"/>
    </row>
    <row r="6439" ht="15" customHeight="1">
      <c r="A6439" t="inlineStr">
        <is>
          <t>A 12206-2021</t>
        </is>
      </c>
      <c r="B6439" s="1" t="n">
        <v>44266</v>
      </c>
      <c r="C6439" s="1" t="n">
        <v>45212</v>
      </c>
      <c r="D6439" t="inlineStr">
        <is>
          <t>VÄSTRA GÖTALANDS LÄN</t>
        </is>
      </c>
      <c r="E6439" t="inlineStr">
        <is>
          <t>KARLSBORG</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12002-2021</t>
        </is>
      </c>
      <c r="B6440" s="1" t="n">
        <v>44266</v>
      </c>
      <c r="C6440" s="1" t="n">
        <v>45212</v>
      </c>
      <c r="D6440" t="inlineStr">
        <is>
          <t>VÄSTRA GÖTALANDS LÄN</t>
        </is>
      </c>
      <c r="E6440" t="inlineStr">
        <is>
          <t>FALKÖPING</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12176-2021</t>
        </is>
      </c>
      <c r="B6441" s="1" t="n">
        <v>44266</v>
      </c>
      <c r="C6441" s="1" t="n">
        <v>45212</v>
      </c>
      <c r="D6441" t="inlineStr">
        <is>
          <t>VÄSTRA GÖTALANDS LÄN</t>
        </is>
      </c>
      <c r="E6441" t="inlineStr">
        <is>
          <t>FÄRGELANDA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12262-2021</t>
        </is>
      </c>
      <c r="B6442" s="1" t="n">
        <v>44266</v>
      </c>
      <c r="C6442" s="1" t="n">
        <v>45212</v>
      </c>
      <c r="D6442" t="inlineStr">
        <is>
          <t>VÄSTRA GÖTALANDS LÄN</t>
        </is>
      </c>
      <c r="E6442" t="inlineStr">
        <is>
          <t>HÄRRYDA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12107-2021</t>
        </is>
      </c>
      <c r="B6443" s="1" t="n">
        <v>44266</v>
      </c>
      <c r="C6443" s="1" t="n">
        <v>45212</v>
      </c>
      <c r="D6443" t="inlineStr">
        <is>
          <t>VÄSTRA GÖTALANDS LÄN</t>
        </is>
      </c>
      <c r="E6443" t="inlineStr">
        <is>
          <t>TÖREBODA</t>
        </is>
      </c>
      <c r="F6443" t="inlineStr">
        <is>
          <t>Sveaskog</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11987-2021</t>
        </is>
      </c>
      <c r="B6444" s="1" t="n">
        <v>44266</v>
      </c>
      <c r="C6444" s="1" t="n">
        <v>45212</v>
      </c>
      <c r="D6444" t="inlineStr">
        <is>
          <t>VÄSTRA GÖTALANDS LÄN</t>
        </is>
      </c>
      <c r="E6444" t="inlineStr">
        <is>
          <t>ALINGSÅS</t>
        </is>
      </c>
      <c r="G6444" t="n">
        <v>5.5</v>
      </c>
      <c r="H6444" t="n">
        <v>0</v>
      </c>
      <c r="I6444" t="n">
        <v>0</v>
      </c>
      <c r="J6444" t="n">
        <v>0</v>
      </c>
      <c r="K6444" t="n">
        <v>0</v>
      </c>
      <c r="L6444" t="n">
        <v>0</v>
      </c>
      <c r="M6444" t="n">
        <v>0</v>
      </c>
      <c r="N6444" t="n">
        <v>0</v>
      </c>
      <c r="O6444" t="n">
        <v>0</v>
      </c>
      <c r="P6444" t="n">
        <v>0</v>
      </c>
      <c r="Q6444" t="n">
        <v>0</v>
      </c>
      <c r="R6444" s="2" t="inlineStr"/>
    </row>
    <row r="6445" ht="15" customHeight="1">
      <c r="A6445" t="inlineStr">
        <is>
          <t>A 12052-2021</t>
        </is>
      </c>
      <c r="B6445" s="1" t="n">
        <v>44266</v>
      </c>
      <c r="C6445" s="1" t="n">
        <v>45212</v>
      </c>
      <c r="D6445" t="inlineStr">
        <is>
          <t>VÄSTRA GÖTALANDS LÄN</t>
        </is>
      </c>
      <c r="E6445" t="inlineStr">
        <is>
          <t>DALS-ED</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12122-2021</t>
        </is>
      </c>
      <c r="B6446" s="1" t="n">
        <v>44266</v>
      </c>
      <c r="C6446" s="1" t="n">
        <v>45212</v>
      </c>
      <c r="D6446" t="inlineStr">
        <is>
          <t>VÄSTRA GÖTALANDS LÄN</t>
        </is>
      </c>
      <c r="E6446" t="inlineStr">
        <is>
          <t>MARIESTAD</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12466-2021</t>
        </is>
      </c>
      <c r="B6447" s="1" t="n">
        <v>44267</v>
      </c>
      <c r="C6447" s="1" t="n">
        <v>45212</v>
      </c>
      <c r="D6447" t="inlineStr">
        <is>
          <t>VÄSTRA GÖTALANDS LÄN</t>
        </is>
      </c>
      <c r="E6447" t="inlineStr">
        <is>
          <t>FÄRGELANDA</t>
        </is>
      </c>
      <c r="F6447" t="inlineStr">
        <is>
          <t>Övriga Aktiebolag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12681-2021</t>
        </is>
      </c>
      <c r="B6448" s="1" t="n">
        <v>44267</v>
      </c>
      <c r="C6448" s="1" t="n">
        <v>45212</v>
      </c>
      <c r="D6448" t="inlineStr">
        <is>
          <t>VÄSTRA GÖTALANDS LÄN</t>
        </is>
      </c>
      <c r="E6448" t="inlineStr">
        <is>
          <t>ULRICEHAMN</t>
        </is>
      </c>
      <c r="F6448" t="inlineStr">
        <is>
          <t>Kyrkan</t>
        </is>
      </c>
      <c r="G6448" t="n">
        <v>17</v>
      </c>
      <c r="H6448" t="n">
        <v>0</v>
      </c>
      <c r="I6448" t="n">
        <v>0</v>
      </c>
      <c r="J6448" t="n">
        <v>0</v>
      </c>
      <c r="K6448" t="n">
        <v>0</v>
      </c>
      <c r="L6448" t="n">
        <v>0</v>
      </c>
      <c r="M6448" t="n">
        <v>0</v>
      </c>
      <c r="N6448" t="n">
        <v>0</v>
      </c>
      <c r="O6448" t="n">
        <v>0</v>
      </c>
      <c r="P6448" t="n">
        <v>0</v>
      </c>
      <c r="Q6448" t="n">
        <v>0</v>
      </c>
      <c r="R6448" s="2" t="inlineStr"/>
    </row>
    <row r="6449" ht="15" customHeight="1">
      <c r="A6449" t="inlineStr">
        <is>
          <t>A 12454-2021</t>
        </is>
      </c>
      <c r="B6449" s="1" t="n">
        <v>44267</v>
      </c>
      <c r="C6449" s="1" t="n">
        <v>45212</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12677-2021</t>
        </is>
      </c>
      <c r="B6450" s="1" t="n">
        <v>44267</v>
      </c>
      <c r="C6450" s="1" t="n">
        <v>45212</v>
      </c>
      <c r="D6450" t="inlineStr">
        <is>
          <t>VÄSTRA GÖTALANDS LÄN</t>
        </is>
      </c>
      <c r="E6450" t="inlineStr">
        <is>
          <t>ULRICEHAMN</t>
        </is>
      </c>
      <c r="F6450" t="inlineStr">
        <is>
          <t>Kyrkan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12383-2021</t>
        </is>
      </c>
      <c r="B6451" s="1" t="n">
        <v>44267</v>
      </c>
      <c r="C6451" s="1" t="n">
        <v>45212</v>
      </c>
      <c r="D6451" t="inlineStr">
        <is>
          <t>VÄSTRA GÖTALANDS LÄN</t>
        </is>
      </c>
      <c r="E6451" t="inlineStr">
        <is>
          <t>TRANEMO</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12680-2021</t>
        </is>
      </c>
      <c r="B6452" s="1" t="n">
        <v>44267</v>
      </c>
      <c r="C6452" s="1" t="n">
        <v>45212</v>
      </c>
      <c r="D6452" t="inlineStr">
        <is>
          <t>VÄSTRA GÖTALANDS LÄN</t>
        </is>
      </c>
      <c r="E6452" t="inlineStr">
        <is>
          <t>ULRICEHAMN</t>
        </is>
      </c>
      <c r="F6452" t="inlineStr">
        <is>
          <t>Kyrkan</t>
        </is>
      </c>
      <c r="G6452" t="n">
        <v>5.6</v>
      </c>
      <c r="H6452" t="n">
        <v>0</v>
      </c>
      <c r="I6452" t="n">
        <v>0</v>
      </c>
      <c r="J6452" t="n">
        <v>0</v>
      </c>
      <c r="K6452" t="n">
        <v>0</v>
      </c>
      <c r="L6452" t="n">
        <v>0</v>
      </c>
      <c r="M6452" t="n">
        <v>0</v>
      </c>
      <c r="N6452" t="n">
        <v>0</v>
      </c>
      <c r="O6452" t="n">
        <v>0</v>
      </c>
      <c r="P6452" t="n">
        <v>0</v>
      </c>
      <c r="Q6452" t="n">
        <v>0</v>
      </c>
      <c r="R6452" s="2" t="inlineStr"/>
    </row>
    <row r="6453" ht="15" customHeight="1">
      <c r="A6453" t="inlineStr">
        <is>
          <t>A 12503-2021</t>
        </is>
      </c>
      <c r="B6453" s="1" t="n">
        <v>44268</v>
      </c>
      <c r="C6453" s="1" t="n">
        <v>45212</v>
      </c>
      <c r="D6453" t="inlineStr">
        <is>
          <t>VÄSTRA GÖTALANDS LÄN</t>
        </is>
      </c>
      <c r="E6453" t="inlineStr">
        <is>
          <t>SKARA</t>
        </is>
      </c>
      <c r="G6453" t="n">
        <v>0.3</v>
      </c>
      <c r="H6453" t="n">
        <v>0</v>
      </c>
      <c r="I6453" t="n">
        <v>0</v>
      </c>
      <c r="J6453" t="n">
        <v>0</v>
      </c>
      <c r="K6453" t="n">
        <v>0</v>
      </c>
      <c r="L6453" t="n">
        <v>0</v>
      </c>
      <c r="M6453" t="n">
        <v>0</v>
      </c>
      <c r="N6453" t="n">
        <v>0</v>
      </c>
      <c r="O6453" t="n">
        <v>0</v>
      </c>
      <c r="P6453" t="n">
        <v>0</v>
      </c>
      <c r="Q6453" t="n">
        <v>0</v>
      </c>
      <c r="R6453" s="2" t="inlineStr"/>
    </row>
    <row r="6454" ht="15" customHeight="1">
      <c r="A6454" t="inlineStr">
        <is>
          <t>A 12668-2021</t>
        </is>
      </c>
      <c r="B6454" s="1" t="n">
        <v>44270</v>
      </c>
      <c r="C6454" s="1" t="n">
        <v>45212</v>
      </c>
      <c r="D6454" t="inlineStr">
        <is>
          <t>VÄSTRA GÖTALANDS LÄN</t>
        </is>
      </c>
      <c r="E6454" t="inlineStr">
        <is>
          <t>VARA</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12726-2021</t>
        </is>
      </c>
      <c r="B6455" s="1" t="n">
        <v>44270</v>
      </c>
      <c r="C6455" s="1" t="n">
        <v>45212</v>
      </c>
      <c r="D6455" t="inlineStr">
        <is>
          <t>VÄSTRA GÖTALANDS LÄN</t>
        </is>
      </c>
      <c r="E6455" t="inlineStr">
        <is>
          <t>FALKÖPING</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12548-2021</t>
        </is>
      </c>
      <c r="B6456" s="1" t="n">
        <v>44270</v>
      </c>
      <c r="C6456" s="1" t="n">
        <v>45212</v>
      </c>
      <c r="D6456" t="inlineStr">
        <is>
          <t>VÄSTRA GÖTALANDS LÄN</t>
        </is>
      </c>
      <c r="E6456" t="inlineStr">
        <is>
          <t>TRANEMO</t>
        </is>
      </c>
      <c r="G6456" t="n">
        <v>0.8</v>
      </c>
      <c r="H6456" t="n">
        <v>0</v>
      </c>
      <c r="I6456" t="n">
        <v>0</v>
      </c>
      <c r="J6456" t="n">
        <v>0</v>
      </c>
      <c r="K6456" t="n">
        <v>0</v>
      </c>
      <c r="L6456" t="n">
        <v>0</v>
      </c>
      <c r="M6456" t="n">
        <v>0</v>
      </c>
      <c r="N6456" t="n">
        <v>0</v>
      </c>
      <c r="O6456" t="n">
        <v>0</v>
      </c>
      <c r="P6456" t="n">
        <v>0</v>
      </c>
      <c r="Q6456" t="n">
        <v>0</v>
      </c>
      <c r="R6456" s="2" t="inlineStr"/>
    </row>
    <row r="6457" ht="15" customHeight="1">
      <c r="A6457" t="inlineStr">
        <is>
          <t>A 12605-2021</t>
        </is>
      </c>
      <c r="B6457" s="1" t="n">
        <v>44270</v>
      </c>
      <c r="C6457" s="1" t="n">
        <v>45212</v>
      </c>
      <c r="D6457" t="inlineStr">
        <is>
          <t>VÄSTRA GÖTALANDS LÄN</t>
        </is>
      </c>
      <c r="E6457" t="inlineStr">
        <is>
          <t>SOTENÄS</t>
        </is>
      </c>
      <c r="G6457" t="n">
        <v>4.5</v>
      </c>
      <c r="H6457" t="n">
        <v>0</v>
      </c>
      <c r="I6457" t="n">
        <v>0</v>
      </c>
      <c r="J6457" t="n">
        <v>0</v>
      </c>
      <c r="K6457" t="n">
        <v>0</v>
      </c>
      <c r="L6457" t="n">
        <v>0</v>
      </c>
      <c r="M6457" t="n">
        <v>0</v>
      </c>
      <c r="N6457" t="n">
        <v>0</v>
      </c>
      <c r="O6457" t="n">
        <v>0</v>
      </c>
      <c r="P6457" t="n">
        <v>0</v>
      </c>
      <c r="Q6457" t="n">
        <v>0</v>
      </c>
      <c r="R6457" s="2" t="inlineStr"/>
    </row>
    <row r="6458" ht="15" customHeight="1">
      <c r="A6458" t="inlineStr">
        <is>
          <t>A 12628-2021</t>
        </is>
      </c>
      <c r="B6458" s="1" t="n">
        <v>44270</v>
      </c>
      <c r="C6458" s="1" t="n">
        <v>45212</v>
      </c>
      <c r="D6458" t="inlineStr">
        <is>
          <t>VÄSTRA GÖTALANDS LÄN</t>
        </is>
      </c>
      <c r="E6458" t="inlineStr">
        <is>
          <t>ÅMÅL</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12745-2021</t>
        </is>
      </c>
      <c r="B6459" s="1" t="n">
        <v>44270</v>
      </c>
      <c r="C6459" s="1" t="n">
        <v>45212</v>
      </c>
      <c r="D6459" t="inlineStr">
        <is>
          <t>VÄSTRA GÖTALANDS LÄN</t>
        </is>
      </c>
      <c r="E6459" t="inlineStr">
        <is>
          <t>TANUM</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12846-2021</t>
        </is>
      </c>
      <c r="B6460" s="1" t="n">
        <v>44270</v>
      </c>
      <c r="C6460" s="1" t="n">
        <v>45212</v>
      </c>
      <c r="D6460" t="inlineStr">
        <is>
          <t>VÄSTRA GÖTALANDS LÄN</t>
        </is>
      </c>
      <c r="E6460" t="inlineStr">
        <is>
          <t>GRÄSTORP</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12546-2021</t>
        </is>
      </c>
      <c r="B6461" s="1" t="n">
        <v>44270</v>
      </c>
      <c r="C6461" s="1" t="n">
        <v>45212</v>
      </c>
      <c r="D6461" t="inlineStr">
        <is>
          <t>VÄSTRA GÖTALANDS LÄN</t>
        </is>
      </c>
      <c r="E6461" t="inlineStr">
        <is>
          <t>TRANEMO</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12695-2021</t>
        </is>
      </c>
      <c r="B6462" s="1" t="n">
        <v>44270</v>
      </c>
      <c r="C6462" s="1" t="n">
        <v>45212</v>
      </c>
      <c r="D6462" t="inlineStr">
        <is>
          <t>VÄSTRA GÖTALANDS LÄN</t>
        </is>
      </c>
      <c r="E6462" t="inlineStr">
        <is>
          <t>MELLERUD</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12733-2021</t>
        </is>
      </c>
      <c r="B6463" s="1" t="n">
        <v>44270</v>
      </c>
      <c r="C6463" s="1" t="n">
        <v>45212</v>
      </c>
      <c r="D6463" t="inlineStr">
        <is>
          <t>VÄSTRA GÖTALANDS LÄN</t>
        </is>
      </c>
      <c r="E6463" t="inlineStr">
        <is>
          <t>ULRICEHAMN</t>
        </is>
      </c>
      <c r="G6463" t="n">
        <v>5.2</v>
      </c>
      <c r="H6463" t="n">
        <v>0</v>
      </c>
      <c r="I6463" t="n">
        <v>0</v>
      </c>
      <c r="J6463" t="n">
        <v>0</v>
      </c>
      <c r="K6463" t="n">
        <v>0</v>
      </c>
      <c r="L6463" t="n">
        <v>0</v>
      </c>
      <c r="M6463" t="n">
        <v>0</v>
      </c>
      <c r="N6463" t="n">
        <v>0</v>
      </c>
      <c r="O6463" t="n">
        <v>0</v>
      </c>
      <c r="P6463" t="n">
        <v>0</v>
      </c>
      <c r="Q6463" t="n">
        <v>0</v>
      </c>
      <c r="R6463" s="2" t="inlineStr"/>
    </row>
    <row r="6464" ht="15" customHeight="1">
      <c r="A6464" t="inlineStr">
        <is>
          <t>A 12949-2021</t>
        </is>
      </c>
      <c r="B6464" s="1" t="n">
        <v>44271</v>
      </c>
      <c r="C6464" s="1" t="n">
        <v>45212</v>
      </c>
      <c r="D6464" t="inlineStr">
        <is>
          <t>VÄSTRA GÖTALANDS LÄN</t>
        </is>
      </c>
      <c r="E6464" t="inlineStr">
        <is>
          <t>MARK</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12912-2021</t>
        </is>
      </c>
      <c r="B6465" s="1" t="n">
        <v>44271</v>
      </c>
      <c r="C6465" s="1" t="n">
        <v>45212</v>
      </c>
      <c r="D6465" t="inlineStr">
        <is>
          <t>VÄSTRA GÖTALANDS LÄN</t>
        </is>
      </c>
      <c r="E6465" t="inlineStr">
        <is>
          <t>MARK</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12910-2021</t>
        </is>
      </c>
      <c r="B6466" s="1" t="n">
        <v>44271</v>
      </c>
      <c r="C6466" s="1" t="n">
        <v>45212</v>
      </c>
      <c r="D6466" t="inlineStr">
        <is>
          <t>VÄSTRA GÖTALANDS LÄN</t>
        </is>
      </c>
      <c r="E6466" t="inlineStr">
        <is>
          <t>ALINGSÅS</t>
        </is>
      </c>
      <c r="G6466" t="n">
        <v>1.5</v>
      </c>
      <c r="H6466" t="n">
        <v>0</v>
      </c>
      <c r="I6466" t="n">
        <v>0</v>
      </c>
      <c r="J6466" t="n">
        <v>0</v>
      </c>
      <c r="K6466" t="n">
        <v>0</v>
      </c>
      <c r="L6466" t="n">
        <v>0</v>
      </c>
      <c r="M6466" t="n">
        <v>0</v>
      </c>
      <c r="N6466" t="n">
        <v>0</v>
      </c>
      <c r="O6466" t="n">
        <v>0</v>
      </c>
      <c r="P6466" t="n">
        <v>0</v>
      </c>
      <c r="Q6466" t="n">
        <v>0</v>
      </c>
      <c r="R6466" s="2" t="inlineStr"/>
    </row>
    <row r="6467" ht="15" customHeight="1">
      <c r="A6467" t="inlineStr">
        <is>
          <t>A 12978-2021</t>
        </is>
      </c>
      <c r="B6467" s="1" t="n">
        <v>44271</v>
      </c>
      <c r="C6467" s="1" t="n">
        <v>45212</v>
      </c>
      <c r="D6467" t="inlineStr">
        <is>
          <t>VÄSTRA GÖTALANDS LÄN</t>
        </is>
      </c>
      <c r="E6467" t="inlineStr">
        <is>
          <t>LERUM</t>
        </is>
      </c>
      <c r="G6467" t="n">
        <v>7.7</v>
      </c>
      <c r="H6467" t="n">
        <v>0</v>
      </c>
      <c r="I6467" t="n">
        <v>0</v>
      </c>
      <c r="J6467" t="n">
        <v>0</v>
      </c>
      <c r="K6467" t="n">
        <v>0</v>
      </c>
      <c r="L6467" t="n">
        <v>0</v>
      </c>
      <c r="M6467" t="n">
        <v>0</v>
      </c>
      <c r="N6467" t="n">
        <v>0</v>
      </c>
      <c r="O6467" t="n">
        <v>0</v>
      </c>
      <c r="P6467" t="n">
        <v>0</v>
      </c>
      <c r="Q6467" t="n">
        <v>0</v>
      </c>
      <c r="R6467" s="2" t="inlineStr"/>
    </row>
    <row r="6468" ht="15" customHeight="1">
      <c r="A6468" t="inlineStr">
        <is>
          <t>A 12881-2021</t>
        </is>
      </c>
      <c r="B6468" s="1" t="n">
        <v>44271</v>
      </c>
      <c r="C6468" s="1" t="n">
        <v>45212</v>
      </c>
      <c r="D6468" t="inlineStr">
        <is>
          <t>VÄSTRA GÖTALANDS LÄN</t>
        </is>
      </c>
      <c r="E6468" t="inlineStr">
        <is>
          <t>MARK</t>
        </is>
      </c>
      <c r="F6468" t="inlineStr">
        <is>
          <t>Kommuner</t>
        </is>
      </c>
      <c r="G6468" t="n">
        <v>0.3</v>
      </c>
      <c r="H6468" t="n">
        <v>0</v>
      </c>
      <c r="I6468" t="n">
        <v>0</v>
      </c>
      <c r="J6468" t="n">
        <v>0</v>
      </c>
      <c r="K6468" t="n">
        <v>0</v>
      </c>
      <c r="L6468" t="n">
        <v>0</v>
      </c>
      <c r="M6468" t="n">
        <v>0</v>
      </c>
      <c r="N6468" t="n">
        <v>0</v>
      </c>
      <c r="O6468" t="n">
        <v>0</v>
      </c>
      <c r="P6468" t="n">
        <v>0</v>
      </c>
      <c r="Q6468" t="n">
        <v>0</v>
      </c>
      <c r="R6468" s="2" t="inlineStr"/>
    </row>
    <row r="6469" ht="15" customHeight="1">
      <c r="A6469" t="inlineStr">
        <is>
          <t>A 12918-2021</t>
        </is>
      </c>
      <c r="B6469" s="1" t="n">
        <v>44271</v>
      </c>
      <c r="C6469" s="1" t="n">
        <v>45212</v>
      </c>
      <c r="D6469" t="inlineStr">
        <is>
          <t>VÄSTRA GÖTALANDS LÄN</t>
        </is>
      </c>
      <c r="E6469" t="inlineStr">
        <is>
          <t>VÅRGÅRDA</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13128-2021</t>
        </is>
      </c>
      <c r="B6470" s="1" t="n">
        <v>44272</v>
      </c>
      <c r="C6470" s="1" t="n">
        <v>45212</v>
      </c>
      <c r="D6470" t="inlineStr">
        <is>
          <t>VÄSTRA GÖTALANDS LÄN</t>
        </is>
      </c>
      <c r="E6470" t="inlineStr">
        <is>
          <t>MARK</t>
        </is>
      </c>
      <c r="F6470" t="inlineStr">
        <is>
          <t>Sveaskog</t>
        </is>
      </c>
      <c r="G6470" t="n">
        <v>6</v>
      </c>
      <c r="H6470" t="n">
        <v>0</v>
      </c>
      <c r="I6470" t="n">
        <v>0</v>
      </c>
      <c r="J6470" t="n">
        <v>0</v>
      </c>
      <c r="K6470" t="n">
        <v>0</v>
      </c>
      <c r="L6470" t="n">
        <v>0</v>
      </c>
      <c r="M6470" t="n">
        <v>0</v>
      </c>
      <c r="N6470" t="n">
        <v>0</v>
      </c>
      <c r="O6470" t="n">
        <v>0</v>
      </c>
      <c r="P6470" t="n">
        <v>0</v>
      </c>
      <c r="Q6470" t="n">
        <v>0</v>
      </c>
      <c r="R6470" s="2" t="inlineStr"/>
    </row>
    <row r="6471" ht="15" customHeight="1">
      <c r="A6471" t="inlineStr">
        <is>
          <t>A 13172-2021</t>
        </is>
      </c>
      <c r="B6471" s="1" t="n">
        <v>44272</v>
      </c>
      <c r="C6471" s="1" t="n">
        <v>45212</v>
      </c>
      <c r="D6471" t="inlineStr">
        <is>
          <t>VÄSTRA GÖTALANDS LÄN</t>
        </is>
      </c>
      <c r="E6471" t="inlineStr">
        <is>
          <t>MARK</t>
        </is>
      </c>
      <c r="F6471" t="inlineStr">
        <is>
          <t>Sveaskog</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13542-2021</t>
        </is>
      </c>
      <c r="B6472" s="1" t="n">
        <v>44273</v>
      </c>
      <c r="C6472" s="1" t="n">
        <v>45212</v>
      </c>
      <c r="D6472" t="inlineStr">
        <is>
          <t>VÄSTRA GÖTALANDS LÄN</t>
        </is>
      </c>
      <c r="E6472" t="inlineStr">
        <is>
          <t>TIDAHOLM</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13413-2021</t>
        </is>
      </c>
      <c r="B6473" s="1" t="n">
        <v>44273</v>
      </c>
      <c r="C6473" s="1" t="n">
        <v>45212</v>
      </c>
      <c r="D6473" t="inlineStr">
        <is>
          <t>VÄSTRA GÖTALANDS LÄN</t>
        </is>
      </c>
      <c r="E6473" t="inlineStr">
        <is>
          <t>DALS-ED</t>
        </is>
      </c>
      <c r="F6473" t="inlineStr">
        <is>
          <t>Övriga Aktiebolag</t>
        </is>
      </c>
      <c r="G6473" t="n">
        <v>4.6</v>
      </c>
      <c r="H6473" t="n">
        <v>0</v>
      </c>
      <c r="I6473" t="n">
        <v>0</v>
      </c>
      <c r="J6473" t="n">
        <v>0</v>
      </c>
      <c r="K6473" t="n">
        <v>0</v>
      </c>
      <c r="L6473" t="n">
        <v>0</v>
      </c>
      <c r="M6473" t="n">
        <v>0</v>
      </c>
      <c r="N6473" t="n">
        <v>0</v>
      </c>
      <c r="O6473" t="n">
        <v>0</v>
      </c>
      <c r="P6473" t="n">
        <v>0</v>
      </c>
      <c r="Q6473" t="n">
        <v>0</v>
      </c>
      <c r="R6473" s="2" t="inlineStr"/>
    </row>
    <row r="6474" ht="15" customHeight="1">
      <c r="A6474" t="inlineStr">
        <is>
          <t>A 13462-2021</t>
        </is>
      </c>
      <c r="B6474" s="1" t="n">
        <v>44273</v>
      </c>
      <c r="C6474" s="1" t="n">
        <v>45212</v>
      </c>
      <c r="D6474" t="inlineStr">
        <is>
          <t>VÄSTRA GÖTALANDS LÄN</t>
        </is>
      </c>
      <c r="E6474" t="inlineStr">
        <is>
          <t>ALE</t>
        </is>
      </c>
      <c r="G6474" t="n">
        <v>7.4</v>
      </c>
      <c r="H6474" t="n">
        <v>0</v>
      </c>
      <c r="I6474" t="n">
        <v>0</v>
      </c>
      <c r="J6474" t="n">
        <v>0</v>
      </c>
      <c r="K6474" t="n">
        <v>0</v>
      </c>
      <c r="L6474" t="n">
        <v>0</v>
      </c>
      <c r="M6474" t="n">
        <v>0</v>
      </c>
      <c r="N6474" t="n">
        <v>0</v>
      </c>
      <c r="O6474" t="n">
        <v>0</v>
      </c>
      <c r="P6474" t="n">
        <v>0</v>
      </c>
      <c r="Q6474" t="n">
        <v>0</v>
      </c>
      <c r="R6474" s="2" t="inlineStr"/>
    </row>
    <row r="6475" ht="15" customHeight="1">
      <c r="A6475" t="inlineStr">
        <is>
          <t>A 13498-2021</t>
        </is>
      </c>
      <c r="B6475" s="1" t="n">
        <v>44273</v>
      </c>
      <c r="C6475" s="1" t="n">
        <v>45212</v>
      </c>
      <c r="D6475" t="inlineStr">
        <is>
          <t>VÄSTRA GÖTALANDS LÄN</t>
        </is>
      </c>
      <c r="E6475" t="inlineStr">
        <is>
          <t>ULRICEHAMN</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13583-2021</t>
        </is>
      </c>
      <c r="B6476" s="1" t="n">
        <v>44274</v>
      </c>
      <c r="C6476" s="1" t="n">
        <v>45212</v>
      </c>
      <c r="D6476" t="inlineStr">
        <is>
          <t>VÄSTRA GÖTALANDS LÄN</t>
        </is>
      </c>
      <c r="E6476" t="inlineStr">
        <is>
          <t>BENGTSFORS</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13610-2021</t>
        </is>
      </c>
      <c r="B6477" s="1" t="n">
        <v>44274</v>
      </c>
      <c r="C6477" s="1" t="n">
        <v>45212</v>
      </c>
      <c r="D6477" t="inlineStr">
        <is>
          <t>VÄSTRA GÖTALANDS LÄN</t>
        </is>
      </c>
      <c r="E6477" t="inlineStr">
        <is>
          <t>TIDAHOLM</t>
        </is>
      </c>
      <c r="F6477" t="inlineStr">
        <is>
          <t>Sveaskog</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13664-2021</t>
        </is>
      </c>
      <c r="B6478" s="1" t="n">
        <v>44274</v>
      </c>
      <c r="C6478" s="1" t="n">
        <v>45212</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13586-2021</t>
        </is>
      </c>
      <c r="B6479" s="1" t="n">
        <v>44274</v>
      </c>
      <c r="C6479" s="1" t="n">
        <v>45212</v>
      </c>
      <c r="D6479" t="inlineStr">
        <is>
          <t>VÄSTRA GÖTALANDS LÄN</t>
        </is>
      </c>
      <c r="E6479" t="inlineStr">
        <is>
          <t>BORÅS</t>
        </is>
      </c>
      <c r="F6479" t="inlineStr">
        <is>
          <t>Kyrkan</t>
        </is>
      </c>
      <c r="G6479" t="n">
        <v>1.7</v>
      </c>
      <c r="H6479" t="n">
        <v>0</v>
      </c>
      <c r="I6479" t="n">
        <v>0</v>
      </c>
      <c r="J6479" t="n">
        <v>0</v>
      </c>
      <c r="K6479" t="n">
        <v>0</v>
      </c>
      <c r="L6479" t="n">
        <v>0</v>
      </c>
      <c r="M6479" t="n">
        <v>0</v>
      </c>
      <c r="N6479" t="n">
        <v>0</v>
      </c>
      <c r="O6479" t="n">
        <v>0</v>
      </c>
      <c r="P6479" t="n">
        <v>0</v>
      </c>
      <c r="Q6479" t="n">
        <v>0</v>
      </c>
      <c r="R6479" s="2" t="inlineStr"/>
    </row>
    <row r="6480" ht="15" customHeight="1">
      <c r="A6480" t="inlineStr">
        <is>
          <t>A 13602-2021</t>
        </is>
      </c>
      <c r="B6480" s="1" t="n">
        <v>44274</v>
      </c>
      <c r="C6480" s="1" t="n">
        <v>45212</v>
      </c>
      <c r="D6480" t="inlineStr">
        <is>
          <t>VÄSTRA GÖTALANDS LÄN</t>
        </is>
      </c>
      <c r="E6480" t="inlineStr">
        <is>
          <t>ESSUNGA</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13621-2021</t>
        </is>
      </c>
      <c r="B6481" s="1" t="n">
        <v>44274</v>
      </c>
      <c r="C6481" s="1" t="n">
        <v>45212</v>
      </c>
      <c r="D6481" t="inlineStr">
        <is>
          <t>VÄSTRA GÖTALANDS LÄN</t>
        </is>
      </c>
      <c r="E6481" t="inlineStr">
        <is>
          <t>TIDAHOLM</t>
        </is>
      </c>
      <c r="F6481" t="inlineStr">
        <is>
          <t>Sveaskog</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13692-2021</t>
        </is>
      </c>
      <c r="B6482" s="1" t="n">
        <v>44274</v>
      </c>
      <c r="C6482" s="1" t="n">
        <v>45212</v>
      </c>
      <c r="D6482" t="inlineStr">
        <is>
          <t>VÄSTRA GÖTALANDS LÄN</t>
        </is>
      </c>
      <c r="E6482" t="inlineStr">
        <is>
          <t>HÄRRYDA</t>
        </is>
      </c>
      <c r="G6482" t="n">
        <v>3.5</v>
      </c>
      <c r="H6482" t="n">
        <v>0</v>
      </c>
      <c r="I6482" t="n">
        <v>0</v>
      </c>
      <c r="J6482" t="n">
        <v>0</v>
      </c>
      <c r="K6482" t="n">
        <v>0</v>
      </c>
      <c r="L6482" t="n">
        <v>0</v>
      </c>
      <c r="M6482" t="n">
        <v>0</v>
      </c>
      <c r="N6482" t="n">
        <v>0</v>
      </c>
      <c r="O6482" t="n">
        <v>0</v>
      </c>
      <c r="P6482" t="n">
        <v>0</v>
      </c>
      <c r="Q6482" t="n">
        <v>0</v>
      </c>
      <c r="R6482" s="2" t="inlineStr"/>
    </row>
    <row r="6483" ht="15" customHeight="1">
      <c r="A6483" t="inlineStr">
        <is>
          <t>A 13589-2021</t>
        </is>
      </c>
      <c r="B6483" s="1" t="n">
        <v>44274</v>
      </c>
      <c r="C6483" s="1" t="n">
        <v>45212</v>
      </c>
      <c r="D6483" t="inlineStr">
        <is>
          <t>VÄSTRA GÖTALANDS LÄN</t>
        </is>
      </c>
      <c r="E6483" t="inlineStr">
        <is>
          <t>FÄRGELANDA</t>
        </is>
      </c>
      <c r="G6483" t="n">
        <v>5.4</v>
      </c>
      <c r="H6483" t="n">
        <v>0</v>
      </c>
      <c r="I6483" t="n">
        <v>0</v>
      </c>
      <c r="J6483" t="n">
        <v>0</v>
      </c>
      <c r="K6483" t="n">
        <v>0</v>
      </c>
      <c r="L6483" t="n">
        <v>0</v>
      </c>
      <c r="M6483" t="n">
        <v>0</v>
      </c>
      <c r="N6483" t="n">
        <v>0</v>
      </c>
      <c r="O6483" t="n">
        <v>0</v>
      </c>
      <c r="P6483" t="n">
        <v>0</v>
      </c>
      <c r="Q6483" t="n">
        <v>0</v>
      </c>
      <c r="R6483" s="2" t="inlineStr"/>
    </row>
    <row r="6484" ht="15" customHeight="1">
      <c r="A6484" t="inlineStr">
        <is>
          <t>A 13584-2021</t>
        </is>
      </c>
      <c r="B6484" s="1" t="n">
        <v>44274</v>
      </c>
      <c r="C6484" s="1" t="n">
        <v>45212</v>
      </c>
      <c r="D6484" t="inlineStr">
        <is>
          <t>VÄSTRA GÖTALANDS LÄN</t>
        </is>
      </c>
      <c r="E6484" t="inlineStr">
        <is>
          <t>BORÅS</t>
        </is>
      </c>
      <c r="F6484" t="inlineStr">
        <is>
          <t>Kyrkan</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13644-2021</t>
        </is>
      </c>
      <c r="B6485" s="1" t="n">
        <v>44274</v>
      </c>
      <c r="C6485" s="1" t="n">
        <v>45212</v>
      </c>
      <c r="D6485" t="inlineStr">
        <is>
          <t>VÄSTRA GÖTALANDS LÄN</t>
        </is>
      </c>
      <c r="E6485" t="inlineStr">
        <is>
          <t>BOLLEBYGD</t>
        </is>
      </c>
      <c r="G6485" t="n">
        <v>3.3</v>
      </c>
      <c r="H6485" t="n">
        <v>0</v>
      </c>
      <c r="I6485" t="n">
        <v>0</v>
      </c>
      <c r="J6485" t="n">
        <v>0</v>
      </c>
      <c r="K6485" t="n">
        <v>0</v>
      </c>
      <c r="L6485" t="n">
        <v>0</v>
      </c>
      <c r="M6485" t="n">
        <v>0</v>
      </c>
      <c r="N6485" t="n">
        <v>0</v>
      </c>
      <c r="O6485" t="n">
        <v>0</v>
      </c>
      <c r="P6485" t="n">
        <v>0</v>
      </c>
      <c r="Q6485" t="n">
        <v>0</v>
      </c>
      <c r="R6485" s="2" t="inlineStr"/>
    </row>
    <row r="6486" ht="15" customHeight="1">
      <c r="A6486" t="inlineStr">
        <is>
          <t>A 14007-2021</t>
        </is>
      </c>
      <c r="B6486" s="1" t="n">
        <v>44277</v>
      </c>
      <c r="C6486" s="1" t="n">
        <v>45212</v>
      </c>
      <c r="D6486" t="inlineStr">
        <is>
          <t>VÄSTRA GÖTALANDS LÄN</t>
        </is>
      </c>
      <c r="E6486" t="inlineStr">
        <is>
          <t>TANUM</t>
        </is>
      </c>
      <c r="G6486" t="n">
        <v>1.2</v>
      </c>
      <c r="H6486" t="n">
        <v>0</v>
      </c>
      <c r="I6486" t="n">
        <v>0</v>
      </c>
      <c r="J6486" t="n">
        <v>0</v>
      </c>
      <c r="K6486" t="n">
        <v>0</v>
      </c>
      <c r="L6486" t="n">
        <v>0</v>
      </c>
      <c r="M6486" t="n">
        <v>0</v>
      </c>
      <c r="N6486" t="n">
        <v>0</v>
      </c>
      <c r="O6486" t="n">
        <v>0</v>
      </c>
      <c r="P6486" t="n">
        <v>0</v>
      </c>
      <c r="Q6486" t="n">
        <v>0</v>
      </c>
      <c r="R6486" s="2" t="inlineStr"/>
    </row>
    <row r="6487" ht="15" customHeight="1">
      <c r="A6487" t="inlineStr">
        <is>
          <t>A 13969-2021</t>
        </is>
      </c>
      <c r="B6487" s="1" t="n">
        <v>44277</v>
      </c>
      <c r="C6487" s="1" t="n">
        <v>45212</v>
      </c>
      <c r="D6487" t="inlineStr">
        <is>
          <t>VÄSTRA GÖTALANDS LÄN</t>
        </is>
      </c>
      <c r="E6487" t="inlineStr">
        <is>
          <t>MUNKEDAL</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13884-2021</t>
        </is>
      </c>
      <c r="B6488" s="1" t="n">
        <v>44277</v>
      </c>
      <c r="C6488" s="1" t="n">
        <v>45212</v>
      </c>
      <c r="D6488" t="inlineStr">
        <is>
          <t>VÄSTRA GÖTALANDS LÄN</t>
        </is>
      </c>
      <c r="E6488" t="inlineStr">
        <is>
          <t>MUNKEDAL</t>
        </is>
      </c>
      <c r="G6488" t="n">
        <v>5.9</v>
      </c>
      <c r="H6488" t="n">
        <v>0</v>
      </c>
      <c r="I6488" t="n">
        <v>0</v>
      </c>
      <c r="J6488" t="n">
        <v>0</v>
      </c>
      <c r="K6488" t="n">
        <v>0</v>
      </c>
      <c r="L6488" t="n">
        <v>0</v>
      </c>
      <c r="M6488" t="n">
        <v>0</v>
      </c>
      <c r="N6488" t="n">
        <v>0</v>
      </c>
      <c r="O6488" t="n">
        <v>0</v>
      </c>
      <c r="P6488" t="n">
        <v>0</v>
      </c>
      <c r="Q6488" t="n">
        <v>0</v>
      </c>
      <c r="R6488" s="2" t="inlineStr"/>
    </row>
    <row r="6489" ht="15" customHeight="1">
      <c r="A6489" t="inlineStr">
        <is>
          <t>A 13908-2021</t>
        </is>
      </c>
      <c r="B6489" s="1" t="n">
        <v>44277</v>
      </c>
      <c r="C6489" s="1" t="n">
        <v>45212</v>
      </c>
      <c r="D6489" t="inlineStr">
        <is>
          <t>VÄSTRA GÖTALANDS LÄN</t>
        </is>
      </c>
      <c r="E6489" t="inlineStr">
        <is>
          <t>UDDEVALLA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14043-2021</t>
        </is>
      </c>
      <c r="B6490" s="1" t="n">
        <v>44277</v>
      </c>
      <c r="C6490" s="1" t="n">
        <v>45212</v>
      </c>
      <c r="D6490" t="inlineStr">
        <is>
          <t>VÄSTRA GÖTALANDS LÄN</t>
        </is>
      </c>
      <c r="E6490" t="inlineStr">
        <is>
          <t>SKÖVDE</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13940-2021</t>
        </is>
      </c>
      <c r="B6491" s="1" t="n">
        <v>44277</v>
      </c>
      <c r="C6491" s="1" t="n">
        <v>45212</v>
      </c>
      <c r="D6491" t="inlineStr">
        <is>
          <t>VÄSTRA GÖTALANDS LÄN</t>
        </is>
      </c>
      <c r="E6491" t="inlineStr">
        <is>
          <t>DALS-ED</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13998-2021</t>
        </is>
      </c>
      <c r="B6492" s="1" t="n">
        <v>44277</v>
      </c>
      <c r="C6492" s="1" t="n">
        <v>45212</v>
      </c>
      <c r="D6492" t="inlineStr">
        <is>
          <t>VÄSTRA GÖTALANDS LÄN</t>
        </is>
      </c>
      <c r="E6492" t="inlineStr">
        <is>
          <t>DALS-ED</t>
        </is>
      </c>
      <c r="G6492" t="n">
        <v>5.3</v>
      </c>
      <c r="H6492" t="n">
        <v>0</v>
      </c>
      <c r="I6492" t="n">
        <v>0</v>
      </c>
      <c r="J6492" t="n">
        <v>0</v>
      </c>
      <c r="K6492" t="n">
        <v>0</v>
      </c>
      <c r="L6492" t="n">
        <v>0</v>
      </c>
      <c r="M6492" t="n">
        <v>0</v>
      </c>
      <c r="N6492" t="n">
        <v>0</v>
      </c>
      <c r="O6492" t="n">
        <v>0</v>
      </c>
      <c r="P6492" t="n">
        <v>0</v>
      </c>
      <c r="Q6492" t="n">
        <v>0</v>
      </c>
      <c r="R6492" s="2" t="inlineStr"/>
    </row>
    <row r="6493" ht="15" customHeight="1">
      <c r="A6493" t="inlineStr">
        <is>
          <t>A 14250-2021</t>
        </is>
      </c>
      <c r="B6493" s="1" t="n">
        <v>44278</v>
      </c>
      <c r="C6493" s="1" t="n">
        <v>45212</v>
      </c>
      <c r="D6493" t="inlineStr">
        <is>
          <t>VÄSTRA GÖTALANDS LÄN</t>
        </is>
      </c>
      <c r="E6493" t="inlineStr">
        <is>
          <t>GULLSPÅNG</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14274-2021</t>
        </is>
      </c>
      <c r="B6494" s="1" t="n">
        <v>44278</v>
      </c>
      <c r="C6494" s="1" t="n">
        <v>45212</v>
      </c>
      <c r="D6494" t="inlineStr">
        <is>
          <t>VÄSTRA GÖTALANDS LÄN</t>
        </is>
      </c>
      <c r="E6494" t="inlineStr">
        <is>
          <t>GULLSPÅNG</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14112-2021</t>
        </is>
      </c>
      <c r="B6495" s="1" t="n">
        <v>44278</v>
      </c>
      <c r="C6495" s="1" t="n">
        <v>45212</v>
      </c>
      <c r="D6495" t="inlineStr">
        <is>
          <t>VÄSTRA GÖTALANDS LÄN</t>
        </is>
      </c>
      <c r="E6495" t="inlineStr">
        <is>
          <t>GULLSPÅNG</t>
        </is>
      </c>
      <c r="G6495" t="n">
        <v>0.5</v>
      </c>
      <c r="H6495" t="n">
        <v>0</v>
      </c>
      <c r="I6495" t="n">
        <v>0</v>
      </c>
      <c r="J6495" t="n">
        <v>0</v>
      </c>
      <c r="K6495" t="n">
        <v>0</v>
      </c>
      <c r="L6495" t="n">
        <v>0</v>
      </c>
      <c r="M6495" t="n">
        <v>0</v>
      </c>
      <c r="N6495" t="n">
        <v>0</v>
      </c>
      <c r="O6495" t="n">
        <v>0</v>
      </c>
      <c r="P6495" t="n">
        <v>0</v>
      </c>
      <c r="Q6495" t="n">
        <v>0</v>
      </c>
      <c r="R6495" s="2" t="inlineStr"/>
    </row>
    <row r="6496" ht="15" customHeight="1">
      <c r="A6496" t="inlineStr">
        <is>
          <t>A 14271-2021</t>
        </is>
      </c>
      <c r="B6496" s="1" t="n">
        <v>44278</v>
      </c>
      <c r="C6496" s="1" t="n">
        <v>45212</v>
      </c>
      <c r="D6496" t="inlineStr">
        <is>
          <t>VÄSTRA GÖTALANDS LÄN</t>
        </is>
      </c>
      <c r="E6496" t="inlineStr">
        <is>
          <t>GÖTEBORG</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14284-2021</t>
        </is>
      </c>
      <c r="B6497" s="1" t="n">
        <v>44278</v>
      </c>
      <c r="C6497" s="1" t="n">
        <v>45212</v>
      </c>
      <c r="D6497" t="inlineStr">
        <is>
          <t>VÄSTRA GÖTALANDS LÄN</t>
        </is>
      </c>
      <c r="E6497" t="inlineStr">
        <is>
          <t>GULLSPÅNG</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14349-2021</t>
        </is>
      </c>
      <c r="B6498" s="1" t="n">
        <v>44278</v>
      </c>
      <c r="C6498" s="1" t="n">
        <v>45212</v>
      </c>
      <c r="D6498" t="inlineStr">
        <is>
          <t>VÄSTRA GÖTALANDS LÄN</t>
        </is>
      </c>
      <c r="E6498" t="inlineStr">
        <is>
          <t>HÄRRYDA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14495-2021</t>
        </is>
      </c>
      <c r="B6499" s="1" t="n">
        <v>44279</v>
      </c>
      <c r="C6499" s="1" t="n">
        <v>45212</v>
      </c>
      <c r="D6499" t="inlineStr">
        <is>
          <t>VÄSTRA GÖTALANDS LÄN</t>
        </is>
      </c>
      <c r="E6499" t="inlineStr">
        <is>
          <t>MARIESTAD</t>
        </is>
      </c>
      <c r="F6499" t="inlineStr">
        <is>
          <t>Kyrkan</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14549-2021</t>
        </is>
      </c>
      <c r="B6500" s="1" t="n">
        <v>44279</v>
      </c>
      <c r="C6500" s="1" t="n">
        <v>45212</v>
      </c>
      <c r="D6500" t="inlineStr">
        <is>
          <t>VÄSTRA GÖTALANDS LÄN</t>
        </is>
      </c>
      <c r="E6500" t="inlineStr">
        <is>
          <t>STRÖMSTAD</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14333-2021</t>
        </is>
      </c>
      <c r="B6501" s="1" t="n">
        <v>44279</v>
      </c>
      <c r="C6501" s="1" t="n">
        <v>45212</v>
      </c>
      <c r="D6501" t="inlineStr">
        <is>
          <t>VÄSTRA GÖTALANDS LÄN</t>
        </is>
      </c>
      <c r="E6501" t="inlineStr">
        <is>
          <t>TIDAHOLM</t>
        </is>
      </c>
      <c r="F6501" t="inlineStr">
        <is>
          <t>Sveaskog</t>
        </is>
      </c>
      <c r="G6501" t="n">
        <v>6.3</v>
      </c>
      <c r="H6501" t="n">
        <v>0</v>
      </c>
      <c r="I6501" t="n">
        <v>0</v>
      </c>
      <c r="J6501" t="n">
        <v>0</v>
      </c>
      <c r="K6501" t="n">
        <v>0</v>
      </c>
      <c r="L6501" t="n">
        <v>0</v>
      </c>
      <c r="M6501" t="n">
        <v>0</v>
      </c>
      <c r="N6501" t="n">
        <v>0</v>
      </c>
      <c r="O6501" t="n">
        <v>0</v>
      </c>
      <c r="P6501" t="n">
        <v>0</v>
      </c>
      <c r="Q6501" t="n">
        <v>0</v>
      </c>
      <c r="R6501" s="2" t="inlineStr"/>
    </row>
    <row r="6502" ht="15" customHeight="1">
      <c r="A6502" t="inlineStr">
        <is>
          <t>A 14422-2021</t>
        </is>
      </c>
      <c r="B6502" s="1" t="n">
        <v>44279</v>
      </c>
      <c r="C6502" s="1" t="n">
        <v>45212</v>
      </c>
      <c r="D6502" t="inlineStr">
        <is>
          <t>VÄSTRA GÖTALANDS LÄN</t>
        </is>
      </c>
      <c r="E6502" t="inlineStr">
        <is>
          <t>MELLERUD</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14398-2021</t>
        </is>
      </c>
      <c r="B6503" s="1" t="n">
        <v>44279</v>
      </c>
      <c r="C6503" s="1" t="n">
        <v>45212</v>
      </c>
      <c r="D6503" t="inlineStr">
        <is>
          <t>VÄSTRA GÖTALANDS LÄN</t>
        </is>
      </c>
      <c r="E6503" t="inlineStr">
        <is>
          <t>FÄRGELANDA</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14411-2021</t>
        </is>
      </c>
      <c r="B6504" s="1" t="n">
        <v>44279</v>
      </c>
      <c r="C6504" s="1" t="n">
        <v>45212</v>
      </c>
      <c r="D6504" t="inlineStr">
        <is>
          <t>VÄSTRA GÖTALANDS LÄN</t>
        </is>
      </c>
      <c r="E6504" t="inlineStr">
        <is>
          <t>UDDEVALLA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14820-2021</t>
        </is>
      </c>
      <c r="B6505" s="1" t="n">
        <v>44280</v>
      </c>
      <c r="C6505" s="1" t="n">
        <v>45212</v>
      </c>
      <c r="D6505" t="inlineStr">
        <is>
          <t>VÄSTRA GÖTALANDS LÄN</t>
        </is>
      </c>
      <c r="E6505" t="inlineStr">
        <is>
          <t>TROLLHÄTTAN</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14716-2021</t>
        </is>
      </c>
      <c r="B6506" s="1" t="n">
        <v>44280</v>
      </c>
      <c r="C6506" s="1" t="n">
        <v>45212</v>
      </c>
      <c r="D6506" t="inlineStr">
        <is>
          <t>VÄSTRA GÖTALANDS LÄN</t>
        </is>
      </c>
      <c r="E6506" t="inlineStr">
        <is>
          <t>LILLA EDET</t>
        </is>
      </c>
      <c r="F6506" t="inlineStr">
        <is>
          <t>Kommuner</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14659-2021</t>
        </is>
      </c>
      <c r="B6507" s="1" t="n">
        <v>44280</v>
      </c>
      <c r="C6507" s="1" t="n">
        <v>45212</v>
      </c>
      <c r="D6507" t="inlineStr">
        <is>
          <t>VÄSTRA GÖTALANDS LÄN</t>
        </is>
      </c>
      <c r="E6507" t="inlineStr">
        <is>
          <t>ULRICEHAMN</t>
        </is>
      </c>
      <c r="G6507" t="n">
        <v>15.8</v>
      </c>
      <c r="H6507" t="n">
        <v>0</v>
      </c>
      <c r="I6507" t="n">
        <v>0</v>
      </c>
      <c r="J6507" t="n">
        <v>0</v>
      </c>
      <c r="K6507" t="n">
        <v>0</v>
      </c>
      <c r="L6507" t="n">
        <v>0</v>
      </c>
      <c r="M6507" t="n">
        <v>0</v>
      </c>
      <c r="N6507" t="n">
        <v>0</v>
      </c>
      <c r="O6507" t="n">
        <v>0</v>
      </c>
      <c r="P6507" t="n">
        <v>0</v>
      </c>
      <c r="Q6507" t="n">
        <v>0</v>
      </c>
      <c r="R6507" s="2" t="inlineStr"/>
    </row>
    <row r="6508" ht="15" customHeight="1">
      <c r="A6508" t="inlineStr">
        <is>
          <t>A 14708-2021</t>
        </is>
      </c>
      <c r="B6508" s="1" t="n">
        <v>44280</v>
      </c>
      <c r="C6508" s="1" t="n">
        <v>45212</v>
      </c>
      <c r="D6508" t="inlineStr">
        <is>
          <t>VÄSTRA GÖTALANDS LÄN</t>
        </is>
      </c>
      <c r="E6508" t="inlineStr">
        <is>
          <t>VÄNERSBORG</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14732-2021</t>
        </is>
      </c>
      <c r="B6509" s="1" t="n">
        <v>44280</v>
      </c>
      <c r="C6509" s="1" t="n">
        <v>45212</v>
      </c>
      <c r="D6509" t="inlineStr">
        <is>
          <t>VÄSTRA GÖTALANDS LÄN</t>
        </is>
      </c>
      <c r="E6509" t="inlineStr">
        <is>
          <t>BORÅS</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14766-2021</t>
        </is>
      </c>
      <c r="B6510" s="1" t="n">
        <v>44280</v>
      </c>
      <c r="C6510" s="1" t="n">
        <v>45212</v>
      </c>
      <c r="D6510" t="inlineStr">
        <is>
          <t>VÄSTRA GÖTALANDS LÄN</t>
        </is>
      </c>
      <c r="E6510" t="inlineStr">
        <is>
          <t>BOLLEBYGD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14782-2021</t>
        </is>
      </c>
      <c r="B6511" s="1" t="n">
        <v>44280</v>
      </c>
      <c r="C6511" s="1" t="n">
        <v>45212</v>
      </c>
      <c r="D6511" t="inlineStr">
        <is>
          <t>VÄSTRA GÖTALANDS LÄN</t>
        </is>
      </c>
      <c r="E6511" t="inlineStr">
        <is>
          <t>STENUNGSUND</t>
        </is>
      </c>
      <c r="G6511" t="n">
        <v>5</v>
      </c>
      <c r="H6511" t="n">
        <v>0</v>
      </c>
      <c r="I6511" t="n">
        <v>0</v>
      </c>
      <c r="J6511" t="n">
        <v>0</v>
      </c>
      <c r="K6511" t="n">
        <v>0</v>
      </c>
      <c r="L6511" t="n">
        <v>0</v>
      </c>
      <c r="M6511" t="n">
        <v>0</v>
      </c>
      <c r="N6511" t="n">
        <v>0</v>
      </c>
      <c r="O6511" t="n">
        <v>0</v>
      </c>
      <c r="P6511" t="n">
        <v>0</v>
      </c>
      <c r="Q6511" t="n">
        <v>0</v>
      </c>
      <c r="R6511" s="2" t="inlineStr"/>
    </row>
    <row r="6512" ht="15" customHeight="1">
      <c r="A6512" t="inlineStr">
        <is>
          <t>A 14819-2021</t>
        </is>
      </c>
      <c r="B6512" s="1" t="n">
        <v>44280</v>
      </c>
      <c r="C6512" s="1" t="n">
        <v>45212</v>
      </c>
      <c r="D6512" t="inlineStr">
        <is>
          <t>VÄSTRA GÖTALANDS LÄN</t>
        </is>
      </c>
      <c r="E6512" t="inlineStr">
        <is>
          <t>TROLLHÄTTAN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14994-2021</t>
        </is>
      </c>
      <c r="B6513" s="1" t="n">
        <v>44281</v>
      </c>
      <c r="C6513" s="1" t="n">
        <v>45212</v>
      </c>
      <c r="D6513" t="inlineStr">
        <is>
          <t>VÄSTRA GÖTALANDS LÄN</t>
        </is>
      </c>
      <c r="E6513" t="inlineStr">
        <is>
          <t>TROLLHÄTTAN</t>
        </is>
      </c>
      <c r="G6513" t="n">
        <v>6.6</v>
      </c>
      <c r="H6513" t="n">
        <v>0</v>
      </c>
      <c r="I6513" t="n">
        <v>0</v>
      </c>
      <c r="J6513" t="n">
        <v>0</v>
      </c>
      <c r="K6513" t="n">
        <v>0</v>
      </c>
      <c r="L6513" t="n">
        <v>0</v>
      </c>
      <c r="M6513" t="n">
        <v>0</v>
      </c>
      <c r="N6513" t="n">
        <v>0</v>
      </c>
      <c r="O6513" t="n">
        <v>0</v>
      </c>
      <c r="P6513" t="n">
        <v>0</v>
      </c>
      <c r="Q6513" t="n">
        <v>0</v>
      </c>
      <c r="R6513" s="2" t="inlineStr"/>
    </row>
    <row r="6514" ht="15" customHeight="1">
      <c r="A6514" t="inlineStr">
        <is>
          <t>A 14968-2021</t>
        </is>
      </c>
      <c r="B6514" s="1" t="n">
        <v>44281</v>
      </c>
      <c r="C6514" s="1" t="n">
        <v>45212</v>
      </c>
      <c r="D6514" t="inlineStr">
        <is>
          <t>VÄSTRA GÖTALANDS LÄN</t>
        </is>
      </c>
      <c r="E6514" t="inlineStr">
        <is>
          <t>FÄRGELANDA</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14873-2021</t>
        </is>
      </c>
      <c r="B6515" s="1" t="n">
        <v>44281</v>
      </c>
      <c r="C6515" s="1" t="n">
        <v>45212</v>
      </c>
      <c r="D6515" t="inlineStr">
        <is>
          <t>VÄSTRA GÖTALANDS LÄN</t>
        </is>
      </c>
      <c r="E6515" t="inlineStr">
        <is>
          <t>MARK</t>
        </is>
      </c>
      <c r="G6515" t="n">
        <v>0.1</v>
      </c>
      <c r="H6515" t="n">
        <v>0</v>
      </c>
      <c r="I6515" t="n">
        <v>0</v>
      </c>
      <c r="J6515" t="n">
        <v>0</v>
      </c>
      <c r="K6515" t="n">
        <v>0</v>
      </c>
      <c r="L6515" t="n">
        <v>0</v>
      </c>
      <c r="M6515" t="n">
        <v>0</v>
      </c>
      <c r="N6515" t="n">
        <v>0</v>
      </c>
      <c r="O6515" t="n">
        <v>0</v>
      </c>
      <c r="P6515" t="n">
        <v>0</v>
      </c>
      <c r="Q6515" t="n">
        <v>0</v>
      </c>
      <c r="R6515" s="2" t="inlineStr"/>
    </row>
    <row r="6516" ht="15" customHeight="1">
      <c r="A6516" t="inlineStr">
        <is>
          <t>A 15117-2021</t>
        </is>
      </c>
      <c r="B6516" s="1" t="n">
        <v>44282</v>
      </c>
      <c r="C6516" s="1" t="n">
        <v>45212</v>
      </c>
      <c r="D6516" t="inlineStr">
        <is>
          <t>VÄSTRA GÖTALANDS LÄN</t>
        </is>
      </c>
      <c r="E6516" t="inlineStr">
        <is>
          <t>VÅRGÅRDA</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15116-2021</t>
        </is>
      </c>
      <c r="B6517" s="1" t="n">
        <v>44282</v>
      </c>
      <c r="C6517" s="1" t="n">
        <v>45212</v>
      </c>
      <c r="D6517" t="inlineStr">
        <is>
          <t>VÄSTRA GÖTALANDS LÄN</t>
        </is>
      </c>
      <c r="E6517" t="inlineStr">
        <is>
          <t>ÅMÅL</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15291-2021</t>
        </is>
      </c>
      <c r="B6518" s="1" t="n">
        <v>44284</v>
      </c>
      <c r="C6518" s="1" t="n">
        <v>45212</v>
      </c>
      <c r="D6518" t="inlineStr">
        <is>
          <t>VÄSTRA GÖTALANDS LÄN</t>
        </is>
      </c>
      <c r="E6518" t="inlineStr">
        <is>
          <t>VÅRGÅRDA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15335-2021</t>
        </is>
      </c>
      <c r="B6519" s="1" t="n">
        <v>44284</v>
      </c>
      <c r="C6519" s="1" t="n">
        <v>45212</v>
      </c>
      <c r="D6519" t="inlineStr">
        <is>
          <t>VÄSTRA GÖTALANDS LÄN</t>
        </is>
      </c>
      <c r="E6519" t="inlineStr">
        <is>
          <t>GULLSPÅNG</t>
        </is>
      </c>
      <c r="G6519" t="n">
        <v>1.6</v>
      </c>
      <c r="H6519" t="n">
        <v>0</v>
      </c>
      <c r="I6519" t="n">
        <v>0</v>
      </c>
      <c r="J6519" t="n">
        <v>0</v>
      </c>
      <c r="K6519" t="n">
        <v>0</v>
      </c>
      <c r="L6519" t="n">
        <v>0</v>
      </c>
      <c r="M6519" t="n">
        <v>0</v>
      </c>
      <c r="N6519" t="n">
        <v>0</v>
      </c>
      <c r="O6519" t="n">
        <v>0</v>
      </c>
      <c r="P6519" t="n">
        <v>0</v>
      </c>
      <c r="Q6519" t="n">
        <v>0</v>
      </c>
      <c r="R6519" s="2" t="inlineStr"/>
    </row>
    <row r="6520" ht="15" customHeight="1">
      <c r="A6520" t="inlineStr">
        <is>
          <t>A 15383-2021</t>
        </is>
      </c>
      <c r="B6520" s="1" t="n">
        <v>44284</v>
      </c>
      <c r="C6520" s="1" t="n">
        <v>45212</v>
      </c>
      <c r="D6520" t="inlineStr">
        <is>
          <t>VÄSTRA GÖTALANDS LÄN</t>
        </is>
      </c>
      <c r="E6520" t="inlineStr">
        <is>
          <t>MELLERUD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15489-2021</t>
        </is>
      </c>
      <c r="B6521" s="1" t="n">
        <v>44285</v>
      </c>
      <c r="C6521" s="1" t="n">
        <v>45212</v>
      </c>
      <c r="D6521" t="inlineStr">
        <is>
          <t>VÄSTRA GÖTALANDS LÄN</t>
        </is>
      </c>
      <c r="E6521" t="inlineStr">
        <is>
          <t>TANUM</t>
        </is>
      </c>
      <c r="G6521" t="n">
        <v>3.8</v>
      </c>
      <c r="H6521" t="n">
        <v>0</v>
      </c>
      <c r="I6521" t="n">
        <v>0</v>
      </c>
      <c r="J6521" t="n">
        <v>0</v>
      </c>
      <c r="K6521" t="n">
        <v>0</v>
      </c>
      <c r="L6521" t="n">
        <v>0</v>
      </c>
      <c r="M6521" t="n">
        <v>0</v>
      </c>
      <c r="N6521" t="n">
        <v>0</v>
      </c>
      <c r="O6521" t="n">
        <v>0</v>
      </c>
      <c r="P6521" t="n">
        <v>0</v>
      </c>
      <c r="Q6521" t="n">
        <v>0</v>
      </c>
      <c r="R6521" s="2" t="inlineStr"/>
    </row>
    <row r="6522" ht="15" customHeight="1">
      <c r="A6522" t="inlineStr">
        <is>
          <t>A 15565-2021</t>
        </is>
      </c>
      <c r="B6522" s="1" t="n">
        <v>44285</v>
      </c>
      <c r="C6522" s="1" t="n">
        <v>45212</v>
      </c>
      <c r="D6522" t="inlineStr">
        <is>
          <t>VÄSTRA GÖTALANDS LÄN</t>
        </is>
      </c>
      <c r="E6522" t="inlineStr">
        <is>
          <t>MARK</t>
        </is>
      </c>
      <c r="G6522" t="n">
        <v>8.6</v>
      </c>
      <c r="H6522" t="n">
        <v>0</v>
      </c>
      <c r="I6522" t="n">
        <v>0</v>
      </c>
      <c r="J6522" t="n">
        <v>0</v>
      </c>
      <c r="K6522" t="n">
        <v>0</v>
      </c>
      <c r="L6522" t="n">
        <v>0</v>
      </c>
      <c r="M6522" t="n">
        <v>0</v>
      </c>
      <c r="N6522" t="n">
        <v>0</v>
      </c>
      <c r="O6522" t="n">
        <v>0</v>
      </c>
      <c r="P6522" t="n">
        <v>0</v>
      </c>
      <c r="Q6522" t="n">
        <v>0</v>
      </c>
      <c r="R6522" s="2" t="inlineStr"/>
    </row>
    <row r="6523" ht="15" customHeight="1">
      <c r="A6523" t="inlineStr">
        <is>
          <t>A 15490-2021</t>
        </is>
      </c>
      <c r="B6523" s="1" t="n">
        <v>44285</v>
      </c>
      <c r="C6523" s="1" t="n">
        <v>45212</v>
      </c>
      <c r="D6523" t="inlineStr">
        <is>
          <t>VÄSTRA GÖTALANDS LÄN</t>
        </is>
      </c>
      <c r="E6523" t="inlineStr">
        <is>
          <t>TANUM</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15620-2021</t>
        </is>
      </c>
      <c r="B6524" s="1" t="n">
        <v>44285</v>
      </c>
      <c r="C6524" s="1" t="n">
        <v>45212</v>
      </c>
      <c r="D6524" t="inlineStr">
        <is>
          <t>VÄSTRA GÖTALANDS LÄN</t>
        </is>
      </c>
      <c r="E6524" t="inlineStr">
        <is>
          <t>KARLSBORG</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15450-2021</t>
        </is>
      </c>
      <c r="B6525" s="1" t="n">
        <v>44285</v>
      </c>
      <c r="C6525" s="1" t="n">
        <v>45212</v>
      </c>
      <c r="D6525" t="inlineStr">
        <is>
          <t>VÄSTRA GÖTALANDS LÄN</t>
        </is>
      </c>
      <c r="E6525" t="inlineStr">
        <is>
          <t>TANUM</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15458-2021</t>
        </is>
      </c>
      <c r="B6526" s="1" t="n">
        <v>44285</v>
      </c>
      <c r="C6526" s="1" t="n">
        <v>45212</v>
      </c>
      <c r="D6526" t="inlineStr">
        <is>
          <t>VÄSTRA GÖTALANDS LÄN</t>
        </is>
      </c>
      <c r="E6526" t="inlineStr">
        <is>
          <t>TANUM</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15484-2021</t>
        </is>
      </c>
      <c r="B6527" s="1" t="n">
        <v>44285</v>
      </c>
      <c r="C6527" s="1" t="n">
        <v>45212</v>
      </c>
      <c r="D6527" t="inlineStr">
        <is>
          <t>VÄSTRA GÖTALANDS LÄN</t>
        </is>
      </c>
      <c r="E6527" t="inlineStr">
        <is>
          <t>TANUM</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15737-2021</t>
        </is>
      </c>
      <c r="B6528" s="1" t="n">
        <v>44286</v>
      </c>
      <c r="C6528" s="1" t="n">
        <v>45212</v>
      </c>
      <c r="D6528" t="inlineStr">
        <is>
          <t>VÄSTRA GÖTALANDS LÄN</t>
        </is>
      </c>
      <c r="E6528" t="inlineStr">
        <is>
          <t>TIDAHOLM</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15732-2021</t>
        </is>
      </c>
      <c r="B6529" s="1" t="n">
        <v>44286</v>
      </c>
      <c r="C6529" s="1" t="n">
        <v>45212</v>
      </c>
      <c r="D6529" t="inlineStr">
        <is>
          <t>VÄSTRA GÖTALANDS LÄN</t>
        </is>
      </c>
      <c r="E6529" t="inlineStr">
        <is>
          <t>HÄRRYDA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15711-2021</t>
        </is>
      </c>
      <c r="B6530" s="1" t="n">
        <v>44286</v>
      </c>
      <c r="C6530" s="1" t="n">
        <v>45212</v>
      </c>
      <c r="D6530" t="inlineStr">
        <is>
          <t>VÄSTRA GÖTALANDS LÄN</t>
        </is>
      </c>
      <c r="E6530" t="inlineStr">
        <is>
          <t>BORÅS</t>
        </is>
      </c>
      <c r="G6530" t="n">
        <v>2.7</v>
      </c>
      <c r="H6530" t="n">
        <v>0</v>
      </c>
      <c r="I6530" t="n">
        <v>0</v>
      </c>
      <c r="J6530" t="n">
        <v>0</v>
      </c>
      <c r="K6530" t="n">
        <v>0</v>
      </c>
      <c r="L6530" t="n">
        <v>0</v>
      </c>
      <c r="M6530" t="n">
        <v>0</v>
      </c>
      <c r="N6530" t="n">
        <v>0</v>
      </c>
      <c r="O6530" t="n">
        <v>0</v>
      </c>
      <c r="P6530" t="n">
        <v>0</v>
      </c>
      <c r="Q6530" t="n">
        <v>0</v>
      </c>
      <c r="R6530" s="2" t="inlineStr"/>
    </row>
    <row r="6531" ht="15" customHeight="1">
      <c r="A6531" t="inlineStr">
        <is>
          <t>A 15959-2021</t>
        </is>
      </c>
      <c r="B6531" s="1" t="n">
        <v>44287</v>
      </c>
      <c r="C6531" s="1" t="n">
        <v>45212</v>
      </c>
      <c r="D6531" t="inlineStr">
        <is>
          <t>VÄSTRA GÖTALANDS LÄN</t>
        </is>
      </c>
      <c r="E6531" t="inlineStr">
        <is>
          <t>STRÖMSTAD</t>
        </is>
      </c>
      <c r="G6531" t="n">
        <v>10.5</v>
      </c>
      <c r="H6531" t="n">
        <v>0</v>
      </c>
      <c r="I6531" t="n">
        <v>0</v>
      </c>
      <c r="J6531" t="n">
        <v>0</v>
      </c>
      <c r="K6531" t="n">
        <v>0</v>
      </c>
      <c r="L6531" t="n">
        <v>0</v>
      </c>
      <c r="M6531" t="n">
        <v>0</v>
      </c>
      <c r="N6531" t="n">
        <v>0</v>
      </c>
      <c r="O6531" t="n">
        <v>0</v>
      </c>
      <c r="P6531" t="n">
        <v>0</v>
      </c>
      <c r="Q6531" t="n">
        <v>0</v>
      </c>
      <c r="R6531" s="2" t="inlineStr"/>
    </row>
    <row r="6532" ht="15" customHeight="1">
      <c r="A6532" t="inlineStr">
        <is>
          <t>A 16116-2021</t>
        </is>
      </c>
      <c r="B6532" s="1" t="n">
        <v>44291</v>
      </c>
      <c r="C6532" s="1" t="n">
        <v>45212</v>
      </c>
      <c r="D6532" t="inlineStr">
        <is>
          <t>VÄSTRA GÖTALANDS LÄN</t>
        </is>
      </c>
      <c r="E6532" t="inlineStr">
        <is>
          <t>ESSUNGA</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16193-2021</t>
        </is>
      </c>
      <c r="B6533" s="1" t="n">
        <v>44292</v>
      </c>
      <c r="C6533" s="1" t="n">
        <v>45212</v>
      </c>
      <c r="D6533" t="inlineStr">
        <is>
          <t>VÄSTRA GÖTALANDS LÄN</t>
        </is>
      </c>
      <c r="E6533" t="inlineStr">
        <is>
          <t>TANUM</t>
        </is>
      </c>
      <c r="G6533" t="n">
        <v>4.8</v>
      </c>
      <c r="H6533" t="n">
        <v>0</v>
      </c>
      <c r="I6533" t="n">
        <v>0</v>
      </c>
      <c r="J6533" t="n">
        <v>0</v>
      </c>
      <c r="K6533" t="n">
        <v>0</v>
      </c>
      <c r="L6533" t="n">
        <v>0</v>
      </c>
      <c r="M6533" t="n">
        <v>0</v>
      </c>
      <c r="N6533" t="n">
        <v>0</v>
      </c>
      <c r="O6533" t="n">
        <v>0</v>
      </c>
      <c r="P6533" t="n">
        <v>0</v>
      </c>
      <c r="Q6533" t="n">
        <v>0</v>
      </c>
      <c r="R6533" s="2" t="inlineStr"/>
    </row>
    <row r="6534" ht="15" customHeight="1">
      <c r="A6534" t="inlineStr">
        <is>
          <t>A 16198-2021</t>
        </is>
      </c>
      <c r="B6534" s="1" t="n">
        <v>44292</v>
      </c>
      <c r="C6534" s="1" t="n">
        <v>45212</v>
      </c>
      <c r="D6534" t="inlineStr">
        <is>
          <t>VÄSTRA GÖTALANDS LÄN</t>
        </is>
      </c>
      <c r="E6534" t="inlineStr">
        <is>
          <t>TANUM</t>
        </is>
      </c>
      <c r="G6534" t="n">
        <v>15.8</v>
      </c>
      <c r="H6534" t="n">
        <v>0</v>
      </c>
      <c r="I6534" t="n">
        <v>0</v>
      </c>
      <c r="J6534" t="n">
        <v>0</v>
      </c>
      <c r="K6534" t="n">
        <v>0</v>
      </c>
      <c r="L6534" t="n">
        <v>0</v>
      </c>
      <c r="M6534" t="n">
        <v>0</v>
      </c>
      <c r="N6534" t="n">
        <v>0</v>
      </c>
      <c r="O6534" t="n">
        <v>0</v>
      </c>
      <c r="P6534" t="n">
        <v>0</v>
      </c>
      <c r="Q6534" t="n">
        <v>0</v>
      </c>
      <c r="R6534" s="2" t="inlineStr"/>
    </row>
    <row r="6535" ht="15" customHeight="1">
      <c r="A6535" t="inlineStr">
        <is>
          <t>A 16284-2021</t>
        </is>
      </c>
      <c r="B6535" s="1" t="n">
        <v>44292</v>
      </c>
      <c r="C6535" s="1" t="n">
        <v>45212</v>
      </c>
      <c r="D6535" t="inlineStr">
        <is>
          <t>VÄSTRA GÖTALANDS LÄN</t>
        </is>
      </c>
      <c r="E6535" t="inlineStr">
        <is>
          <t>GULLSPÅNG</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16359-2021</t>
        </is>
      </c>
      <c r="B6536" s="1" t="n">
        <v>44293</v>
      </c>
      <c r="C6536" s="1" t="n">
        <v>45212</v>
      </c>
      <c r="D6536" t="inlineStr">
        <is>
          <t>VÄSTRA GÖTALANDS LÄN</t>
        </is>
      </c>
      <c r="E6536" t="inlineStr">
        <is>
          <t>FALKÖPING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16472-2021</t>
        </is>
      </c>
      <c r="B6537" s="1" t="n">
        <v>44293</v>
      </c>
      <c r="C6537" s="1" t="n">
        <v>45212</v>
      </c>
      <c r="D6537" t="inlineStr">
        <is>
          <t>VÄSTRA GÖTALANDS LÄN</t>
        </is>
      </c>
      <c r="E6537" t="inlineStr">
        <is>
          <t>TANUM</t>
        </is>
      </c>
      <c r="G6537" t="n">
        <v>4.6</v>
      </c>
      <c r="H6537" t="n">
        <v>0</v>
      </c>
      <c r="I6537" t="n">
        <v>0</v>
      </c>
      <c r="J6537" t="n">
        <v>0</v>
      </c>
      <c r="K6537" t="n">
        <v>0</v>
      </c>
      <c r="L6537" t="n">
        <v>0</v>
      </c>
      <c r="M6537" t="n">
        <v>0</v>
      </c>
      <c r="N6537" t="n">
        <v>0</v>
      </c>
      <c r="O6537" t="n">
        <v>0</v>
      </c>
      <c r="P6537" t="n">
        <v>0</v>
      </c>
      <c r="Q6537" t="n">
        <v>0</v>
      </c>
      <c r="R6537" s="2" t="inlineStr"/>
    </row>
    <row r="6538" ht="15" customHeight="1">
      <c r="A6538" t="inlineStr">
        <is>
          <t>A 16511-2021</t>
        </is>
      </c>
      <c r="B6538" s="1" t="n">
        <v>44293</v>
      </c>
      <c r="C6538" s="1" t="n">
        <v>45212</v>
      </c>
      <c r="D6538" t="inlineStr">
        <is>
          <t>VÄSTRA GÖTALANDS LÄN</t>
        </is>
      </c>
      <c r="E6538" t="inlineStr">
        <is>
          <t>GULLSPÅNG</t>
        </is>
      </c>
      <c r="G6538" t="n">
        <v>3.1</v>
      </c>
      <c r="H6538" t="n">
        <v>0</v>
      </c>
      <c r="I6538" t="n">
        <v>0</v>
      </c>
      <c r="J6538" t="n">
        <v>0</v>
      </c>
      <c r="K6538" t="n">
        <v>0</v>
      </c>
      <c r="L6538" t="n">
        <v>0</v>
      </c>
      <c r="M6538" t="n">
        <v>0</v>
      </c>
      <c r="N6538" t="n">
        <v>0</v>
      </c>
      <c r="O6538" t="n">
        <v>0</v>
      </c>
      <c r="P6538" t="n">
        <v>0</v>
      </c>
      <c r="Q6538" t="n">
        <v>0</v>
      </c>
      <c r="R6538" s="2" t="inlineStr"/>
    </row>
    <row r="6539" ht="15" customHeight="1">
      <c r="A6539" t="inlineStr">
        <is>
          <t>A 16434-2021</t>
        </is>
      </c>
      <c r="B6539" s="1" t="n">
        <v>44293</v>
      </c>
      <c r="C6539" s="1" t="n">
        <v>45212</v>
      </c>
      <c r="D6539" t="inlineStr">
        <is>
          <t>VÄSTRA GÖTALANDS LÄN</t>
        </is>
      </c>
      <c r="E6539" t="inlineStr">
        <is>
          <t>LIDKÖPING</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16499-2021</t>
        </is>
      </c>
      <c r="B6540" s="1" t="n">
        <v>44293</v>
      </c>
      <c r="C6540" s="1" t="n">
        <v>45212</v>
      </c>
      <c r="D6540" t="inlineStr">
        <is>
          <t>VÄSTRA GÖTALANDS LÄN</t>
        </is>
      </c>
      <c r="E6540" t="inlineStr">
        <is>
          <t>BENGTSFORS</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16395-2021</t>
        </is>
      </c>
      <c r="B6541" s="1" t="n">
        <v>44293</v>
      </c>
      <c r="C6541" s="1" t="n">
        <v>45212</v>
      </c>
      <c r="D6541" t="inlineStr">
        <is>
          <t>VÄSTRA GÖTALANDS LÄN</t>
        </is>
      </c>
      <c r="E6541" t="inlineStr">
        <is>
          <t>HJO</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16430-2021</t>
        </is>
      </c>
      <c r="B6542" s="1" t="n">
        <v>44293</v>
      </c>
      <c r="C6542" s="1" t="n">
        <v>45212</v>
      </c>
      <c r="D6542" t="inlineStr">
        <is>
          <t>VÄSTRA GÖTALANDS LÄN</t>
        </is>
      </c>
      <c r="E6542" t="inlineStr">
        <is>
          <t>LIDKÖPING</t>
        </is>
      </c>
      <c r="G6542" t="n">
        <v>1</v>
      </c>
      <c r="H6542" t="n">
        <v>0</v>
      </c>
      <c r="I6542" t="n">
        <v>0</v>
      </c>
      <c r="J6542" t="n">
        <v>0</v>
      </c>
      <c r="K6542" t="n">
        <v>0</v>
      </c>
      <c r="L6542" t="n">
        <v>0</v>
      </c>
      <c r="M6542" t="n">
        <v>0</v>
      </c>
      <c r="N6542" t="n">
        <v>0</v>
      </c>
      <c r="O6542" t="n">
        <v>0</v>
      </c>
      <c r="P6542" t="n">
        <v>0</v>
      </c>
      <c r="Q6542" t="n">
        <v>0</v>
      </c>
      <c r="R6542" s="2" t="inlineStr"/>
    </row>
    <row r="6543" ht="15" customHeight="1">
      <c r="A6543" t="inlineStr">
        <is>
          <t>A 16546-2021</t>
        </is>
      </c>
      <c r="B6543" s="1" t="n">
        <v>44293</v>
      </c>
      <c r="C6543" s="1" t="n">
        <v>45212</v>
      </c>
      <c r="D6543" t="inlineStr">
        <is>
          <t>VÄSTRA GÖTALANDS LÄN</t>
        </is>
      </c>
      <c r="E6543" t="inlineStr">
        <is>
          <t>FÄRGELANDA</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16663-2021</t>
        </is>
      </c>
      <c r="B6544" s="1" t="n">
        <v>44294</v>
      </c>
      <c r="C6544" s="1" t="n">
        <v>45212</v>
      </c>
      <c r="D6544" t="inlineStr">
        <is>
          <t>VÄSTRA GÖTALANDS LÄN</t>
        </is>
      </c>
      <c r="E6544" t="inlineStr">
        <is>
          <t>GÖTEBORG</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16898-2021</t>
        </is>
      </c>
      <c r="B6545" s="1" t="n">
        <v>44295</v>
      </c>
      <c r="C6545" s="1" t="n">
        <v>45212</v>
      </c>
      <c r="D6545" t="inlineStr">
        <is>
          <t>VÄSTRA GÖTALANDS LÄN</t>
        </is>
      </c>
      <c r="E6545" t="inlineStr">
        <is>
          <t>MARK</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16924-2021</t>
        </is>
      </c>
      <c r="B6546" s="1" t="n">
        <v>44295</v>
      </c>
      <c r="C6546" s="1" t="n">
        <v>45212</v>
      </c>
      <c r="D6546" t="inlineStr">
        <is>
          <t>VÄSTRA GÖTALANDS LÄN</t>
        </is>
      </c>
      <c r="E6546" t="inlineStr">
        <is>
          <t>DALS-ED</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16951-2021</t>
        </is>
      </c>
      <c r="B6547" s="1" t="n">
        <v>44295</v>
      </c>
      <c r="C6547" s="1" t="n">
        <v>45212</v>
      </c>
      <c r="D6547" t="inlineStr">
        <is>
          <t>VÄSTRA GÖTALANDS LÄN</t>
        </is>
      </c>
      <c r="E6547" t="inlineStr">
        <is>
          <t>MARIESTAD</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16796-2021</t>
        </is>
      </c>
      <c r="B6548" s="1" t="n">
        <v>44295</v>
      </c>
      <c r="C6548" s="1" t="n">
        <v>45212</v>
      </c>
      <c r="D6548" t="inlineStr">
        <is>
          <t>VÄSTRA GÖTALANDS LÄN</t>
        </is>
      </c>
      <c r="E6548" t="inlineStr">
        <is>
          <t>KARLSBORG</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16857-2021</t>
        </is>
      </c>
      <c r="B6549" s="1" t="n">
        <v>44295</v>
      </c>
      <c r="C6549" s="1" t="n">
        <v>45212</v>
      </c>
      <c r="D6549" t="inlineStr">
        <is>
          <t>VÄSTRA GÖTALANDS LÄN</t>
        </is>
      </c>
      <c r="E6549" t="inlineStr">
        <is>
          <t>TANUM</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17058-2021</t>
        </is>
      </c>
      <c r="B6550" s="1" t="n">
        <v>44296</v>
      </c>
      <c r="C6550" s="1" t="n">
        <v>45212</v>
      </c>
      <c r="D6550" t="inlineStr">
        <is>
          <t>VÄSTRA GÖTALANDS LÄN</t>
        </is>
      </c>
      <c r="E6550" t="inlineStr">
        <is>
          <t>TRANEMO</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17063-2021</t>
        </is>
      </c>
      <c r="B6551" s="1" t="n">
        <v>44297</v>
      </c>
      <c r="C6551" s="1" t="n">
        <v>45212</v>
      </c>
      <c r="D6551" t="inlineStr">
        <is>
          <t>VÄSTRA GÖTALANDS LÄN</t>
        </is>
      </c>
      <c r="E6551" t="inlineStr">
        <is>
          <t>TIDAHOLM</t>
        </is>
      </c>
      <c r="F6551" t="inlineStr">
        <is>
          <t>Kyrkan</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17260-2021</t>
        </is>
      </c>
      <c r="B6552" s="1" t="n">
        <v>44298</v>
      </c>
      <c r="C6552" s="1" t="n">
        <v>45212</v>
      </c>
      <c r="D6552" t="inlineStr">
        <is>
          <t>VÄSTRA GÖTALANDS LÄN</t>
        </is>
      </c>
      <c r="E6552" t="inlineStr">
        <is>
          <t>ALINGSÅS</t>
        </is>
      </c>
      <c r="G6552" t="n">
        <v>3.1</v>
      </c>
      <c r="H6552" t="n">
        <v>0</v>
      </c>
      <c r="I6552" t="n">
        <v>0</v>
      </c>
      <c r="J6552" t="n">
        <v>0</v>
      </c>
      <c r="K6552" t="n">
        <v>0</v>
      </c>
      <c r="L6552" t="n">
        <v>0</v>
      </c>
      <c r="M6552" t="n">
        <v>0</v>
      </c>
      <c r="N6552" t="n">
        <v>0</v>
      </c>
      <c r="O6552" t="n">
        <v>0</v>
      </c>
      <c r="P6552" t="n">
        <v>0</v>
      </c>
      <c r="Q6552" t="n">
        <v>0</v>
      </c>
      <c r="R6552" s="2" t="inlineStr"/>
    </row>
    <row r="6553" ht="15" customHeight="1">
      <c r="A6553" t="inlineStr">
        <is>
          <t>A 17283-2021</t>
        </is>
      </c>
      <c r="B6553" s="1" t="n">
        <v>44298</v>
      </c>
      <c r="C6553" s="1" t="n">
        <v>45212</v>
      </c>
      <c r="D6553" t="inlineStr">
        <is>
          <t>VÄSTRA GÖTALANDS LÄN</t>
        </is>
      </c>
      <c r="E6553" t="inlineStr">
        <is>
          <t>ALE</t>
        </is>
      </c>
      <c r="G6553" t="n">
        <v>1.2</v>
      </c>
      <c r="H6553" t="n">
        <v>0</v>
      </c>
      <c r="I6553" t="n">
        <v>0</v>
      </c>
      <c r="J6553" t="n">
        <v>0</v>
      </c>
      <c r="K6553" t="n">
        <v>0</v>
      </c>
      <c r="L6553" t="n">
        <v>0</v>
      </c>
      <c r="M6553" t="n">
        <v>0</v>
      </c>
      <c r="N6553" t="n">
        <v>0</v>
      </c>
      <c r="O6553" t="n">
        <v>0</v>
      </c>
      <c r="P6553" t="n">
        <v>0</v>
      </c>
      <c r="Q6553" t="n">
        <v>0</v>
      </c>
      <c r="R6553" s="2" t="inlineStr"/>
    </row>
    <row r="6554" ht="15" customHeight="1">
      <c r="A6554" t="inlineStr">
        <is>
          <t>A 17092-2021</t>
        </is>
      </c>
      <c r="B6554" s="1" t="n">
        <v>44298</v>
      </c>
      <c r="C6554" s="1" t="n">
        <v>45212</v>
      </c>
      <c r="D6554" t="inlineStr">
        <is>
          <t>VÄSTRA GÖTALANDS LÄN</t>
        </is>
      </c>
      <c r="E6554" t="inlineStr">
        <is>
          <t>BORÅS</t>
        </is>
      </c>
      <c r="F6554" t="inlineStr">
        <is>
          <t>Sveaskog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17405-2021</t>
        </is>
      </c>
      <c r="B6555" s="1" t="n">
        <v>44298</v>
      </c>
      <c r="C6555" s="1" t="n">
        <v>45212</v>
      </c>
      <c r="D6555" t="inlineStr">
        <is>
          <t>VÄSTRA GÖTALANDS LÄN</t>
        </is>
      </c>
      <c r="E6555" t="inlineStr">
        <is>
          <t>BENGTSFORS</t>
        </is>
      </c>
      <c r="F6555" t="inlineStr">
        <is>
          <t>Kyrkan</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17330-2021</t>
        </is>
      </c>
      <c r="B6556" s="1" t="n">
        <v>44298</v>
      </c>
      <c r="C6556" s="1" t="n">
        <v>45212</v>
      </c>
      <c r="D6556" t="inlineStr">
        <is>
          <t>VÄSTRA GÖTALANDS LÄN</t>
        </is>
      </c>
      <c r="E6556" t="inlineStr">
        <is>
          <t>STRÖMSTAD</t>
        </is>
      </c>
      <c r="G6556" t="n">
        <v>7.4</v>
      </c>
      <c r="H6556" t="n">
        <v>0</v>
      </c>
      <c r="I6556" t="n">
        <v>0</v>
      </c>
      <c r="J6556" t="n">
        <v>0</v>
      </c>
      <c r="K6556" t="n">
        <v>0</v>
      </c>
      <c r="L6556" t="n">
        <v>0</v>
      </c>
      <c r="M6556" t="n">
        <v>0</v>
      </c>
      <c r="N6556" t="n">
        <v>0</v>
      </c>
      <c r="O6556" t="n">
        <v>0</v>
      </c>
      <c r="P6556" t="n">
        <v>0</v>
      </c>
      <c r="Q6556" t="n">
        <v>0</v>
      </c>
      <c r="R6556" s="2" t="inlineStr"/>
    </row>
    <row r="6557" ht="15" customHeight="1">
      <c r="A6557" t="inlineStr">
        <is>
          <t>A 17452-2021</t>
        </is>
      </c>
      <c r="B6557" s="1" t="n">
        <v>44299</v>
      </c>
      <c r="C6557" s="1" t="n">
        <v>45212</v>
      </c>
      <c r="D6557" t="inlineStr">
        <is>
          <t>VÄSTRA GÖTALANDS LÄN</t>
        </is>
      </c>
      <c r="E6557" t="inlineStr">
        <is>
          <t>FÄRGELANDA</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17507-2021</t>
        </is>
      </c>
      <c r="B6558" s="1" t="n">
        <v>44299</v>
      </c>
      <c r="C6558" s="1" t="n">
        <v>45212</v>
      </c>
      <c r="D6558" t="inlineStr">
        <is>
          <t>VÄSTRA GÖTALANDS LÄN</t>
        </is>
      </c>
      <c r="E6558" t="inlineStr">
        <is>
          <t>MUNKEDAL</t>
        </is>
      </c>
      <c r="G6558" t="n">
        <v>6.9</v>
      </c>
      <c r="H6558" t="n">
        <v>0</v>
      </c>
      <c r="I6558" t="n">
        <v>0</v>
      </c>
      <c r="J6558" t="n">
        <v>0</v>
      </c>
      <c r="K6558" t="n">
        <v>0</v>
      </c>
      <c r="L6558" t="n">
        <v>0</v>
      </c>
      <c r="M6558" t="n">
        <v>0</v>
      </c>
      <c r="N6558" t="n">
        <v>0</v>
      </c>
      <c r="O6558" t="n">
        <v>0</v>
      </c>
      <c r="P6558" t="n">
        <v>0</v>
      </c>
      <c r="Q6558" t="n">
        <v>0</v>
      </c>
      <c r="R6558" s="2" t="inlineStr"/>
    </row>
    <row r="6559" ht="15" customHeight="1">
      <c r="A6559" t="inlineStr">
        <is>
          <t>A 17459-2021</t>
        </is>
      </c>
      <c r="B6559" s="1" t="n">
        <v>44299</v>
      </c>
      <c r="C6559" s="1" t="n">
        <v>45212</v>
      </c>
      <c r="D6559" t="inlineStr">
        <is>
          <t>VÄSTRA GÖTALANDS LÄN</t>
        </is>
      </c>
      <c r="E6559" t="inlineStr">
        <is>
          <t>FALKÖPING</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17510-2021</t>
        </is>
      </c>
      <c r="B6560" s="1" t="n">
        <v>44299</v>
      </c>
      <c r="C6560" s="1" t="n">
        <v>45212</v>
      </c>
      <c r="D6560" t="inlineStr">
        <is>
          <t>VÄSTRA GÖTALANDS LÄN</t>
        </is>
      </c>
      <c r="E6560" t="inlineStr">
        <is>
          <t>LILLA EDET</t>
        </is>
      </c>
      <c r="G6560" t="n">
        <v>1.9</v>
      </c>
      <c r="H6560" t="n">
        <v>0</v>
      </c>
      <c r="I6560" t="n">
        <v>0</v>
      </c>
      <c r="J6560" t="n">
        <v>0</v>
      </c>
      <c r="K6560" t="n">
        <v>0</v>
      </c>
      <c r="L6560" t="n">
        <v>0</v>
      </c>
      <c r="M6560" t="n">
        <v>0</v>
      </c>
      <c r="N6560" t="n">
        <v>0</v>
      </c>
      <c r="O6560" t="n">
        <v>0</v>
      </c>
      <c r="P6560" t="n">
        <v>0</v>
      </c>
      <c r="Q6560" t="n">
        <v>0</v>
      </c>
      <c r="R6560" s="2" t="inlineStr"/>
    </row>
    <row r="6561" ht="15" customHeight="1">
      <c r="A6561" t="inlineStr">
        <is>
          <t>A 17541-2021</t>
        </is>
      </c>
      <c r="B6561" s="1" t="n">
        <v>44299</v>
      </c>
      <c r="C6561" s="1" t="n">
        <v>45212</v>
      </c>
      <c r="D6561" t="inlineStr">
        <is>
          <t>VÄSTRA GÖTALANDS LÄN</t>
        </is>
      </c>
      <c r="E6561" t="inlineStr">
        <is>
          <t>LIDKÖPING</t>
        </is>
      </c>
      <c r="G6561" t="n">
        <v>0.5</v>
      </c>
      <c r="H6561" t="n">
        <v>0</v>
      </c>
      <c r="I6561" t="n">
        <v>0</v>
      </c>
      <c r="J6561" t="n">
        <v>0</v>
      </c>
      <c r="K6561" t="n">
        <v>0</v>
      </c>
      <c r="L6561" t="n">
        <v>0</v>
      </c>
      <c r="M6561" t="n">
        <v>0</v>
      </c>
      <c r="N6561" t="n">
        <v>0</v>
      </c>
      <c r="O6561" t="n">
        <v>0</v>
      </c>
      <c r="P6561" t="n">
        <v>0</v>
      </c>
      <c r="Q6561" t="n">
        <v>0</v>
      </c>
      <c r="R6561" s="2" t="inlineStr"/>
    </row>
    <row r="6562" ht="15" customHeight="1">
      <c r="A6562" t="inlineStr">
        <is>
          <t>A 17681-2021</t>
        </is>
      </c>
      <c r="B6562" s="1" t="n">
        <v>44299</v>
      </c>
      <c r="C6562" s="1" t="n">
        <v>45212</v>
      </c>
      <c r="D6562" t="inlineStr">
        <is>
          <t>VÄSTRA GÖTALANDS LÄN</t>
        </is>
      </c>
      <c r="E6562" t="inlineStr">
        <is>
          <t>DALS-ED</t>
        </is>
      </c>
      <c r="G6562" t="n">
        <v>12.7</v>
      </c>
      <c r="H6562" t="n">
        <v>0</v>
      </c>
      <c r="I6562" t="n">
        <v>0</v>
      </c>
      <c r="J6562" t="n">
        <v>0</v>
      </c>
      <c r="K6562" t="n">
        <v>0</v>
      </c>
      <c r="L6562" t="n">
        <v>0</v>
      </c>
      <c r="M6562" t="n">
        <v>0</v>
      </c>
      <c r="N6562" t="n">
        <v>0</v>
      </c>
      <c r="O6562" t="n">
        <v>0</v>
      </c>
      <c r="P6562" t="n">
        <v>0</v>
      </c>
      <c r="Q6562" t="n">
        <v>0</v>
      </c>
      <c r="R6562" s="2" t="inlineStr"/>
    </row>
    <row r="6563" ht="15" customHeight="1">
      <c r="A6563" t="inlineStr">
        <is>
          <t>A 17742-2021</t>
        </is>
      </c>
      <c r="B6563" s="1" t="n">
        <v>44299</v>
      </c>
      <c r="C6563" s="1" t="n">
        <v>45212</v>
      </c>
      <c r="D6563" t="inlineStr">
        <is>
          <t>VÄSTRA GÖTALANDS LÄN</t>
        </is>
      </c>
      <c r="E6563" t="inlineStr">
        <is>
          <t>VARA</t>
        </is>
      </c>
      <c r="G6563" t="n">
        <v>0.6</v>
      </c>
      <c r="H6563" t="n">
        <v>0</v>
      </c>
      <c r="I6563" t="n">
        <v>0</v>
      </c>
      <c r="J6563" t="n">
        <v>0</v>
      </c>
      <c r="K6563" t="n">
        <v>0</v>
      </c>
      <c r="L6563" t="n">
        <v>0</v>
      </c>
      <c r="M6563" t="n">
        <v>0</v>
      </c>
      <c r="N6563" t="n">
        <v>0</v>
      </c>
      <c r="O6563" t="n">
        <v>0</v>
      </c>
      <c r="P6563" t="n">
        <v>0</v>
      </c>
      <c r="Q6563" t="n">
        <v>0</v>
      </c>
      <c r="R6563" s="2" t="inlineStr"/>
    </row>
    <row r="6564" ht="15" customHeight="1">
      <c r="A6564" t="inlineStr">
        <is>
          <t>A 17393-2021</t>
        </is>
      </c>
      <c r="B6564" s="1" t="n">
        <v>44299</v>
      </c>
      <c r="C6564" s="1" t="n">
        <v>45212</v>
      </c>
      <c r="D6564" t="inlineStr">
        <is>
          <t>VÄSTRA GÖTALANDS LÄN</t>
        </is>
      </c>
      <c r="E6564" t="inlineStr">
        <is>
          <t>VÅRGÅRDA</t>
        </is>
      </c>
      <c r="G6564" t="n">
        <v>0.7</v>
      </c>
      <c r="H6564" t="n">
        <v>0</v>
      </c>
      <c r="I6564" t="n">
        <v>0</v>
      </c>
      <c r="J6564" t="n">
        <v>0</v>
      </c>
      <c r="K6564" t="n">
        <v>0</v>
      </c>
      <c r="L6564" t="n">
        <v>0</v>
      </c>
      <c r="M6564" t="n">
        <v>0</v>
      </c>
      <c r="N6564" t="n">
        <v>0</v>
      </c>
      <c r="O6564" t="n">
        <v>0</v>
      </c>
      <c r="P6564" t="n">
        <v>0</v>
      </c>
      <c r="Q6564" t="n">
        <v>0</v>
      </c>
      <c r="R6564" s="2" t="inlineStr"/>
    </row>
    <row r="6565" ht="15" customHeight="1">
      <c r="A6565" t="inlineStr">
        <is>
          <t>A 17440-2021</t>
        </is>
      </c>
      <c r="B6565" s="1" t="n">
        <v>44299</v>
      </c>
      <c r="C6565" s="1" t="n">
        <v>45212</v>
      </c>
      <c r="D6565" t="inlineStr">
        <is>
          <t>VÄSTRA GÖTALANDS LÄN</t>
        </is>
      </c>
      <c r="E6565" t="inlineStr">
        <is>
          <t>SKÖVDE</t>
        </is>
      </c>
      <c r="G6565" t="n">
        <v>1.2</v>
      </c>
      <c r="H6565" t="n">
        <v>0</v>
      </c>
      <c r="I6565" t="n">
        <v>0</v>
      </c>
      <c r="J6565" t="n">
        <v>0</v>
      </c>
      <c r="K6565" t="n">
        <v>0</v>
      </c>
      <c r="L6565" t="n">
        <v>0</v>
      </c>
      <c r="M6565" t="n">
        <v>0</v>
      </c>
      <c r="N6565" t="n">
        <v>0</v>
      </c>
      <c r="O6565" t="n">
        <v>0</v>
      </c>
      <c r="P6565" t="n">
        <v>0</v>
      </c>
      <c r="Q6565" t="n">
        <v>0</v>
      </c>
      <c r="R6565" s="2" t="inlineStr"/>
    </row>
    <row r="6566" ht="15" customHeight="1">
      <c r="A6566" t="inlineStr">
        <is>
          <t>A 17757-2021</t>
        </is>
      </c>
      <c r="B6566" s="1" t="n">
        <v>44299</v>
      </c>
      <c r="C6566" s="1" t="n">
        <v>45212</v>
      </c>
      <c r="D6566" t="inlineStr">
        <is>
          <t>VÄSTRA GÖTALANDS LÄN</t>
        </is>
      </c>
      <c r="E6566" t="inlineStr">
        <is>
          <t>VARA</t>
        </is>
      </c>
      <c r="G6566" t="n">
        <v>0.3</v>
      </c>
      <c r="H6566" t="n">
        <v>0</v>
      </c>
      <c r="I6566" t="n">
        <v>0</v>
      </c>
      <c r="J6566" t="n">
        <v>0</v>
      </c>
      <c r="K6566" t="n">
        <v>0</v>
      </c>
      <c r="L6566" t="n">
        <v>0</v>
      </c>
      <c r="M6566" t="n">
        <v>0</v>
      </c>
      <c r="N6566" t="n">
        <v>0</v>
      </c>
      <c r="O6566" t="n">
        <v>0</v>
      </c>
      <c r="P6566" t="n">
        <v>0</v>
      </c>
      <c r="Q6566" t="n">
        <v>0</v>
      </c>
      <c r="R6566" s="2" t="inlineStr"/>
    </row>
    <row r="6567" ht="15" customHeight="1">
      <c r="A6567" t="inlineStr">
        <is>
          <t>A 17525-2021</t>
        </is>
      </c>
      <c r="B6567" s="1" t="n">
        <v>44299</v>
      </c>
      <c r="C6567" s="1" t="n">
        <v>45212</v>
      </c>
      <c r="D6567" t="inlineStr">
        <is>
          <t>VÄSTRA GÖTALANDS LÄN</t>
        </is>
      </c>
      <c r="E6567" t="inlineStr">
        <is>
          <t>TIDAHOLM</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17568-2021</t>
        </is>
      </c>
      <c r="B6568" s="1" t="n">
        <v>44299</v>
      </c>
      <c r="C6568" s="1" t="n">
        <v>45212</v>
      </c>
      <c r="D6568" t="inlineStr">
        <is>
          <t>VÄSTRA GÖTALANDS LÄN</t>
        </is>
      </c>
      <c r="E6568" t="inlineStr">
        <is>
          <t>ULRICEHAMN</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17588-2021</t>
        </is>
      </c>
      <c r="B6569" s="1" t="n">
        <v>44299</v>
      </c>
      <c r="C6569" s="1" t="n">
        <v>45212</v>
      </c>
      <c r="D6569" t="inlineStr">
        <is>
          <t>VÄSTRA GÖTALANDS LÄN</t>
        </is>
      </c>
      <c r="E6569" t="inlineStr">
        <is>
          <t>ULRICEHAMN</t>
        </is>
      </c>
      <c r="G6569" t="n">
        <v>33.2</v>
      </c>
      <c r="H6569" t="n">
        <v>0</v>
      </c>
      <c r="I6569" t="n">
        <v>0</v>
      </c>
      <c r="J6569" t="n">
        <v>0</v>
      </c>
      <c r="K6569" t="n">
        <v>0</v>
      </c>
      <c r="L6569" t="n">
        <v>0</v>
      </c>
      <c r="M6569" t="n">
        <v>0</v>
      </c>
      <c r="N6569" t="n">
        <v>0</v>
      </c>
      <c r="O6569" t="n">
        <v>0</v>
      </c>
      <c r="P6569" t="n">
        <v>0</v>
      </c>
      <c r="Q6569" t="n">
        <v>0</v>
      </c>
      <c r="R6569" s="2" t="inlineStr"/>
    </row>
    <row r="6570" ht="15" customHeight="1">
      <c r="A6570" t="inlineStr">
        <is>
          <t>A 17624-2021</t>
        </is>
      </c>
      <c r="B6570" s="1" t="n">
        <v>44300</v>
      </c>
      <c r="C6570" s="1" t="n">
        <v>45212</v>
      </c>
      <c r="D6570" t="inlineStr">
        <is>
          <t>VÄSTRA GÖTALANDS LÄN</t>
        </is>
      </c>
      <c r="E6570" t="inlineStr">
        <is>
          <t>MARIESTAD</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17678-2021</t>
        </is>
      </c>
      <c r="B6571" s="1" t="n">
        <v>44300</v>
      </c>
      <c r="C6571" s="1" t="n">
        <v>45212</v>
      </c>
      <c r="D6571" t="inlineStr">
        <is>
          <t>VÄSTRA GÖTALANDS LÄN</t>
        </is>
      </c>
      <c r="E6571" t="inlineStr">
        <is>
          <t>ULRICEHAMN</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17767-2021</t>
        </is>
      </c>
      <c r="B6572" s="1" t="n">
        <v>44300</v>
      </c>
      <c r="C6572" s="1" t="n">
        <v>45212</v>
      </c>
      <c r="D6572" t="inlineStr">
        <is>
          <t>VÄSTRA GÖTALANDS LÄN</t>
        </is>
      </c>
      <c r="E6572" t="inlineStr">
        <is>
          <t>BENGTSFORS</t>
        </is>
      </c>
      <c r="F6572" t="inlineStr">
        <is>
          <t>Kyrkan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17812-2021</t>
        </is>
      </c>
      <c r="B6573" s="1" t="n">
        <v>44300</v>
      </c>
      <c r="C6573" s="1" t="n">
        <v>45212</v>
      </c>
      <c r="D6573" t="inlineStr">
        <is>
          <t>VÄSTRA GÖTALANDS LÄN</t>
        </is>
      </c>
      <c r="E6573" t="inlineStr">
        <is>
          <t>TIDAHOLM</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17842-2021</t>
        </is>
      </c>
      <c r="B6574" s="1" t="n">
        <v>44300</v>
      </c>
      <c r="C6574" s="1" t="n">
        <v>45212</v>
      </c>
      <c r="D6574" t="inlineStr">
        <is>
          <t>VÄSTRA GÖTALANDS LÄN</t>
        </is>
      </c>
      <c r="E6574" t="inlineStr">
        <is>
          <t>DALS-ED</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17760-2021</t>
        </is>
      </c>
      <c r="B6575" s="1" t="n">
        <v>44300</v>
      </c>
      <c r="C6575" s="1" t="n">
        <v>45212</v>
      </c>
      <c r="D6575" t="inlineStr">
        <is>
          <t>VÄSTRA GÖTALANDS LÄN</t>
        </is>
      </c>
      <c r="E6575" t="inlineStr">
        <is>
          <t>BENGTSFORS</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17771-2021</t>
        </is>
      </c>
      <c r="B6576" s="1" t="n">
        <v>44300</v>
      </c>
      <c r="C6576" s="1" t="n">
        <v>45212</v>
      </c>
      <c r="D6576" t="inlineStr">
        <is>
          <t>VÄSTRA GÖTALANDS LÄN</t>
        </is>
      </c>
      <c r="E6576" t="inlineStr">
        <is>
          <t>FALKÖPING</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17685-2021</t>
        </is>
      </c>
      <c r="B6577" s="1" t="n">
        <v>44300</v>
      </c>
      <c r="C6577" s="1" t="n">
        <v>45212</v>
      </c>
      <c r="D6577" t="inlineStr">
        <is>
          <t>VÄSTRA GÖTALANDS LÄN</t>
        </is>
      </c>
      <c r="E6577" t="inlineStr">
        <is>
          <t>MARIESTAD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17737-2021</t>
        </is>
      </c>
      <c r="B6578" s="1" t="n">
        <v>44300</v>
      </c>
      <c r="C6578" s="1" t="n">
        <v>45212</v>
      </c>
      <c r="D6578" t="inlineStr">
        <is>
          <t>VÄSTRA GÖTALANDS LÄN</t>
        </is>
      </c>
      <c r="E6578" t="inlineStr">
        <is>
          <t>ESSUNGA</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17799-2021</t>
        </is>
      </c>
      <c r="B6579" s="1" t="n">
        <v>44300</v>
      </c>
      <c r="C6579" s="1" t="n">
        <v>45212</v>
      </c>
      <c r="D6579" t="inlineStr">
        <is>
          <t>VÄSTRA GÖTALANDS LÄN</t>
        </is>
      </c>
      <c r="E6579" t="inlineStr">
        <is>
          <t>GULLSPÅNG</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18043-2021</t>
        </is>
      </c>
      <c r="B6580" s="1" t="n">
        <v>44301</v>
      </c>
      <c r="C6580" s="1" t="n">
        <v>45212</v>
      </c>
      <c r="D6580" t="inlineStr">
        <is>
          <t>VÄSTRA GÖTALANDS LÄN</t>
        </is>
      </c>
      <c r="E6580" t="inlineStr">
        <is>
          <t>STRÖMSTAD</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18152-2021</t>
        </is>
      </c>
      <c r="B6581" s="1" t="n">
        <v>44302</v>
      </c>
      <c r="C6581" s="1" t="n">
        <v>45212</v>
      </c>
      <c r="D6581" t="inlineStr">
        <is>
          <t>VÄSTRA GÖTALANDS LÄN</t>
        </is>
      </c>
      <c r="E6581" t="inlineStr">
        <is>
          <t>TIDAHOLM</t>
        </is>
      </c>
      <c r="G6581" t="n">
        <v>3.8</v>
      </c>
      <c r="H6581" t="n">
        <v>0</v>
      </c>
      <c r="I6581" t="n">
        <v>0</v>
      </c>
      <c r="J6581" t="n">
        <v>0</v>
      </c>
      <c r="K6581" t="n">
        <v>0</v>
      </c>
      <c r="L6581" t="n">
        <v>0</v>
      </c>
      <c r="M6581" t="n">
        <v>0</v>
      </c>
      <c r="N6581" t="n">
        <v>0</v>
      </c>
      <c r="O6581" t="n">
        <v>0</v>
      </c>
      <c r="P6581" t="n">
        <v>0</v>
      </c>
      <c r="Q6581" t="n">
        <v>0</v>
      </c>
      <c r="R6581" s="2" t="inlineStr"/>
    </row>
    <row r="6582" ht="15" customHeight="1">
      <c r="A6582" t="inlineStr">
        <is>
          <t>A 18195-2021</t>
        </is>
      </c>
      <c r="B6582" s="1" t="n">
        <v>44302</v>
      </c>
      <c r="C6582" s="1" t="n">
        <v>45212</v>
      </c>
      <c r="D6582" t="inlineStr">
        <is>
          <t>VÄSTRA GÖTALANDS LÄN</t>
        </is>
      </c>
      <c r="E6582" t="inlineStr">
        <is>
          <t>BENGTSFORS</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18438-2021</t>
        </is>
      </c>
      <c r="B6583" s="1" t="n">
        <v>44305</v>
      </c>
      <c r="C6583" s="1" t="n">
        <v>45212</v>
      </c>
      <c r="D6583" t="inlineStr">
        <is>
          <t>VÄSTRA GÖTALANDS LÄN</t>
        </is>
      </c>
      <c r="E6583" t="inlineStr">
        <is>
          <t>MELLERUD</t>
        </is>
      </c>
      <c r="G6583" t="n">
        <v>2.5</v>
      </c>
      <c r="H6583" t="n">
        <v>0</v>
      </c>
      <c r="I6583" t="n">
        <v>0</v>
      </c>
      <c r="J6583" t="n">
        <v>0</v>
      </c>
      <c r="K6583" t="n">
        <v>0</v>
      </c>
      <c r="L6583" t="n">
        <v>0</v>
      </c>
      <c r="M6583" t="n">
        <v>0</v>
      </c>
      <c r="N6583" t="n">
        <v>0</v>
      </c>
      <c r="O6583" t="n">
        <v>0</v>
      </c>
      <c r="P6583" t="n">
        <v>0</v>
      </c>
      <c r="Q6583" t="n">
        <v>0</v>
      </c>
      <c r="R6583" s="2" t="inlineStr"/>
    </row>
    <row r="6584" ht="15" customHeight="1">
      <c r="A6584" t="inlineStr">
        <is>
          <t>A 18287-2021</t>
        </is>
      </c>
      <c r="B6584" s="1" t="n">
        <v>44305</v>
      </c>
      <c r="C6584" s="1" t="n">
        <v>45212</v>
      </c>
      <c r="D6584" t="inlineStr">
        <is>
          <t>VÄSTRA GÖTALANDS LÄN</t>
        </is>
      </c>
      <c r="E6584" t="inlineStr">
        <is>
          <t>MELLERUD</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18304-2021</t>
        </is>
      </c>
      <c r="B6585" s="1" t="n">
        <v>44305</v>
      </c>
      <c r="C6585" s="1" t="n">
        <v>45212</v>
      </c>
      <c r="D6585" t="inlineStr">
        <is>
          <t>VÄSTRA GÖTALANDS LÄN</t>
        </is>
      </c>
      <c r="E6585" t="inlineStr">
        <is>
          <t>BENGTSFORS</t>
        </is>
      </c>
      <c r="G6585" t="n">
        <v>5.1</v>
      </c>
      <c r="H6585" t="n">
        <v>0</v>
      </c>
      <c r="I6585" t="n">
        <v>0</v>
      </c>
      <c r="J6585" t="n">
        <v>0</v>
      </c>
      <c r="K6585" t="n">
        <v>0</v>
      </c>
      <c r="L6585" t="n">
        <v>0</v>
      </c>
      <c r="M6585" t="n">
        <v>0</v>
      </c>
      <c r="N6585" t="n">
        <v>0</v>
      </c>
      <c r="O6585" t="n">
        <v>0</v>
      </c>
      <c r="P6585" t="n">
        <v>0</v>
      </c>
      <c r="Q6585" t="n">
        <v>0</v>
      </c>
      <c r="R6585" s="2" t="inlineStr"/>
    </row>
    <row r="6586" ht="15" customHeight="1">
      <c r="A6586" t="inlineStr">
        <is>
          <t>A 18345-2021</t>
        </is>
      </c>
      <c r="B6586" s="1" t="n">
        <v>44305</v>
      </c>
      <c r="C6586" s="1" t="n">
        <v>45212</v>
      </c>
      <c r="D6586" t="inlineStr">
        <is>
          <t>VÄSTRA GÖTALANDS LÄN</t>
        </is>
      </c>
      <c r="E6586" t="inlineStr">
        <is>
          <t>SKÖVDE</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18358-2021</t>
        </is>
      </c>
      <c r="B6587" s="1" t="n">
        <v>44305</v>
      </c>
      <c r="C6587" s="1" t="n">
        <v>45212</v>
      </c>
      <c r="D6587" t="inlineStr">
        <is>
          <t>VÄSTRA GÖTALANDS LÄN</t>
        </is>
      </c>
      <c r="E6587" t="inlineStr">
        <is>
          <t>HERRLJUNGA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18650-2021</t>
        </is>
      </c>
      <c r="B6588" s="1" t="n">
        <v>44306</v>
      </c>
      <c r="C6588" s="1" t="n">
        <v>45212</v>
      </c>
      <c r="D6588" t="inlineStr">
        <is>
          <t>VÄSTRA GÖTALANDS LÄN</t>
        </is>
      </c>
      <c r="E6588" t="inlineStr">
        <is>
          <t>ULRICEHAMN</t>
        </is>
      </c>
      <c r="G6588" t="n">
        <v>3.9</v>
      </c>
      <c r="H6588" t="n">
        <v>0</v>
      </c>
      <c r="I6588" t="n">
        <v>0</v>
      </c>
      <c r="J6588" t="n">
        <v>0</v>
      </c>
      <c r="K6588" t="n">
        <v>0</v>
      </c>
      <c r="L6588" t="n">
        <v>0</v>
      </c>
      <c r="M6588" t="n">
        <v>0</v>
      </c>
      <c r="N6588" t="n">
        <v>0</v>
      </c>
      <c r="O6588" t="n">
        <v>0</v>
      </c>
      <c r="P6588" t="n">
        <v>0</v>
      </c>
      <c r="Q6588" t="n">
        <v>0</v>
      </c>
      <c r="R6588" s="2" t="inlineStr"/>
    </row>
    <row r="6589" ht="15" customHeight="1">
      <c r="A6589" t="inlineStr">
        <is>
          <t>A 18557-2021</t>
        </is>
      </c>
      <c r="B6589" s="1" t="n">
        <v>44306</v>
      </c>
      <c r="C6589" s="1" t="n">
        <v>45212</v>
      </c>
      <c r="D6589" t="inlineStr">
        <is>
          <t>VÄSTRA GÖTALANDS LÄN</t>
        </is>
      </c>
      <c r="E6589" t="inlineStr">
        <is>
          <t>TANUM</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18620-2021</t>
        </is>
      </c>
      <c r="B6590" s="1" t="n">
        <v>44306</v>
      </c>
      <c r="C6590" s="1" t="n">
        <v>45212</v>
      </c>
      <c r="D6590" t="inlineStr">
        <is>
          <t>VÄSTRA GÖTALANDS LÄN</t>
        </is>
      </c>
      <c r="E6590" t="inlineStr">
        <is>
          <t>BENGTSFORS</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18473-2021</t>
        </is>
      </c>
      <c r="B6591" s="1" t="n">
        <v>44306</v>
      </c>
      <c r="C6591" s="1" t="n">
        <v>45212</v>
      </c>
      <c r="D6591" t="inlineStr">
        <is>
          <t>VÄSTRA GÖTALANDS LÄN</t>
        </is>
      </c>
      <c r="E6591" t="inlineStr">
        <is>
          <t>ULRICEHAMN</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18649-2021</t>
        </is>
      </c>
      <c r="B6592" s="1" t="n">
        <v>44306</v>
      </c>
      <c r="C6592" s="1" t="n">
        <v>45212</v>
      </c>
      <c r="D6592" t="inlineStr">
        <is>
          <t>VÄSTRA GÖTALANDS LÄN</t>
        </is>
      </c>
      <c r="E6592" t="inlineStr">
        <is>
          <t>FÄRGELANDA</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18660-2021</t>
        </is>
      </c>
      <c r="B6593" s="1" t="n">
        <v>44306</v>
      </c>
      <c r="C6593" s="1" t="n">
        <v>45212</v>
      </c>
      <c r="D6593" t="inlineStr">
        <is>
          <t>VÄSTRA GÖTALANDS LÄN</t>
        </is>
      </c>
      <c r="E6593" t="inlineStr">
        <is>
          <t>SKÖVDE</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18591-2021</t>
        </is>
      </c>
      <c r="B6594" s="1" t="n">
        <v>44306</v>
      </c>
      <c r="C6594" s="1" t="n">
        <v>45212</v>
      </c>
      <c r="D6594" t="inlineStr">
        <is>
          <t>VÄSTRA GÖTALANDS LÄN</t>
        </is>
      </c>
      <c r="E6594" t="inlineStr">
        <is>
          <t>STENUNGSUND</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18613-2021</t>
        </is>
      </c>
      <c r="B6595" s="1" t="n">
        <v>44306</v>
      </c>
      <c r="C6595" s="1" t="n">
        <v>45212</v>
      </c>
      <c r="D6595" t="inlineStr">
        <is>
          <t>VÄSTRA GÖTALANDS LÄN</t>
        </is>
      </c>
      <c r="E6595" t="inlineStr">
        <is>
          <t>BENGTSFORS</t>
        </is>
      </c>
      <c r="G6595" t="n">
        <v>5</v>
      </c>
      <c r="H6595" t="n">
        <v>0</v>
      </c>
      <c r="I6595" t="n">
        <v>0</v>
      </c>
      <c r="J6595" t="n">
        <v>0</v>
      </c>
      <c r="K6595" t="n">
        <v>0</v>
      </c>
      <c r="L6595" t="n">
        <v>0</v>
      </c>
      <c r="M6595" t="n">
        <v>0</v>
      </c>
      <c r="N6595" t="n">
        <v>0</v>
      </c>
      <c r="O6595" t="n">
        <v>0</v>
      </c>
      <c r="P6595" t="n">
        <v>0</v>
      </c>
      <c r="Q6595" t="n">
        <v>0</v>
      </c>
      <c r="R6595" s="2" t="inlineStr"/>
    </row>
    <row r="6596" ht="15" customHeight="1">
      <c r="A6596" t="inlineStr">
        <is>
          <t>A 18849-2021</t>
        </is>
      </c>
      <c r="B6596" s="1" t="n">
        <v>44307</v>
      </c>
      <c r="C6596" s="1" t="n">
        <v>45212</v>
      </c>
      <c r="D6596" t="inlineStr">
        <is>
          <t>VÄSTRA GÖTALANDS LÄN</t>
        </is>
      </c>
      <c r="E6596" t="inlineStr">
        <is>
          <t>MELLERUD</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18842-2021</t>
        </is>
      </c>
      <c r="B6597" s="1" t="n">
        <v>44307</v>
      </c>
      <c r="C6597" s="1" t="n">
        <v>45212</v>
      </c>
      <c r="D6597" t="inlineStr">
        <is>
          <t>VÄSTRA GÖTALANDS LÄN</t>
        </is>
      </c>
      <c r="E6597" t="inlineStr">
        <is>
          <t>VARA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19490-2021</t>
        </is>
      </c>
      <c r="B6598" s="1" t="n">
        <v>44307</v>
      </c>
      <c r="C6598" s="1" t="n">
        <v>45212</v>
      </c>
      <c r="D6598" t="inlineStr">
        <is>
          <t>VÄSTRA GÖTALANDS LÄN</t>
        </is>
      </c>
      <c r="E6598" t="inlineStr">
        <is>
          <t>BENGTSFORS</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18843-2021</t>
        </is>
      </c>
      <c r="B6599" s="1" t="n">
        <v>44307</v>
      </c>
      <c r="C6599" s="1" t="n">
        <v>45212</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19500-2021</t>
        </is>
      </c>
      <c r="B6600" s="1" t="n">
        <v>44307</v>
      </c>
      <c r="C6600" s="1" t="n">
        <v>45212</v>
      </c>
      <c r="D6600" t="inlineStr">
        <is>
          <t>VÄSTRA GÖTALANDS LÄN</t>
        </is>
      </c>
      <c r="E6600" t="inlineStr">
        <is>
          <t>BENGTSFORS</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18769-2021</t>
        </is>
      </c>
      <c r="B6601" s="1" t="n">
        <v>44307</v>
      </c>
      <c r="C6601" s="1" t="n">
        <v>45212</v>
      </c>
      <c r="D6601" t="inlineStr">
        <is>
          <t>VÄSTRA GÖTALANDS LÄN</t>
        </is>
      </c>
      <c r="E6601" t="inlineStr">
        <is>
          <t>MELLERUD</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18832-2021</t>
        </is>
      </c>
      <c r="B6602" s="1" t="n">
        <v>44307</v>
      </c>
      <c r="C6602" s="1" t="n">
        <v>45212</v>
      </c>
      <c r="D6602" t="inlineStr">
        <is>
          <t>VÄSTRA GÖTALANDS LÄN</t>
        </is>
      </c>
      <c r="E6602" t="inlineStr">
        <is>
          <t>HERRLJUNGA</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18885-2021</t>
        </is>
      </c>
      <c r="B6603" s="1" t="n">
        <v>44308</v>
      </c>
      <c r="C6603" s="1" t="n">
        <v>45212</v>
      </c>
      <c r="D6603" t="inlineStr">
        <is>
          <t>VÄSTRA GÖTALANDS LÄN</t>
        </is>
      </c>
      <c r="E6603" t="inlineStr">
        <is>
          <t>UDDEVALLA</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19049-2021</t>
        </is>
      </c>
      <c r="B6604" s="1" t="n">
        <v>44308</v>
      </c>
      <c r="C6604" s="1" t="n">
        <v>45212</v>
      </c>
      <c r="D6604" t="inlineStr">
        <is>
          <t>VÄSTRA GÖTALANDS LÄN</t>
        </is>
      </c>
      <c r="E6604" t="inlineStr">
        <is>
          <t>TROLLHÄTTAN</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19167-2021</t>
        </is>
      </c>
      <c r="B6605" s="1" t="n">
        <v>44308</v>
      </c>
      <c r="C6605" s="1" t="n">
        <v>45212</v>
      </c>
      <c r="D6605" t="inlineStr">
        <is>
          <t>VÄSTRA GÖTALANDS LÄN</t>
        </is>
      </c>
      <c r="E6605" t="inlineStr">
        <is>
          <t>TROLLHÄTTAN</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18999-2021</t>
        </is>
      </c>
      <c r="B6606" s="1" t="n">
        <v>44308</v>
      </c>
      <c r="C6606" s="1" t="n">
        <v>45212</v>
      </c>
      <c r="D6606" t="inlineStr">
        <is>
          <t>VÄSTRA GÖTALANDS LÄN</t>
        </is>
      </c>
      <c r="E6606" t="inlineStr">
        <is>
          <t>ALE</t>
        </is>
      </c>
      <c r="G6606" t="n">
        <v>3.7</v>
      </c>
      <c r="H6606" t="n">
        <v>0</v>
      </c>
      <c r="I6606" t="n">
        <v>0</v>
      </c>
      <c r="J6606" t="n">
        <v>0</v>
      </c>
      <c r="K6606" t="n">
        <v>0</v>
      </c>
      <c r="L6606" t="n">
        <v>0</v>
      </c>
      <c r="M6606" t="n">
        <v>0</v>
      </c>
      <c r="N6606" t="n">
        <v>0</v>
      </c>
      <c r="O6606" t="n">
        <v>0</v>
      </c>
      <c r="P6606" t="n">
        <v>0</v>
      </c>
      <c r="Q6606" t="n">
        <v>0</v>
      </c>
      <c r="R6606" s="2" t="inlineStr"/>
    </row>
    <row r="6607" ht="15" customHeight="1">
      <c r="A6607" t="inlineStr">
        <is>
          <t>A 18888-2021</t>
        </is>
      </c>
      <c r="B6607" s="1" t="n">
        <v>44308</v>
      </c>
      <c r="C6607" s="1" t="n">
        <v>45212</v>
      </c>
      <c r="D6607" t="inlineStr">
        <is>
          <t>VÄSTRA GÖTALANDS LÄN</t>
        </is>
      </c>
      <c r="E6607" t="inlineStr">
        <is>
          <t>TÖREBODA</t>
        </is>
      </c>
      <c r="G6607" t="n">
        <v>2.2</v>
      </c>
      <c r="H6607" t="n">
        <v>0</v>
      </c>
      <c r="I6607" t="n">
        <v>0</v>
      </c>
      <c r="J6607" t="n">
        <v>0</v>
      </c>
      <c r="K6607" t="n">
        <v>0</v>
      </c>
      <c r="L6607" t="n">
        <v>0</v>
      </c>
      <c r="M6607" t="n">
        <v>0</v>
      </c>
      <c r="N6607" t="n">
        <v>0</v>
      </c>
      <c r="O6607" t="n">
        <v>0</v>
      </c>
      <c r="P6607" t="n">
        <v>0</v>
      </c>
      <c r="Q6607" t="n">
        <v>0</v>
      </c>
      <c r="R6607" s="2" t="inlineStr"/>
    </row>
    <row r="6608" ht="15" customHeight="1">
      <c r="A6608" t="inlineStr">
        <is>
          <t>A 19388-2021</t>
        </is>
      </c>
      <c r="B6608" s="1" t="n">
        <v>44309</v>
      </c>
      <c r="C6608" s="1" t="n">
        <v>45212</v>
      </c>
      <c r="D6608" t="inlineStr">
        <is>
          <t>VÄSTRA GÖTALANDS LÄN</t>
        </is>
      </c>
      <c r="E6608" t="inlineStr">
        <is>
          <t>ULRICEHAMN</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19315-2021</t>
        </is>
      </c>
      <c r="B6609" s="1" t="n">
        <v>44309</v>
      </c>
      <c r="C6609" s="1" t="n">
        <v>45212</v>
      </c>
      <c r="D6609" t="inlineStr">
        <is>
          <t>VÄSTRA GÖTALANDS LÄN</t>
        </is>
      </c>
      <c r="E6609" t="inlineStr">
        <is>
          <t>LERUM</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19355-2021</t>
        </is>
      </c>
      <c r="B6610" s="1" t="n">
        <v>44309</v>
      </c>
      <c r="C6610" s="1" t="n">
        <v>45212</v>
      </c>
      <c r="D6610" t="inlineStr">
        <is>
          <t>VÄSTRA GÖTALANDS LÄN</t>
        </is>
      </c>
      <c r="E6610" t="inlineStr">
        <is>
          <t>TROLLHÄTTAN</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19767-2021</t>
        </is>
      </c>
      <c r="B6611" s="1" t="n">
        <v>44309</v>
      </c>
      <c r="C6611" s="1" t="n">
        <v>45212</v>
      </c>
      <c r="D6611" t="inlineStr">
        <is>
          <t>VÄSTRA GÖTALANDS LÄN</t>
        </is>
      </c>
      <c r="E6611" t="inlineStr">
        <is>
          <t>BENGTSFORS</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19820-2021</t>
        </is>
      </c>
      <c r="B6612" s="1" t="n">
        <v>44312</v>
      </c>
      <c r="C6612" s="1" t="n">
        <v>45212</v>
      </c>
      <c r="D6612" t="inlineStr">
        <is>
          <t>VÄSTRA GÖTALANDS LÄN</t>
        </is>
      </c>
      <c r="E6612" t="inlineStr">
        <is>
          <t>TROLLHÄTTAN</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19492-2021</t>
        </is>
      </c>
      <c r="B6613" s="1" t="n">
        <v>44312</v>
      </c>
      <c r="C6613" s="1" t="n">
        <v>45212</v>
      </c>
      <c r="D6613" t="inlineStr">
        <is>
          <t>VÄSTRA GÖTALANDS LÄN</t>
        </is>
      </c>
      <c r="E6613" t="inlineStr">
        <is>
          <t>STRÖMSTAD</t>
        </is>
      </c>
      <c r="G6613" t="n">
        <v>1.8</v>
      </c>
      <c r="H6613" t="n">
        <v>0</v>
      </c>
      <c r="I6613" t="n">
        <v>0</v>
      </c>
      <c r="J6613" t="n">
        <v>0</v>
      </c>
      <c r="K6613" t="n">
        <v>0</v>
      </c>
      <c r="L6613" t="n">
        <v>0</v>
      </c>
      <c r="M6613" t="n">
        <v>0</v>
      </c>
      <c r="N6613" t="n">
        <v>0</v>
      </c>
      <c r="O6613" t="n">
        <v>0</v>
      </c>
      <c r="P6613" t="n">
        <v>0</v>
      </c>
      <c r="Q6613" t="n">
        <v>0</v>
      </c>
      <c r="R6613" s="2" t="inlineStr"/>
    </row>
    <row r="6614" ht="15" customHeight="1">
      <c r="A6614" t="inlineStr">
        <is>
          <t>A 19685-2021</t>
        </is>
      </c>
      <c r="B6614" s="1" t="n">
        <v>44312</v>
      </c>
      <c r="C6614" s="1" t="n">
        <v>45212</v>
      </c>
      <c r="D6614" t="inlineStr">
        <is>
          <t>VÄSTRA GÖTALANDS LÄN</t>
        </is>
      </c>
      <c r="E6614" t="inlineStr">
        <is>
          <t>ULRICEHAMN</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19714-2021</t>
        </is>
      </c>
      <c r="B6615" s="1" t="n">
        <v>44312</v>
      </c>
      <c r="C6615" s="1" t="n">
        <v>45212</v>
      </c>
      <c r="D6615" t="inlineStr">
        <is>
          <t>VÄSTRA GÖTALANDS LÄN</t>
        </is>
      </c>
      <c r="E6615" t="inlineStr">
        <is>
          <t>TRANEMO</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20239-2021</t>
        </is>
      </c>
      <c r="B6616" s="1" t="n">
        <v>44312</v>
      </c>
      <c r="C6616" s="1" t="n">
        <v>45212</v>
      </c>
      <c r="D6616" t="inlineStr">
        <is>
          <t>VÄSTRA GÖTALANDS LÄN</t>
        </is>
      </c>
      <c r="E6616" t="inlineStr">
        <is>
          <t>BENGTSFORS</t>
        </is>
      </c>
      <c r="F6616" t="inlineStr">
        <is>
          <t>Kyrkan</t>
        </is>
      </c>
      <c r="G6616" t="n">
        <v>23.6</v>
      </c>
      <c r="H6616" t="n">
        <v>0</v>
      </c>
      <c r="I6616" t="n">
        <v>0</v>
      </c>
      <c r="J6616" t="n">
        <v>0</v>
      </c>
      <c r="K6616" t="n">
        <v>0</v>
      </c>
      <c r="L6616" t="n">
        <v>0</v>
      </c>
      <c r="M6616" t="n">
        <v>0</v>
      </c>
      <c r="N6616" t="n">
        <v>0</v>
      </c>
      <c r="O6616" t="n">
        <v>0</v>
      </c>
      <c r="P6616" t="n">
        <v>0</v>
      </c>
      <c r="Q6616" t="n">
        <v>0</v>
      </c>
      <c r="R6616" s="2" t="inlineStr"/>
    </row>
    <row r="6617" ht="15" customHeight="1">
      <c r="A6617" t="inlineStr">
        <is>
          <t>A 19574-2021</t>
        </is>
      </c>
      <c r="B6617" s="1" t="n">
        <v>44312</v>
      </c>
      <c r="C6617" s="1" t="n">
        <v>45212</v>
      </c>
      <c r="D6617" t="inlineStr">
        <is>
          <t>VÄSTRA GÖTALANDS LÄN</t>
        </is>
      </c>
      <c r="E6617" t="inlineStr">
        <is>
          <t>FALKÖPING</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19957-2021</t>
        </is>
      </c>
      <c r="B6618" s="1" t="n">
        <v>44313</v>
      </c>
      <c r="C6618" s="1" t="n">
        <v>45212</v>
      </c>
      <c r="D6618" t="inlineStr">
        <is>
          <t>VÄSTRA GÖTALANDS LÄN</t>
        </is>
      </c>
      <c r="E6618" t="inlineStr">
        <is>
          <t>ULRICEHAMN</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19807-2021</t>
        </is>
      </c>
      <c r="B6619" s="1" t="n">
        <v>44313</v>
      </c>
      <c r="C6619" s="1" t="n">
        <v>45212</v>
      </c>
      <c r="D6619" t="inlineStr">
        <is>
          <t>VÄSTRA GÖTALANDS LÄN</t>
        </is>
      </c>
      <c r="E6619" t="inlineStr">
        <is>
          <t>BORÅS</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19941-2021</t>
        </is>
      </c>
      <c r="B6620" s="1" t="n">
        <v>44313</v>
      </c>
      <c r="C6620" s="1" t="n">
        <v>45212</v>
      </c>
      <c r="D6620" t="inlineStr">
        <is>
          <t>VÄSTRA GÖTALANDS LÄN</t>
        </is>
      </c>
      <c r="E6620" t="inlineStr">
        <is>
          <t>HERRLJUNGA</t>
        </is>
      </c>
      <c r="G6620" t="n">
        <v>4.7</v>
      </c>
      <c r="H6620" t="n">
        <v>0</v>
      </c>
      <c r="I6620" t="n">
        <v>0</v>
      </c>
      <c r="J6620" t="n">
        <v>0</v>
      </c>
      <c r="K6620" t="n">
        <v>0</v>
      </c>
      <c r="L6620" t="n">
        <v>0</v>
      </c>
      <c r="M6620" t="n">
        <v>0</v>
      </c>
      <c r="N6620" t="n">
        <v>0</v>
      </c>
      <c r="O6620" t="n">
        <v>0</v>
      </c>
      <c r="P6620" t="n">
        <v>0</v>
      </c>
      <c r="Q6620" t="n">
        <v>0</v>
      </c>
      <c r="R6620" s="2" t="inlineStr"/>
    </row>
    <row r="6621" ht="15" customHeight="1">
      <c r="A6621" t="inlineStr">
        <is>
          <t>A 20048-2021</t>
        </is>
      </c>
      <c r="B6621" s="1" t="n">
        <v>44313</v>
      </c>
      <c r="C6621" s="1" t="n">
        <v>45212</v>
      </c>
      <c r="D6621" t="inlineStr">
        <is>
          <t>VÄSTRA GÖTALANDS LÄN</t>
        </is>
      </c>
      <c r="E6621" t="inlineStr">
        <is>
          <t>TANUM</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19779-2021</t>
        </is>
      </c>
      <c r="B6622" s="1" t="n">
        <v>44313</v>
      </c>
      <c r="C6622" s="1" t="n">
        <v>45212</v>
      </c>
      <c r="D6622" t="inlineStr">
        <is>
          <t>VÄSTRA GÖTALANDS LÄN</t>
        </is>
      </c>
      <c r="E6622" t="inlineStr">
        <is>
          <t>BOLLEBYGD</t>
        </is>
      </c>
      <c r="G6622" t="n">
        <v>2.9</v>
      </c>
      <c r="H6622" t="n">
        <v>0</v>
      </c>
      <c r="I6622" t="n">
        <v>0</v>
      </c>
      <c r="J6622" t="n">
        <v>0</v>
      </c>
      <c r="K6622" t="n">
        <v>0</v>
      </c>
      <c r="L6622" t="n">
        <v>0</v>
      </c>
      <c r="M6622" t="n">
        <v>0</v>
      </c>
      <c r="N6622" t="n">
        <v>0</v>
      </c>
      <c r="O6622" t="n">
        <v>0</v>
      </c>
      <c r="P6622" t="n">
        <v>0</v>
      </c>
      <c r="Q6622" t="n">
        <v>0</v>
      </c>
      <c r="R6622" s="2" t="inlineStr"/>
    </row>
    <row r="6623" ht="15" customHeight="1">
      <c r="A6623" t="inlineStr">
        <is>
          <t>A 19808-2021</t>
        </is>
      </c>
      <c r="B6623" s="1" t="n">
        <v>44313</v>
      </c>
      <c r="C6623" s="1" t="n">
        <v>45212</v>
      </c>
      <c r="D6623" t="inlineStr">
        <is>
          <t>VÄSTRA GÖTALANDS LÄN</t>
        </is>
      </c>
      <c r="E6623" t="inlineStr">
        <is>
          <t>TRANEMO</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19937-2021</t>
        </is>
      </c>
      <c r="B6624" s="1" t="n">
        <v>44313</v>
      </c>
      <c r="C6624" s="1" t="n">
        <v>45212</v>
      </c>
      <c r="D6624" t="inlineStr">
        <is>
          <t>VÄSTRA GÖTALANDS LÄN</t>
        </is>
      </c>
      <c r="E6624" t="inlineStr">
        <is>
          <t>HERRLJUNGA</t>
        </is>
      </c>
      <c r="G6624" t="n">
        <v>9.699999999999999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20037-2021</t>
        </is>
      </c>
      <c r="B6625" s="1" t="n">
        <v>44313</v>
      </c>
      <c r="C6625" s="1" t="n">
        <v>45212</v>
      </c>
      <c r="D6625" t="inlineStr">
        <is>
          <t>VÄSTRA GÖTALANDS LÄN</t>
        </is>
      </c>
      <c r="E6625" t="inlineStr">
        <is>
          <t>TANUM</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20270-2021</t>
        </is>
      </c>
      <c r="B6626" s="1" t="n">
        <v>44314</v>
      </c>
      <c r="C6626" s="1" t="n">
        <v>45212</v>
      </c>
      <c r="D6626" t="inlineStr">
        <is>
          <t>VÄSTRA GÖTALANDS LÄN</t>
        </is>
      </c>
      <c r="E6626" t="inlineStr">
        <is>
          <t>VÅRGÅRDA</t>
        </is>
      </c>
      <c r="F6626" t="inlineStr">
        <is>
          <t>Kyrkan</t>
        </is>
      </c>
      <c r="G6626" t="n">
        <v>4.2</v>
      </c>
      <c r="H6626" t="n">
        <v>0</v>
      </c>
      <c r="I6626" t="n">
        <v>0</v>
      </c>
      <c r="J6626" t="n">
        <v>0</v>
      </c>
      <c r="K6626" t="n">
        <v>0</v>
      </c>
      <c r="L6626" t="n">
        <v>0</v>
      </c>
      <c r="M6626" t="n">
        <v>0</v>
      </c>
      <c r="N6626" t="n">
        <v>0</v>
      </c>
      <c r="O6626" t="n">
        <v>0</v>
      </c>
      <c r="P6626" t="n">
        <v>0</v>
      </c>
      <c r="Q6626" t="n">
        <v>0</v>
      </c>
      <c r="R6626" s="2" t="inlineStr"/>
    </row>
    <row r="6627" ht="15" customHeight="1">
      <c r="A6627" t="inlineStr">
        <is>
          <t>A 20260-2021</t>
        </is>
      </c>
      <c r="B6627" s="1" t="n">
        <v>44314</v>
      </c>
      <c r="C6627" s="1" t="n">
        <v>45212</v>
      </c>
      <c r="D6627" t="inlineStr">
        <is>
          <t>VÄSTRA GÖTALANDS LÄN</t>
        </is>
      </c>
      <c r="E6627" t="inlineStr">
        <is>
          <t>VÅRGÅRDA</t>
        </is>
      </c>
      <c r="F6627" t="inlineStr">
        <is>
          <t>Kyrkan</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20173-2021</t>
        </is>
      </c>
      <c r="B6628" s="1" t="n">
        <v>44314</v>
      </c>
      <c r="C6628" s="1" t="n">
        <v>45212</v>
      </c>
      <c r="D6628" t="inlineStr">
        <is>
          <t>VÄSTRA GÖTALANDS LÄN</t>
        </is>
      </c>
      <c r="E6628" t="inlineStr">
        <is>
          <t>TROLLHÄTTAN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20272-2021</t>
        </is>
      </c>
      <c r="B6629" s="1" t="n">
        <v>44314</v>
      </c>
      <c r="C6629" s="1" t="n">
        <v>45212</v>
      </c>
      <c r="D6629" t="inlineStr">
        <is>
          <t>VÄSTRA GÖTALANDS LÄN</t>
        </is>
      </c>
      <c r="E6629" t="inlineStr">
        <is>
          <t>VÅRGÅRDA</t>
        </is>
      </c>
      <c r="F6629" t="inlineStr">
        <is>
          <t>Kyrkan</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20267-2021</t>
        </is>
      </c>
      <c r="B6630" s="1" t="n">
        <v>44314</v>
      </c>
      <c r="C6630" s="1" t="n">
        <v>45212</v>
      </c>
      <c r="D6630" t="inlineStr">
        <is>
          <t>VÄSTRA GÖTALANDS LÄN</t>
        </is>
      </c>
      <c r="E6630" t="inlineStr">
        <is>
          <t>VÅRGÅRDA</t>
        </is>
      </c>
      <c r="F6630" t="inlineStr">
        <is>
          <t>Kyrkan</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20448-2021</t>
        </is>
      </c>
      <c r="B6631" s="1" t="n">
        <v>44315</v>
      </c>
      <c r="C6631" s="1" t="n">
        <v>45212</v>
      </c>
      <c r="D6631" t="inlineStr">
        <is>
          <t>VÄSTRA GÖTALANDS LÄN</t>
        </is>
      </c>
      <c r="E6631" t="inlineStr">
        <is>
          <t>ALINGSÅS</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20371-2021</t>
        </is>
      </c>
      <c r="B6632" s="1" t="n">
        <v>44315</v>
      </c>
      <c r="C6632" s="1" t="n">
        <v>45212</v>
      </c>
      <c r="D6632" t="inlineStr">
        <is>
          <t>VÄSTRA GÖTALANDS LÄN</t>
        </is>
      </c>
      <c r="E6632" t="inlineStr">
        <is>
          <t>TIBRO</t>
        </is>
      </c>
      <c r="F6632" t="inlineStr">
        <is>
          <t>Sveaskog</t>
        </is>
      </c>
      <c r="G6632" t="n">
        <v>5</v>
      </c>
      <c r="H6632" t="n">
        <v>0</v>
      </c>
      <c r="I6632" t="n">
        <v>0</v>
      </c>
      <c r="J6632" t="n">
        <v>0</v>
      </c>
      <c r="K6632" t="n">
        <v>0</v>
      </c>
      <c r="L6632" t="n">
        <v>0</v>
      </c>
      <c r="M6632" t="n">
        <v>0</v>
      </c>
      <c r="N6632" t="n">
        <v>0</v>
      </c>
      <c r="O6632" t="n">
        <v>0</v>
      </c>
      <c r="P6632" t="n">
        <v>0</v>
      </c>
      <c r="Q6632" t="n">
        <v>0</v>
      </c>
      <c r="R6632" s="2" t="inlineStr"/>
    </row>
    <row r="6633" ht="15" customHeight="1">
      <c r="A6633" t="inlineStr">
        <is>
          <t>A 20362-2021</t>
        </is>
      </c>
      <c r="B6633" s="1" t="n">
        <v>44315</v>
      </c>
      <c r="C6633" s="1" t="n">
        <v>45212</v>
      </c>
      <c r="D6633" t="inlineStr">
        <is>
          <t>VÄSTRA GÖTALANDS LÄN</t>
        </is>
      </c>
      <c r="E6633" t="inlineStr">
        <is>
          <t>GÖTENE</t>
        </is>
      </c>
      <c r="G6633" t="n">
        <v>4.3</v>
      </c>
      <c r="H6633" t="n">
        <v>0</v>
      </c>
      <c r="I6633" t="n">
        <v>0</v>
      </c>
      <c r="J6633" t="n">
        <v>0</v>
      </c>
      <c r="K6633" t="n">
        <v>0</v>
      </c>
      <c r="L6633" t="n">
        <v>0</v>
      </c>
      <c r="M6633" t="n">
        <v>0</v>
      </c>
      <c r="N6633" t="n">
        <v>0</v>
      </c>
      <c r="O6633" t="n">
        <v>0</v>
      </c>
      <c r="P6633" t="n">
        <v>0</v>
      </c>
      <c r="Q6633" t="n">
        <v>0</v>
      </c>
      <c r="R6633" s="2" t="inlineStr"/>
    </row>
    <row r="6634" ht="15" customHeight="1">
      <c r="A6634" t="inlineStr">
        <is>
          <t>A 20467-2021</t>
        </is>
      </c>
      <c r="B6634" s="1" t="n">
        <v>44315</v>
      </c>
      <c r="C6634" s="1" t="n">
        <v>45212</v>
      </c>
      <c r="D6634" t="inlineStr">
        <is>
          <t>VÄSTRA GÖTALANDS LÄN</t>
        </is>
      </c>
      <c r="E6634" t="inlineStr">
        <is>
          <t>KARLSBORG</t>
        </is>
      </c>
      <c r="F6634" t="inlineStr">
        <is>
          <t>Övriga Aktiebolag</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20469-2021</t>
        </is>
      </c>
      <c r="B6635" s="1" t="n">
        <v>44315</v>
      </c>
      <c r="C6635" s="1" t="n">
        <v>45212</v>
      </c>
      <c r="D6635" t="inlineStr">
        <is>
          <t>VÄSTRA GÖTALANDS LÄN</t>
        </is>
      </c>
      <c r="E6635" t="inlineStr">
        <is>
          <t>HJO</t>
        </is>
      </c>
      <c r="F6635" t="inlineStr">
        <is>
          <t>Övriga Aktiebolag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21430-2021</t>
        </is>
      </c>
      <c r="B6636" s="1" t="n">
        <v>44316</v>
      </c>
      <c r="C6636" s="1" t="n">
        <v>45212</v>
      </c>
      <c r="D6636" t="inlineStr">
        <is>
          <t>VÄSTRA GÖTALANDS LÄN</t>
        </is>
      </c>
      <c r="E6636" t="inlineStr">
        <is>
          <t>TANUM</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20683-2021</t>
        </is>
      </c>
      <c r="B6637" s="1" t="n">
        <v>44316</v>
      </c>
      <c r="C6637" s="1" t="n">
        <v>45212</v>
      </c>
      <c r="D6637" t="inlineStr">
        <is>
          <t>VÄSTRA GÖTALANDS LÄN</t>
        </is>
      </c>
      <c r="E6637" t="inlineStr">
        <is>
          <t>TROLLHÄTTAN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21421-2021</t>
        </is>
      </c>
      <c r="B6638" s="1" t="n">
        <v>44316</v>
      </c>
      <c r="C6638" s="1" t="n">
        <v>45212</v>
      </c>
      <c r="D6638" t="inlineStr">
        <is>
          <t>VÄSTRA GÖTALANDS LÄN</t>
        </is>
      </c>
      <c r="E6638" t="inlineStr">
        <is>
          <t>SOTENÄS</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20936-2021</t>
        </is>
      </c>
      <c r="B6639" s="1" t="n">
        <v>44318</v>
      </c>
      <c r="C6639" s="1" t="n">
        <v>45212</v>
      </c>
      <c r="D6639" t="inlineStr">
        <is>
          <t>VÄSTRA GÖTALANDS LÄN</t>
        </is>
      </c>
      <c r="E6639" t="inlineStr">
        <is>
          <t>MUNKEDAL</t>
        </is>
      </c>
      <c r="G6639" t="n">
        <v>4.7</v>
      </c>
      <c r="H6639" t="n">
        <v>0</v>
      </c>
      <c r="I6639" t="n">
        <v>0</v>
      </c>
      <c r="J6639" t="n">
        <v>0</v>
      </c>
      <c r="K6639" t="n">
        <v>0</v>
      </c>
      <c r="L6639" t="n">
        <v>0</v>
      </c>
      <c r="M6639" t="n">
        <v>0</v>
      </c>
      <c r="N6639" t="n">
        <v>0</v>
      </c>
      <c r="O6639" t="n">
        <v>0</v>
      </c>
      <c r="P6639" t="n">
        <v>0</v>
      </c>
      <c r="Q6639" t="n">
        <v>0</v>
      </c>
      <c r="R6639" s="2" t="inlineStr"/>
    </row>
    <row r="6640" ht="15" customHeight="1">
      <c r="A6640" t="inlineStr">
        <is>
          <t>A 20982-2021</t>
        </is>
      </c>
      <c r="B6640" s="1" t="n">
        <v>44318</v>
      </c>
      <c r="C6640" s="1" t="n">
        <v>45212</v>
      </c>
      <c r="D6640" t="inlineStr">
        <is>
          <t>VÄSTRA GÖTALANDS LÄN</t>
        </is>
      </c>
      <c r="E6640" t="inlineStr">
        <is>
          <t>TANUM</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20978-2021</t>
        </is>
      </c>
      <c r="B6641" s="1" t="n">
        <v>44318</v>
      </c>
      <c r="C6641" s="1" t="n">
        <v>45212</v>
      </c>
      <c r="D6641" t="inlineStr">
        <is>
          <t>VÄSTRA GÖTALANDS LÄN</t>
        </is>
      </c>
      <c r="E6641" t="inlineStr">
        <is>
          <t>TANUM</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21436-2021</t>
        </is>
      </c>
      <c r="B6642" s="1" t="n">
        <v>44318</v>
      </c>
      <c r="C6642" s="1" t="n">
        <v>45212</v>
      </c>
      <c r="D6642" t="inlineStr">
        <is>
          <t>VÄSTRA GÖTALANDS LÄN</t>
        </is>
      </c>
      <c r="E6642" t="inlineStr">
        <is>
          <t>TIBRO</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21426-2021</t>
        </is>
      </c>
      <c r="B6643" s="1" t="n">
        <v>44318</v>
      </c>
      <c r="C6643" s="1" t="n">
        <v>45212</v>
      </c>
      <c r="D6643" t="inlineStr">
        <is>
          <t>VÄSTRA GÖTALANDS LÄN</t>
        </is>
      </c>
      <c r="E6643" t="inlineStr">
        <is>
          <t>TIBRO</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20973-2021</t>
        </is>
      </c>
      <c r="B6644" s="1" t="n">
        <v>44318</v>
      </c>
      <c r="C6644" s="1" t="n">
        <v>45212</v>
      </c>
      <c r="D6644" t="inlineStr">
        <is>
          <t>VÄSTRA GÖTALANDS LÄN</t>
        </is>
      </c>
      <c r="E6644" t="inlineStr">
        <is>
          <t>STRÖMSTAD</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20993-2021</t>
        </is>
      </c>
      <c r="B6645" s="1" t="n">
        <v>44318</v>
      </c>
      <c r="C6645" s="1" t="n">
        <v>45212</v>
      </c>
      <c r="D6645" t="inlineStr">
        <is>
          <t>VÄSTRA GÖTALANDS LÄN</t>
        </is>
      </c>
      <c r="E6645" t="inlineStr">
        <is>
          <t>TANUM</t>
        </is>
      </c>
      <c r="G6645" t="n">
        <v>1.1</v>
      </c>
      <c r="H6645" t="n">
        <v>0</v>
      </c>
      <c r="I6645" t="n">
        <v>0</v>
      </c>
      <c r="J6645" t="n">
        <v>0</v>
      </c>
      <c r="K6645" t="n">
        <v>0</v>
      </c>
      <c r="L6645" t="n">
        <v>0</v>
      </c>
      <c r="M6645" t="n">
        <v>0</v>
      </c>
      <c r="N6645" t="n">
        <v>0</v>
      </c>
      <c r="O6645" t="n">
        <v>0</v>
      </c>
      <c r="P6645" t="n">
        <v>0</v>
      </c>
      <c r="Q6645" t="n">
        <v>0</v>
      </c>
      <c r="R6645" s="2" t="inlineStr"/>
    </row>
    <row r="6646" ht="15" customHeight="1">
      <c r="A6646" t="inlineStr">
        <is>
          <t>A 20869-2021</t>
        </is>
      </c>
      <c r="B6646" s="1" t="n">
        <v>44319</v>
      </c>
      <c r="C6646" s="1" t="n">
        <v>45212</v>
      </c>
      <c r="D6646" t="inlineStr">
        <is>
          <t>VÄSTRA GÖTALANDS LÄN</t>
        </is>
      </c>
      <c r="E6646" t="inlineStr">
        <is>
          <t>BORÅS</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20896-2021</t>
        </is>
      </c>
      <c r="B6647" s="1" t="n">
        <v>44319</v>
      </c>
      <c r="C6647" s="1" t="n">
        <v>45212</v>
      </c>
      <c r="D6647" t="inlineStr">
        <is>
          <t>VÄSTRA GÖTALANDS LÄN</t>
        </is>
      </c>
      <c r="E6647" t="inlineStr">
        <is>
          <t>ORUST</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21020-2021</t>
        </is>
      </c>
      <c r="B6648" s="1" t="n">
        <v>44319</v>
      </c>
      <c r="C6648" s="1" t="n">
        <v>45212</v>
      </c>
      <c r="D6648" t="inlineStr">
        <is>
          <t>VÄSTRA GÖTALANDS LÄN</t>
        </is>
      </c>
      <c r="E6648" t="inlineStr">
        <is>
          <t>MARIESTAD</t>
        </is>
      </c>
      <c r="F6648" t="inlineStr">
        <is>
          <t>Kyrkan</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21112-2021</t>
        </is>
      </c>
      <c r="B6649" s="1" t="n">
        <v>44319</v>
      </c>
      <c r="C6649" s="1" t="n">
        <v>45212</v>
      </c>
      <c r="D6649" t="inlineStr">
        <is>
          <t>VÄSTRA GÖTALANDS LÄN</t>
        </is>
      </c>
      <c r="E6649" t="inlineStr">
        <is>
          <t>TANUM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21052-2021</t>
        </is>
      </c>
      <c r="B6650" s="1" t="n">
        <v>44319</v>
      </c>
      <c r="C6650" s="1" t="n">
        <v>45212</v>
      </c>
      <c r="D6650" t="inlineStr">
        <is>
          <t>VÄSTRA GÖTALANDS LÄN</t>
        </is>
      </c>
      <c r="E6650" t="inlineStr">
        <is>
          <t>ÅMÅL</t>
        </is>
      </c>
      <c r="G6650" t="n">
        <v>3.3</v>
      </c>
      <c r="H6650" t="n">
        <v>0</v>
      </c>
      <c r="I6650" t="n">
        <v>0</v>
      </c>
      <c r="J6650" t="n">
        <v>0</v>
      </c>
      <c r="K6650" t="n">
        <v>0</v>
      </c>
      <c r="L6650" t="n">
        <v>0</v>
      </c>
      <c r="M6650" t="n">
        <v>0</v>
      </c>
      <c r="N6650" t="n">
        <v>0</v>
      </c>
      <c r="O6650" t="n">
        <v>0</v>
      </c>
      <c r="P6650" t="n">
        <v>0</v>
      </c>
      <c r="Q6650" t="n">
        <v>0</v>
      </c>
      <c r="R6650" s="2" t="inlineStr"/>
    </row>
    <row r="6651" ht="15" customHeight="1">
      <c r="A6651" t="inlineStr">
        <is>
          <t>A 21017-2021</t>
        </is>
      </c>
      <c r="B6651" s="1" t="n">
        <v>44319</v>
      </c>
      <c r="C6651" s="1" t="n">
        <v>45212</v>
      </c>
      <c r="D6651" t="inlineStr">
        <is>
          <t>VÄSTRA GÖTALANDS LÄN</t>
        </is>
      </c>
      <c r="E6651" t="inlineStr">
        <is>
          <t>MARIESTAD</t>
        </is>
      </c>
      <c r="F6651" t="inlineStr">
        <is>
          <t>Kyrkan</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21026-2021</t>
        </is>
      </c>
      <c r="B6652" s="1" t="n">
        <v>44319</v>
      </c>
      <c r="C6652" s="1" t="n">
        <v>45212</v>
      </c>
      <c r="D6652" t="inlineStr">
        <is>
          <t>VÄSTRA GÖTALANDS LÄN</t>
        </is>
      </c>
      <c r="E6652" t="inlineStr">
        <is>
          <t>ALE</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21080-2021</t>
        </is>
      </c>
      <c r="B6653" s="1" t="n">
        <v>44319</v>
      </c>
      <c r="C6653" s="1" t="n">
        <v>45212</v>
      </c>
      <c r="D6653" t="inlineStr">
        <is>
          <t>VÄSTRA GÖTALANDS LÄN</t>
        </is>
      </c>
      <c r="E6653" t="inlineStr">
        <is>
          <t>TROLLHÄTTAN</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20876-2021</t>
        </is>
      </c>
      <c r="B6654" s="1" t="n">
        <v>44319</v>
      </c>
      <c r="C6654" s="1" t="n">
        <v>45212</v>
      </c>
      <c r="D6654" t="inlineStr">
        <is>
          <t>VÄSTRA GÖTALANDS LÄN</t>
        </is>
      </c>
      <c r="E6654" t="inlineStr">
        <is>
          <t>BORÅS</t>
        </is>
      </c>
      <c r="G6654" t="n">
        <v>3.8</v>
      </c>
      <c r="H6654" t="n">
        <v>0</v>
      </c>
      <c r="I6654" t="n">
        <v>0</v>
      </c>
      <c r="J6654" t="n">
        <v>0</v>
      </c>
      <c r="K6654" t="n">
        <v>0</v>
      </c>
      <c r="L6654" t="n">
        <v>0</v>
      </c>
      <c r="M6654" t="n">
        <v>0</v>
      </c>
      <c r="N6654" t="n">
        <v>0</v>
      </c>
      <c r="O6654" t="n">
        <v>0</v>
      </c>
      <c r="P6654" t="n">
        <v>0</v>
      </c>
      <c r="Q6654" t="n">
        <v>0</v>
      </c>
      <c r="R6654" s="2" t="inlineStr"/>
    </row>
    <row r="6655" ht="15" customHeight="1">
      <c r="A6655" t="inlineStr">
        <is>
          <t>A 21204-2021</t>
        </is>
      </c>
      <c r="B6655" s="1" t="n">
        <v>44320</v>
      </c>
      <c r="C6655" s="1" t="n">
        <v>45212</v>
      </c>
      <c r="D6655" t="inlineStr">
        <is>
          <t>VÄSTRA GÖTALANDS LÄN</t>
        </is>
      </c>
      <c r="E6655" t="inlineStr">
        <is>
          <t>ESSUNGA</t>
        </is>
      </c>
      <c r="F6655" t="inlineStr">
        <is>
          <t>Allmännings- och besparingsskogar</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21242-2021</t>
        </is>
      </c>
      <c r="B6656" s="1" t="n">
        <v>44320</v>
      </c>
      <c r="C6656" s="1" t="n">
        <v>45212</v>
      </c>
      <c r="D6656" t="inlineStr">
        <is>
          <t>VÄSTRA GÖTALANDS LÄN</t>
        </is>
      </c>
      <c r="E6656" t="inlineStr">
        <is>
          <t>SVENLJUNGA</t>
        </is>
      </c>
      <c r="G6656" t="n">
        <v>0</v>
      </c>
      <c r="H6656" t="n">
        <v>0</v>
      </c>
      <c r="I6656" t="n">
        <v>0</v>
      </c>
      <c r="J6656" t="n">
        <v>0</v>
      </c>
      <c r="K6656" t="n">
        <v>0</v>
      </c>
      <c r="L6656" t="n">
        <v>0</v>
      </c>
      <c r="M6656" t="n">
        <v>0</v>
      </c>
      <c r="N6656" t="n">
        <v>0</v>
      </c>
      <c r="O6656" t="n">
        <v>0</v>
      </c>
      <c r="P6656" t="n">
        <v>0</v>
      </c>
      <c r="Q6656" t="n">
        <v>0</v>
      </c>
      <c r="R6656" s="2" t="inlineStr"/>
    </row>
    <row r="6657" ht="15" customHeight="1">
      <c r="A6657" t="inlineStr">
        <is>
          <t>A 21116-2021</t>
        </is>
      </c>
      <c r="B6657" s="1" t="n">
        <v>44320</v>
      </c>
      <c r="C6657" s="1" t="n">
        <v>45212</v>
      </c>
      <c r="D6657" t="inlineStr">
        <is>
          <t>VÄSTRA GÖTALANDS LÄN</t>
        </is>
      </c>
      <c r="E6657" t="inlineStr">
        <is>
          <t>HERRLJUNGA</t>
        </is>
      </c>
      <c r="F6657" t="inlineStr">
        <is>
          <t>Sveaskog</t>
        </is>
      </c>
      <c r="G6657" t="n">
        <v>6.2</v>
      </c>
      <c r="H6657" t="n">
        <v>0</v>
      </c>
      <c r="I6657" t="n">
        <v>0</v>
      </c>
      <c r="J6657" t="n">
        <v>0</v>
      </c>
      <c r="K6657" t="n">
        <v>0</v>
      </c>
      <c r="L6657" t="n">
        <v>0</v>
      </c>
      <c r="M6657" t="n">
        <v>0</v>
      </c>
      <c r="N6657" t="n">
        <v>0</v>
      </c>
      <c r="O6657" t="n">
        <v>0</v>
      </c>
      <c r="P6657" t="n">
        <v>0</v>
      </c>
      <c r="Q6657" t="n">
        <v>0</v>
      </c>
      <c r="R6657" s="2" t="inlineStr"/>
    </row>
    <row r="6658" ht="15" customHeight="1">
      <c r="A6658" t="inlineStr">
        <is>
          <t>A 21318-2021</t>
        </is>
      </c>
      <c r="B6658" s="1" t="n">
        <v>44320</v>
      </c>
      <c r="C6658" s="1" t="n">
        <v>45212</v>
      </c>
      <c r="D6658" t="inlineStr">
        <is>
          <t>VÄSTRA GÖTALANDS LÄN</t>
        </is>
      </c>
      <c r="E6658" t="inlineStr">
        <is>
          <t>STENUNGSUND</t>
        </is>
      </c>
      <c r="G6658" t="n">
        <v>1.2</v>
      </c>
      <c r="H6658" t="n">
        <v>0</v>
      </c>
      <c r="I6658" t="n">
        <v>0</v>
      </c>
      <c r="J6658" t="n">
        <v>0</v>
      </c>
      <c r="K6658" t="n">
        <v>0</v>
      </c>
      <c r="L6658" t="n">
        <v>0</v>
      </c>
      <c r="M6658" t="n">
        <v>0</v>
      </c>
      <c r="N6658" t="n">
        <v>0</v>
      </c>
      <c r="O6658" t="n">
        <v>0</v>
      </c>
      <c r="P6658" t="n">
        <v>0</v>
      </c>
      <c r="Q6658" t="n">
        <v>0</v>
      </c>
      <c r="R6658" s="2" t="inlineStr"/>
    </row>
    <row r="6659" ht="15" customHeight="1">
      <c r="A6659" t="inlineStr">
        <is>
          <t>A 21275-2021</t>
        </is>
      </c>
      <c r="B6659" s="1" t="n">
        <v>44320</v>
      </c>
      <c r="C6659" s="1" t="n">
        <v>45212</v>
      </c>
      <c r="D6659" t="inlineStr">
        <is>
          <t>VÄSTRA GÖTALANDS LÄN</t>
        </is>
      </c>
      <c r="E6659" t="inlineStr">
        <is>
          <t>TÖREBODA</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21321-2021</t>
        </is>
      </c>
      <c r="B6660" s="1" t="n">
        <v>44320</v>
      </c>
      <c r="C6660" s="1" t="n">
        <v>45212</v>
      </c>
      <c r="D6660" t="inlineStr">
        <is>
          <t>VÄSTRA GÖTALANDS LÄN</t>
        </is>
      </c>
      <c r="E6660" t="inlineStr">
        <is>
          <t>TIBRO</t>
        </is>
      </c>
      <c r="G6660" t="n">
        <v>3.9</v>
      </c>
      <c r="H6660" t="n">
        <v>0</v>
      </c>
      <c r="I6660" t="n">
        <v>0</v>
      </c>
      <c r="J6660" t="n">
        <v>0</v>
      </c>
      <c r="K6660" t="n">
        <v>0</v>
      </c>
      <c r="L6660" t="n">
        <v>0</v>
      </c>
      <c r="M6660" t="n">
        <v>0</v>
      </c>
      <c r="N6660" t="n">
        <v>0</v>
      </c>
      <c r="O6660" t="n">
        <v>0</v>
      </c>
      <c r="P6660" t="n">
        <v>0</v>
      </c>
      <c r="Q6660" t="n">
        <v>0</v>
      </c>
      <c r="R6660" s="2" t="inlineStr"/>
    </row>
    <row r="6661" ht="15" customHeight="1">
      <c r="A6661" t="inlineStr">
        <is>
          <t>A 21487-2021</t>
        </is>
      </c>
      <c r="B6661" s="1" t="n">
        <v>44320</v>
      </c>
      <c r="C6661" s="1" t="n">
        <v>45212</v>
      </c>
      <c r="D6661" t="inlineStr">
        <is>
          <t>VÄSTRA GÖTALANDS LÄN</t>
        </is>
      </c>
      <c r="E6661" t="inlineStr">
        <is>
          <t>SOTENÄS</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21587-2021</t>
        </is>
      </c>
      <c r="B6662" s="1" t="n">
        <v>44321</v>
      </c>
      <c r="C6662" s="1" t="n">
        <v>45212</v>
      </c>
      <c r="D6662" t="inlineStr">
        <is>
          <t>VÄSTRA GÖTALANDS LÄN</t>
        </is>
      </c>
      <c r="E6662" t="inlineStr">
        <is>
          <t>TANUM</t>
        </is>
      </c>
      <c r="G6662" t="n">
        <v>10.5</v>
      </c>
      <c r="H6662" t="n">
        <v>0</v>
      </c>
      <c r="I6662" t="n">
        <v>0</v>
      </c>
      <c r="J6662" t="n">
        <v>0</v>
      </c>
      <c r="K6662" t="n">
        <v>0</v>
      </c>
      <c r="L6662" t="n">
        <v>0</v>
      </c>
      <c r="M6662" t="n">
        <v>0</v>
      </c>
      <c r="N6662" t="n">
        <v>0</v>
      </c>
      <c r="O6662" t="n">
        <v>0</v>
      </c>
      <c r="P6662" t="n">
        <v>0</v>
      </c>
      <c r="Q6662" t="n">
        <v>0</v>
      </c>
      <c r="R6662" s="2" t="inlineStr"/>
    </row>
    <row r="6663" ht="15" customHeight="1">
      <c r="A6663" t="inlineStr">
        <is>
          <t>A 21614-2021</t>
        </is>
      </c>
      <c r="B6663" s="1" t="n">
        <v>44321</v>
      </c>
      <c r="C6663" s="1" t="n">
        <v>45212</v>
      </c>
      <c r="D6663" t="inlineStr">
        <is>
          <t>VÄSTRA GÖTALANDS LÄN</t>
        </is>
      </c>
      <c r="E6663" t="inlineStr">
        <is>
          <t>MELLERUD</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21770-2021</t>
        </is>
      </c>
      <c r="B6664" s="1" t="n">
        <v>44321</v>
      </c>
      <c r="C6664" s="1" t="n">
        <v>45212</v>
      </c>
      <c r="D6664" t="inlineStr">
        <is>
          <t>VÄSTRA GÖTALANDS LÄN</t>
        </is>
      </c>
      <c r="E6664" t="inlineStr">
        <is>
          <t>GULLSPÅNG</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21774-2021</t>
        </is>
      </c>
      <c r="B6665" s="1" t="n">
        <v>44322</v>
      </c>
      <c r="C6665" s="1" t="n">
        <v>45212</v>
      </c>
      <c r="D6665" t="inlineStr">
        <is>
          <t>VÄSTRA GÖTALANDS LÄN</t>
        </is>
      </c>
      <c r="E6665" t="inlineStr">
        <is>
          <t>FALKÖPING</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22557-2021</t>
        </is>
      </c>
      <c r="B6666" s="1" t="n">
        <v>44322</v>
      </c>
      <c r="C6666" s="1" t="n">
        <v>45212</v>
      </c>
      <c r="D6666" t="inlineStr">
        <is>
          <t>VÄSTRA GÖTALANDS LÄN</t>
        </is>
      </c>
      <c r="E6666" t="inlineStr">
        <is>
          <t>VÄNERSBORG</t>
        </is>
      </c>
      <c r="G6666" t="n">
        <v>2.7</v>
      </c>
      <c r="H6666" t="n">
        <v>0</v>
      </c>
      <c r="I6666" t="n">
        <v>0</v>
      </c>
      <c r="J6666" t="n">
        <v>0</v>
      </c>
      <c r="K6666" t="n">
        <v>0</v>
      </c>
      <c r="L6666" t="n">
        <v>0</v>
      </c>
      <c r="M6666" t="n">
        <v>0</v>
      </c>
      <c r="N6666" t="n">
        <v>0</v>
      </c>
      <c r="O6666" t="n">
        <v>0</v>
      </c>
      <c r="P6666" t="n">
        <v>0</v>
      </c>
      <c r="Q6666" t="n">
        <v>0</v>
      </c>
      <c r="R6666" s="2" t="inlineStr"/>
    </row>
    <row r="6667" ht="15" customHeight="1">
      <c r="A6667" t="inlineStr">
        <is>
          <t>A 21842-2021</t>
        </is>
      </c>
      <c r="B6667" s="1" t="n">
        <v>44322</v>
      </c>
      <c r="C6667" s="1" t="n">
        <v>45212</v>
      </c>
      <c r="D6667" t="inlineStr">
        <is>
          <t>VÄSTRA GÖTALANDS LÄN</t>
        </is>
      </c>
      <c r="E6667" t="inlineStr">
        <is>
          <t>MÖLNDAL</t>
        </is>
      </c>
      <c r="F6667" t="inlineStr">
        <is>
          <t>Kommuner</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21883-2021</t>
        </is>
      </c>
      <c r="B6668" s="1" t="n">
        <v>44322</v>
      </c>
      <c r="C6668" s="1" t="n">
        <v>45212</v>
      </c>
      <c r="D6668" t="inlineStr">
        <is>
          <t>VÄSTRA GÖTALANDS LÄN</t>
        </is>
      </c>
      <c r="E6668" t="inlineStr">
        <is>
          <t>KUNGÄLV</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21899-2021</t>
        </is>
      </c>
      <c r="B6669" s="1" t="n">
        <v>44322</v>
      </c>
      <c r="C6669" s="1" t="n">
        <v>45212</v>
      </c>
      <c r="D6669" t="inlineStr">
        <is>
          <t>VÄSTRA GÖTALANDS LÄN</t>
        </is>
      </c>
      <c r="E6669" t="inlineStr">
        <is>
          <t>KUNGÄLV</t>
        </is>
      </c>
      <c r="G6669" t="n">
        <v>1</v>
      </c>
      <c r="H6669" t="n">
        <v>0</v>
      </c>
      <c r="I6669" t="n">
        <v>0</v>
      </c>
      <c r="J6669" t="n">
        <v>0</v>
      </c>
      <c r="K6669" t="n">
        <v>0</v>
      </c>
      <c r="L6669" t="n">
        <v>0</v>
      </c>
      <c r="M6669" t="n">
        <v>0</v>
      </c>
      <c r="N6669" t="n">
        <v>0</v>
      </c>
      <c r="O6669" t="n">
        <v>0</v>
      </c>
      <c r="P6669" t="n">
        <v>0</v>
      </c>
      <c r="Q6669" t="n">
        <v>0</v>
      </c>
      <c r="R6669" s="2" t="inlineStr"/>
    </row>
    <row r="6670" ht="15" customHeight="1">
      <c r="A6670" t="inlineStr">
        <is>
          <t>A 22729-2021</t>
        </is>
      </c>
      <c r="B6670" s="1" t="n">
        <v>44323</v>
      </c>
      <c r="C6670" s="1" t="n">
        <v>45212</v>
      </c>
      <c r="D6670" t="inlineStr">
        <is>
          <t>VÄSTRA GÖTALANDS LÄN</t>
        </is>
      </c>
      <c r="E6670" t="inlineStr">
        <is>
          <t>TRANEMO</t>
        </is>
      </c>
      <c r="G6670" t="n">
        <v>8.5</v>
      </c>
      <c r="H6670" t="n">
        <v>0</v>
      </c>
      <c r="I6670" t="n">
        <v>0</v>
      </c>
      <c r="J6670" t="n">
        <v>0</v>
      </c>
      <c r="K6670" t="n">
        <v>0</v>
      </c>
      <c r="L6670" t="n">
        <v>0</v>
      </c>
      <c r="M6670" t="n">
        <v>0</v>
      </c>
      <c r="N6670" t="n">
        <v>0</v>
      </c>
      <c r="O6670" t="n">
        <v>0</v>
      </c>
      <c r="P6670" t="n">
        <v>0</v>
      </c>
      <c r="Q6670" t="n">
        <v>0</v>
      </c>
      <c r="R6670" s="2" t="inlineStr"/>
    </row>
    <row r="6671" ht="15" customHeight="1">
      <c r="A6671" t="inlineStr">
        <is>
          <t>A 22826-2021</t>
        </is>
      </c>
      <c r="B6671" s="1" t="n">
        <v>44323</v>
      </c>
      <c r="C6671" s="1" t="n">
        <v>45212</v>
      </c>
      <c r="D6671" t="inlineStr">
        <is>
          <t>VÄSTRA GÖTALANDS LÄN</t>
        </is>
      </c>
      <c r="E6671" t="inlineStr">
        <is>
          <t>TRANEMO</t>
        </is>
      </c>
      <c r="G6671" t="n">
        <v>12.4</v>
      </c>
      <c r="H6671" t="n">
        <v>0</v>
      </c>
      <c r="I6671" t="n">
        <v>0</v>
      </c>
      <c r="J6671" t="n">
        <v>0</v>
      </c>
      <c r="K6671" t="n">
        <v>0</v>
      </c>
      <c r="L6671" t="n">
        <v>0</v>
      </c>
      <c r="M6671" t="n">
        <v>0</v>
      </c>
      <c r="N6671" t="n">
        <v>0</v>
      </c>
      <c r="O6671" t="n">
        <v>0</v>
      </c>
      <c r="P6671" t="n">
        <v>0</v>
      </c>
      <c r="Q6671" t="n">
        <v>0</v>
      </c>
      <c r="R6671" s="2" t="inlineStr"/>
    </row>
    <row r="6672" ht="15" customHeight="1">
      <c r="A6672" t="inlineStr">
        <is>
          <t>A 21978-2021</t>
        </is>
      </c>
      <c r="B6672" s="1" t="n">
        <v>44323</v>
      </c>
      <c r="C6672" s="1" t="n">
        <v>45212</v>
      </c>
      <c r="D6672" t="inlineStr">
        <is>
          <t>VÄSTRA GÖTALANDS LÄN</t>
        </is>
      </c>
      <c r="E6672" t="inlineStr">
        <is>
          <t>KARLSBORG</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22734-2021</t>
        </is>
      </c>
      <c r="B6673" s="1" t="n">
        <v>44323</v>
      </c>
      <c r="C6673" s="1" t="n">
        <v>45212</v>
      </c>
      <c r="D6673" t="inlineStr">
        <is>
          <t>VÄSTRA GÖTALANDS LÄN</t>
        </is>
      </c>
      <c r="E6673" t="inlineStr">
        <is>
          <t>TRANEMO</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22047-2021</t>
        </is>
      </c>
      <c r="B6674" s="1" t="n">
        <v>44323</v>
      </c>
      <c r="C6674" s="1" t="n">
        <v>45212</v>
      </c>
      <c r="D6674" t="inlineStr">
        <is>
          <t>VÄSTRA GÖTALANDS LÄN</t>
        </is>
      </c>
      <c r="E6674" t="inlineStr">
        <is>
          <t>BORÅS</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22157-2021</t>
        </is>
      </c>
      <c r="B6675" s="1" t="n">
        <v>44325</v>
      </c>
      <c r="C6675" s="1" t="n">
        <v>45212</v>
      </c>
      <c r="D6675" t="inlineStr">
        <is>
          <t>VÄSTRA GÖTALANDS LÄN</t>
        </is>
      </c>
      <c r="E6675" t="inlineStr">
        <is>
          <t>ÅMÅL</t>
        </is>
      </c>
      <c r="G6675" t="n">
        <v>4.2</v>
      </c>
      <c r="H6675" t="n">
        <v>0</v>
      </c>
      <c r="I6675" t="n">
        <v>0</v>
      </c>
      <c r="J6675" t="n">
        <v>0</v>
      </c>
      <c r="K6675" t="n">
        <v>0</v>
      </c>
      <c r="L6675" t="n">
        <v>0</v>
      </c>
      <c r="M6675" t="n">
        <v>0</v>
      </c>
      <c r="N6675" t="n">
        <v>0</v>
      </c>
      <c r="O6675" t="n">
        <v>0</v>
      </c>
      <c r="P6675" t="n">
        <v>0</v>
      </c>
      <c r="Q6675" t="n">
        <v>0</v>
      </c>
      <c r="R6675" s="2" t="inlineStr"/>
    </row>
    <row r="6676" ht="15" customHeight="1">
      <c r="A6676" t="inlineStr">
        <is>
          <t>A 22156-2021</t>
        </is>
      </c>
      <c r="B6676" s="1" t="n">
        <v>44325</v>
      </c>
      <c r="C6676" s="1" t="n">
        <v>45212</v>
      </c>
      <c r="D6676" t="inlineStr">
        <is>
          <t>VÄSTRA GÖTALANDS LÄN</t>
        </is>
      </c>
      <c r="E6676" t="inlineStr">
        <is>
          <t>ÅMÅL</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22162-2021</t>
        </is>
      </c>
      <c r="B6677" s="1" t="n">
        <v>44325</v>
      </c>
      <c r="C6677" s="1" t="n">
        <v>45212</v>
      </c>
      <c r="D6677" t="inlineStr">
        <is>
          <t>VÄSTRA GÖTALANDS LÄN</t>
        </is>
      </c>
      <c r="E6677" t="inlineStr">
        <is>
          <t>MUNKEDAL</t>
        </is>
      </c>
      <c r="G6677" t="n">
        <v>7.3</v>
      </c>
      <c r="H6677" t="n">
        <v>0</v>
      </c>
      <c r="I6677" t="n">
        <v>0</v>
      </c>
      <c r="J6677" t="n">
        <v>0</v>
      </c>
      <c r="K6677" t="n">
        <v>0</v>
      </c>
      <c r="L6677" t="n">
        <v>0</v>
      </c>
      <c r="M6677" t="n">
        <v>0</v>
      </c>
      <c r="N6677" t="n">
        <v>0</v>
      </c>
      <c r="O6677" t="n">
        <v>0</v>
      </c>
      <c r="P6677" t="n">
        <v>0</v>
      </c>
      <c r="Q6677" t="n">
        <v>0</v>
      </c>
      <c r="R6677" s="2" t="inlineStr"/>
    </row>
    <row r="6678" ht="15" customHeight="1">
      <c r="A6678" t="inlineStr">
        <is>
          <t>A 22151-2021</t>
        </is>
      </c>
      <c r="B6678" s="1" t="n">
        <v>44325</v>
      </c>
      <c r="C6678" s="1" t="n">
        <v>45212</v>
      </c>
      <c r="D6678" t="inlineStr">
        <is>
          <t>VÄSTRA GÖTALANDS LÄN</t>
        </is>
      </c>
      <c r="E6678" t="inlineStr">
        <is>
          <t>ULRICEHAMN</t>
        </is>
      </c>
      <c r="G6678" t="n">
        <v>4.2</v>
      </c>
      <c r="H6678" t="n">
        <v>0</v>
      </c>
      <c r="I6678" t="n">
        <v>0</v>
      </c>
      <c r="J6678" t="n">
        <v>0</v>
      </c>
      <c r="K6678" t="n">
        <v>0</v>
      </c>
      <c r="L6678" t="n">
        <v>0</v>
      </c>
      <c r="M6678" t="n">
        <v>0</v>
      </c>
      <c r="N6678" t="n">
        <v>0</v>
      </c>
      <c r="O6678" t="n">
        <v>0</v>
      </c>
      <c r="P6678" t="n">
        <v>0</v>
      </c>
      <c r="Q6678" t="n">
        <v>0</v>
      </c>
      <c r="R6678" s="2" t="inlineStr"/>
    </row>
    <row r="6679" ht="15" customHeight="1">
      <c r="A6679" t="inlineStr">
        <is>
          <t>A 22161-2021</t>
        </is>
      </c>
      <c r="B6679" s="1" t="n">
        <v>44325</v>
      </c>
      <c r="C6679" s="1" t="n">
        <v>45212</v>
      </c>
      <c r="D6679" t="inlineStr">
        <is>
          <t>VÄSTRA GÖTALANDS LÄN</t>
        </is>
      </c>
      <c r="E6679" t="inlineStr">
        <is>
          <t>BORÅS</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22452-2021</t>
        </is>
      </c>
      <c r="B6680" s="1" t="n">
        <v>44326</v>
      </c>
      <c r="C6680" s="1" t="n">
        <v>45212</v>
      </c>
      <c r="D6680" t="inlineStr">
        <is>
          <t>VÄSTRA GÖTALANDS LÄN</t>
        </is>
      </c>
      <c r="E6680" t="inlineStr">
        <is>
          <t>ORUST</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22628-2021</t>
        </is>
      </c>
      <c r="B6681" s="1" t="n">
        <v>44326</v>
      </c>
      <c r="C6681" s="1" t="n">
        <v>45212</v>
      </c>
      <c r="D6681" t="inlineStr">
        <is>
          <t>VÄSTRA GÖTALANDS LÄN</t>
        </is>
      </c>
      <c r="E6681" t="inlineStr">
        <is>
          <t>BENGTSFORS</t>
        </is>
      </c>
      <c r="F6681" t="inlineStr">
        <is>
          <t>Bergvik skog väst AB</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22200-2021</t>
        </is>
      </c>
      <c r="B6682" s="1" t="n">
        <v>44326</v>
      </c>
      <c r="C6682" s="1" t="n">
        <v>45212</v>
      </c>
      <c r="D6682" t="inlineStr">
        <is>
          <t>VÄSTRA GÖTALANDS LÄN</t>
        </is>
      </c>
      <c r="E6682" t="inlineStr">
        <is>
          <t>DALS-ED</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22893-2021</t>
        </is>
      </c>
      <c r="B6683" s="1" t="n">
        <v>44326</v>
      </c>
      <c r="C6683" s="1" t="n">
        <v>45212</v>
      </c>
      <c r="D6683" t="inlineStr">
        <is>
          <t>VÄSTRA GÖTALANDS LÄN</t>
        </is>
      </c>
      <c r="E6683" t="inlineStr">
        <is>
          <t>MELLERUD</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22255-2021</t>
        </is>
      </c>
      <c r="B6684" s="1" t="n">
        <v>44326</v>
      </c>
      <c r="C6684" s="1" t="n">
        <v>45212</v>
      </c>
      <c r="D6684" t="inlineStr">
        <is>
          <t>VÄSTRA GÖTALANDS LÄN</t>
        </is>
      </c>
      <c r="E6684" t="inlineStr">
        <is>
          <t>ORUST</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22984-2021</t>
        </is>
      </c>
      <c r="B6685" s="1" t="n">
        <v>44327</v>
      </c>
      <c r="C6685" s="1" t="n">
        <v>45212</v>
      </c>
      <c r="D6685" t="inlineStr">
        <is>
          <t>VÄSTRA GÖTALANDS LÄN</t>
        </is>
      </c>
      <c r="E6685" t="inlineStr">
        <is>
          <t>TRANEMO</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22719-2021</t>
        </is>
      </c>
      <c r="B6686" s="1" t="n">
        <v>44327</v>
      </c>
      <c r="C6686" s="1" t="n">
        <v>45212</v>
      </c>
      <c r="D6686" t="inlineStr">
        <is>
          <t>VÄSTRA GÖTALANDS LÄN</t>
        </is>
      </c>
      <c r="E6686" t="inlineStr">
        <is>
          <t>UDDEVALLA</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22766-2021</t>
        </is>
      </c>
      <c r="B6687" s="1" t="n">
        <v>44327</v>
      </c>
      <c r="C6687" s="1" t="n">
        <v>45212</v>
      </c>
      <c r="D6687" t="inlineStr">
        <is>
          <t>VÄSTRA GÖTALANDS LÄN</t>
        </is>
      </c>
      <c r="E6687" t="inlineStr">
        <is>
          <t>TANUM</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22771-2021</t>
        </is>
      </c>
      <c r="B6688" s="1" t="n">
        <v>44327</v>
      </c>
      <c r="C6688" s="1" t="n">
        <v>45212</v>
      </c>
      <c r="D6688" t="inlineStr">
        <is>
          <t>VÄSTRA GÖTALANDS LÄN</t>
        </is>
      </c>
      <c r="E6688" t="inlineStr">
        <is>
          <t>TANUM</t>
        </is>
      </c>
      <c r="G6688" t="n">
        <v>5.6</v>
      </c>
      <c r="H6688" t="n">
        <v>0</v>
      </c>
      <c r="I6688" t="n">
        <v>0</v>
      </c>
      <c r="J6688" t="n">
        <v>0</v>
      </c>
      <c r="K6688" t="n">
        <v>0</v>
      </c>
      <c r="L6688" t="n">
        <v>0</v>
      </c>
      <c r="M6688" t="n">
        <v>0</v>
      </c>
      <c r="N6688" t="n">
        <v>0</v>
      </c>
      <c r="O6688" t="n">
        <v>0</v>
      </c>
      <c r="P6688" t="n">
        <v>0</v>
      </c>
      <c r="Q6688" t="n">
        <v>0</v>
      </c>
      <c r="R6688" s="2" t="inlineStr"/>
    </row>
    <row r="6689" ht="15" customHeight="1">
      <c r="A6689" t="inlineStr">
        <is>
          <t>A 22717-2021</t>
        </is>
      </c>
      <c r="B6689" s="1" t="n">
        <v>44327</v>
      </c>
      <c r="C6689" s="1" t="n">
        <v>45212</v>
      </c>
      <c r="D6689" t="inlineStr">
        <is>
          <t>VÄSTRA GÖTALANDS LÄN</t>
        </is>
      </c>
      <c r="E6689" t="inlineStr">
        <is>
          <t>FÄRGELANDA</t>
        </is>
      </c>
      <c r="G6689" t="n">
        <v>1.7</v>
      </c>
      <c r="H6689" t="n">
        <v>0</v>
      </c>
      <c r="I6689" t="n">
        <v>0</v>
      </c>
      <c r="J6689" t="n">
        <v>0</v>
      </c>
      <c r="K6689" t="n">
        <v>0</v>
      </c>
      <c r="L6689" t="n">
        <v>0</v>
      </c>
      <c r="M6689" t="n">
        <v>0</v>
      </c>
      <c r="N6689" t="n">
        <v>0</v>
      </c>
      <c r="O6689" t="n">
        <v>0</v>
      </c>
      <c r="P6689" t="n">
        <v>0</v>
      </c>
      <c r="Q6689" t="n">
        <v>0</v>
      </c>
      <c r="R6689" s="2" t="inlineStr"/>
    </row>
    <row r="6690" ht="15" customHeight="1">
      <c r="A6690" t="inlineStr">
        <is>
          <t>A 22770-2021</t>
        </is>
      </c>
      <c r="B6690" s="1" t="n">
        <v>44327</v>
      </c>
      <c r="C6690" s="1" t="n">
        <v>45212</v>
      </c>
      <c r="D6690" t="inlineStr">
        <is>
          <t>VÄSTRA GÖTALANDS LÄN</t>
        </is>
      </c>
      <c r="E6690" t="inlineStr">
        <is>
          <t>TANUM</t>
        </is>
      </c>
      <c r="G6690" t="n">
        <v>3.1</v>
      </c>
      <c r="H6690" t="n">
        <v>0</v>
      </c>
      <c r="I6690" t="n">
        <v>0</v>
      </c>
      <c r="J6690" t="n">
        <v>0</v>
      </c>
      <c r="K6690" t="n">
        <v>0</v>
      </c>
      <c r="L6690" t="n">
        <v>0</v>
      </c>
      <c r="M6690" t="n">
        <v>0</v>
      </c>
      <c r="N6690" t="n">
        <v>0</v>
      </c>
      <c r="O6690" t="n">
        <v>0</v>
      </c>
      <c r="P6690" t="n">
        <v>0</v>
      </c>
      <c r="Q6690" t="n">
        <v>0</v>
      </c>
      <c r="R6690" s="2" t="inlineStr"/>
    </row>
    <row r="6691" ht="15" customHeight="1">
      <c r="A6691" t="inlineStr">
        <is>
          <t>A 22710-2021</t>
        </is>
      </c>
      <c r="B6691" s="1" t="n">
        <v>44327</v>
      </c>
      <c r="C6691" s="1" t="n">
        <v>45212</v>
      </c>
      <c r="D6691" t="inlineStr">
        <is>
          <t>VÄSTRA GÖTALANDS LÄN</t>
        </is>
      </c>
      <c r="E6691" t="inlineStr">
        <is>
          <t>HERRLJUNGA</t>
        </is>
      </c>
      <c r="G6691" t="n">
        <v>0.6</v>
      </c>
      <c r="H6691" t="n">
        <v>0</v>
      </c>
      <c r="I6691" t="n">
        <v>0</v>
      </c>
      <c r="J6691" t="n">
        <v>0</v>
      </c>
      <c r="K6691" t="n">
        <v>0</v>
      </c>
      <c r="L6691" t="n">
        <v>0</v>
      </c>
      <c r="M6691" t="n">
        <v>0</v>
      </c>
      <c r="N6691" t="n">
        <v>0</v>
      </c>
      <c r="O6691" t="n">
        <v>0</v>
      </c>
      <c r="P6691" t="n">
        <v>0</v>
      </c>
      <c r="Q6691" t="n">
        <v>0</v>
      </c>
      <c r="R6691" s="2" t="inlineStr"/>
    </row>
    <row r="6692" ht="15" customHeight="1">
      <c r="A6692" t="inlineStr">
        <is>
          <t>A 22724-2021</t>
        </is>
      </c>
      <c r="B6692" s="1" t="n">
        <v>44327</v>
      </c>
      <c r="C6692" s="1" t="n">
        <v>45212</v>
      </c>
      <c r="D6692" t="inlineStr">
        <is>
          <t>VÄSTRA GÖTALANDS LÄN</t>
        </is>
      </c>
      <c r="E6692" t="inlineStr">
        <is>
          <t>BOLLEBYGD</t>
        </is>
      </c>
      <c r="G6692" t="n">
        <v>2.8</v>
      </c>
      <c r="H6692" t="n">
        <v>0</v>
      </c>
      <c r="I6692" t="n">
        <v>0</v>
      </c>
      <c r="J6692" t="n">
        <v>0</v>
      </c>
      <c r="K6692" t="n">
        <v>0</v>
      </c>
      <c r="L6692" t="n">
        <v>0</v>
      </c>
      <c r="M6692" t="n">
        <v>0</v>
      </c>
      <c r="N6692" t="n">
        <v>0</v>
      </c>
      <c r="O6692" t="n">
        <v>0</v>
      </c>
      <c r="P6692" t="n">
        <v>0</v>
      </c>
      <c r="Q6692" t="n">
        <v>0</v>
      </c>
      <c r="R6692" s="2" t="inlineStr"/>
    </row>
    <row r="6693" ht="15" customHeight="1">
      <c r="A6693" t="inlineStr">
        <is>
          <t>A 22764-2021</t>
        </is>
      </c>
      <c r="B6693" s="1" t="n">
        <v>44327</v>
      </c>
      <c r="C6693" s="1" t="n">
        <v>45212</v>
      </c>
      <c r="D6693" t="inlineStr">
        <is>
          <t>VÄSTRA GÖTALANDS LÄN</t>
        </is>
      </c>
      <c r="E6693" t="inlineStr">
        <is>
          <t>TANUM</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22769-2021</t>
        </is>
      </c>
      <c r="B6694" s="1" t="n">
        <v>44327</v>
      </c>
      <c r="C6694" s="1" t="n">
        <v>45212</v>
      </c>
      <c r="D6694" t="inlineStr">
        <is>
          <t>VÄSTRA GÖTALANDS LÄN</t>
        </is>
      </c>
      <c r="E6694" t="inlineStr">
        <is>
          <t>TANUM</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22847-2021</t>
        </is>
      </c>
      <c r="B6695" s="1" t="n">
        <v>44328</v>
      </c>
      <c r="C6695" s="1" t="n">
        <v>45212</v>
      </c>
      <c r="D6695" t="inlineStr">
        <is>
          <t>VÄSTRA GÖTALANDS LÄN</t>
        </is>
      </c>
      <c r="E6695" t="inlineStr">
        <is>
          <t>DALS-ED</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22912-2021</t>
        </is>
      </c>
      <c r="B6696" s="1" t="n">
        <v>44328</v>
      </c>
      <c r="C6696" s="1" t="n">
        <v>45212</v>
      </c>
      <c r="D6696" t="inlineStr">
        <is>
          <t>VÄSTRA GÖTALANDS LÄN</t>
        </is>
      </c>
      <c r="E6696" t="inlineStr">
        <is>
          <t>TANUM</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22846-2021</t>
        </is>
      </c>
      <c r="B6697" s="1" t="n">
        <v>44328</v>
      </c>
      <c r="C6697" s="1" t="n">
        <v>45212</v>
      </c>
      <c r="D6697" t="inlineStr">
        <is>
          <t>VÄSTRA GÖTALANDS LÄN</t>
        </is>
      </c>
      <c r="E6697" t="inlineStr">
        <is>
          <t>MARK</t>
        </is>
      </c>
      <c r="G6697" t="n">
        <v>8.300000000000001</v>
      </c>
      <c r="H6697" t="n">
        <v>0</v>
      </c>
      <c r="I6697" t="n">
        <v>0</v>
      </c>
      <c r="J6697" t="n">
        <v>0</v>
      </c>
      <c r="K6697" t="n">
        <v>0</v>
      </c>
      <c r="L6697" t="n">
        <v>0</v>
      </c>
      <c r="M6697" t="n">
        <v>0</v>
      </c>
      <c r="N6697" t="n">
        <v>0</v>
      </c>
      <c r="O6697" t="n">
        <v>0</v>
      </c>
      <c r="P6697" t="n">
        <v>0</v>
      </c>
      <c r="Q6697" t="n">
        <v>0</v>
      </c>
      <c r="R6697" s="2" t="inlineStr"/>
    </row>
    <row r="6698" ht="15" customHeight="1">
      <c r="A6698" t="inlineStr">
        <is>
          <t>A 22831-2021</t>
        </is>
      </c>
      <c r="B6698" s="1" t="n">
        <v>44328</v>
      </c>
      <c r="C6698" s="1" t="n">
        <v>45212</v>
      </c>
      <c r="D6698" t="inlineStr">
        <is>
          <t>VÄSTRA GÖTALANDS LÄN</t>
        </is>
      </c>
      <c r="E6698" t="inlineStr">
        <is>
          <t>TÖREBODA</t>
        </is>
      </c>
      <c r="F6698" t="inlineStr">
        <is>
          <t>Sveaskog</t>
        </is>
      </c>
      <c r="G6698" t="n">
        <v>1.8</v>
      </c>
      <c r="H6698" t="n">
        <v>0</v>
      </c>
      <c r="I6698" t="n">
        <v>0</v>
      </c>
      <c r="J6698" t="n">
        <v>0</v>
      </c>
      <c r="K6698" t="n">
        <v>0</v>
      </c>
      <c r="L6698" t="n">
        <v>0</v>
      </c>
      <c r="M6698" t="n">
        <v>0</v>
      </c>
      <c r="N6698" t="n">
        <v>0</v>
      </c>
      <c r="O6698" t="n">
        <v>0</v>
      </c>
      <c r="P6698" t="n">
        <v>0</v>
      </c>
      <c r="Q6698" t="n">
        <v>0</v>
      </c>
      <c r="R6698" s="2" t="inlineStr"/>
    </row>
    <row r="6699" ht="15" customHeight="1">
      <c r="A6699" t="inlineStr">
        <is>
          <t>A 22905-2021</t>
        </is>
      </c>
      <c r="B6699" s="1" t="n">
        <v>44328</v>
      </c>
      <c r="C6699" s="1" t="n">
        <v>45212</v>
      </c>
      <c r="D6699" t="inlineStr">
        <is>
          <t>VÄSTRA GÖTALANDS LÄN</t>
        </is>
      </c>
      <c r="E6699" t="inlineStr">
        <is>
          <t>TANUM</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23083-2021</t>
        </is>
      </c>
      <c r="B6700" s="1" t="n">
        <v>44330</v>
      </c>
      <c r="C6700" s="1" t="n">
        <v>45212</v>
      </c>
      <c r="D6700" t="inlineStr">
        <is>
          <t>VÄSTRA GÖTALANDS LÄN</t>
        </is>
      </c>
      <c r="E6700" t="inlineStr">
        <is>
          <t>TROLLHÄTTAN</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23164-2021</t>
        </is>
      </c>
      <c r="B6701" s="1" t="n">
        <v>44332</v>
      </c>
      <c r="C6701" s="1" t="n">
        <v>45212</v>
      </c>
      <c r="D6701" t="inlineStr">
        <is>
          <t>VÄSTRA GÖTALANDS LÄN</t>
        </is>
      </c>
      <c r="E6701" t="inlineStr">
        <is>
          <t>ALINGSÅS</t>
        </is>
      </c>
      <c r="G6701" t="n">
        <v>13.1</v>
      </c>
      <c r="H6701" t="n">
        <v>0</v>
      </c>
      <c r="I6701" t="n">
        <v>0</v>
      </c>
      <c r="J6701" t="n">
        <v>0</v>
      </c>
      <c r="K6701" t="n">
        <v>0</v>
      </c>
      <c r="L6701" t="n">
        <v>0</v>
      </c>
      <c r="M6701" t="n">
        <v>0</v>
      </c>
      <c r="N6701" t="n">
        <v>0</v>
      </c>
      <c r="O6701" t="n">
        <v>0</v>
      </c>
      <c r="P6701" t="n">
        <v>0</v>
      </c>
      <c r="Q6701" t="n">
        <v>0</v>
      </c>
      <c r="R6701" s="2" t="inlineStr"/>
    </row>
    <row r="6702" ht="15" customHeight="1">
      <c r="A6702" t="inlineStr">
        <is>
          <t>A 23230-2021</t>
        </is>
      </c>
      <c r="B6702" s="1" t="n">
        <v>44332</v>
      </c>
      <c r="C6702" s="1" t="n">
        <v>45212</v>
      </c>
      <c r="D6702" t="inlineStr">
        <is>
          <t>VÄSTRA GÖTALANDS LÄN</t>
        </is>
      </c>
      <c r="E6702" t="inlineStr">
        <is>
          <t>FALKÖPING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23176-2021</t>
        </is>
      </c>
      <c r="B6703" s="1" t="n">
        <v>44333</v>
      </c>
      <c r="C6703" s="1" t="n">
        <v>45212</v>
      </c>
      <c r="D6703" t="inlineStr">
        <is>
          <t>VÄSTRA GÖTALANDS LÄN</t>
        </is>
      </c>
      <c r="E6703" t="inlineStr">
        <is>
          <t>ULRICEHAMN</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23365-2021</t>
        </is>
      </c>
      <c r="B6704" s="1" t="n">
        <v>44333</v>
      </c>
      <c r="C6704" s="1" t="n">
        <v>45212</v>
      </c>
      <c r="D6704" t="inlineStr">
        <is>
          <t>VÄSTRA GÖTALANDS LÄN</t>
        </is>
      </c>
      <c r="E6704" t="inlineStr">
        <is>
          <t>LYSEKIL</t>
        </is>
      </c>
      <c r="G6704" t="n">
        <v>0.2</v>
      </c>
      <c r="H6704" t="n">
        <v>0</v>
      </c>
      <c r="I6704" t="n">
        <v>0</v>
      </c>
      <c r="J6704" t="n">
        <v>0</v>
      </c>
      <c r="K6704" t="n">
        <v>0</v>
      </c>
      <c r="L6704" t="n">
        <v>0</v>
      </c>
      <c r="M6704" t="n">
        <v>0</v>
      </c>
      <c r="N6704" t="n">
        <v>0</v>
      </c>
      <c r="O6704" t="n">
        <v>0</v>
      </c>
      <c r="P6704" t="n">
        <v>0</v>
      </c>
      <c r="Q6704" t="n">
        <v>0</v>
      </c>
      <c r="R6704" s="2" t="inlineStr"/>
    </row>
    <row r="6705" ht="15" customHeight="1">
      <c r="A6705" t="inlineStr">
        <is>
          <t>A 23273-2021</t>
        </is>
      </c>
      <c r="B6705" s="1" t="n">
        <v>44333</v>
      </c>
      <c r="C6705" s="1" t="n">
        <v>45212</v>
      </c>
      <c r="D6705" t="inlineStr">
        <is>
          <t>VÄSTRA GÖTALANDS LÄN</t>
        </is>
      </c>
      <c r="E6705" t="inlineStr">
        <is>
          <t>ALINGSÅS</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23350-2021</t>
        </is>
      </c>
      <c r="B6706" s="1" t="n">
        <v>44333</v>
      </c>
      <c r="C6706" s="1" t="n">
        <v>45212</v>
      </c>
      <c r="D6706" t="inlineStr">
        <is>
          <t>VÄSTRA GÖTALANDS LÄN</t>
        </is>
      </c>
      <c r="E6706" t="inlineStr">
        <is>
          <t>LIDKÖPING</t>
        </is>
      </c>
      <c r="G6706" t="n">
        <v>4.1</v>
      </c>
      <c r="H6706" t="n">
        <v>0</v>
      </c>
      <c r="I6706" t="n">
        <v>0</v>
      </c>
      <c r="J6706" t="n">
        <v>0</v>
      </c>
      <c r="K6706" t="n">
        <v>0</v>
      </c>
      <c r="L6706" t="n">
        <v>0</v>
      </c>
      <c r="M6706" t="n">
        <v>0</v>
      </c>
      <c r="N6706" t="n">
        <v>0</v>
      </c>
      <c r="O6706" t="n">
        <v>0</v>
      </c>
      <c r="P6706" t="n">
        <v>0</v>
      </c>
      <c r="Q6706" t="n">
        <v>0</v>
      </c>
      <c r="R6706" s="2" t="inlineStr"/>
    </row>
    <row r="6707" ht="15" customHeight="1">
      <c r="A6707" t="inlineStr">
        <is>
          <t>A 23226-2021</t>
        </is>
      </c>
      <c r="B6707" s="1" t="n">
        <v>44333</v>
      </c>
      <c r="C6707" s="1" t="n">
        <v>45212</v>
      </c>
      <c r="D6707" t="inlineStr">
        <is>
          <t>VÄSTRA GÖTALANDS LÄN</t>
        </is>
      </c>
      <c r="E6707" t="inlineStr">
        <is>
          <t>BENGTSFORS</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23349-2021</t>
        </is>
      </c>
      <c r="B6708" s="1" t="n">
        <v>44333</v>
      </c>
      <c r="C6708" s="1" t="n">
        <v>45212</v>
      </c>
      <c r="D6708" t="inlineStr">
        <is>
          <t>VÄSTRA GÖTALANDS LÄN</t>
        </is>
      </c>
      <c r="E6708" t="inlineStr">
        <is>
          <t>LIDKÖPING</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23441-2021</t>
        </is>
      </c>
      <c r="B6709" s="1" t="n">
        <v>44333</v>
      </c>
      <c r="C6709" s="1" t="n">
        <v>45212</v>
      </c>
      <c r="D6709" t="inlineStr">
        <is>
          <t>VÄSTRA GÖTALANDS LÄN</t>
        </is>
      </c>
      <c r="E6709" t="inlineStr">
        <is>
          <t>VÄNERSBORG</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23800-2021</t>
        </is>
      </c>
      <c r="B6710" s="1" t="n">
        <v>44334</v>
      </c>
      <c r="C6710" s="1" t="n">
        <v>45212</v>
      </c>
      <c r="D6710" t="inlineStr">
        <is>
          <t>VÄSTRA GÖTALANDS LÄN</t>
        </is>
      </c>
      <c r="E6710" t="inlineStr">
        <is>
          <t>SKARA</t>
        </is>
      </c>
      <c r="G6710" t="n">
        <v>1.8</v>
      </c>
      <c r="H6710" t="n">
        <v>0</v>
      </c>
      <c r="I6710" t="n">
        <v>0</v>
      </c>
      <c r="J6710" t="n">
        <v>0</v>
      </c>
      <c r="K6710" t="n">
        <v>0</v>
      </c>
      <c r="L6710" t="n">
        <v>0</v>
      </c>
      <c r="M6710" t="n">
        <v>0</v>
      </c>
      <c r="N6710" t="n">
        <v>0</v>
      </c>
      <c r="O6710" t="n">
        <v>0</v>
      </c>
      <c r="P6710" t="n">
        <v>0</v>
      </c>
      <c r="Q6710" t="n">
        <v>0</v>
      </c>
      <c r="R6710" s="2" t="inlineStr"/>
    </row>
    <row r="6711" ht="15" customHeight="1">
      <c r="A6711" t="inlineStr">
        <is>
          <t>A 23665-2021</t>
        </is>
      </c>
      <c r="B6711" s="1" t="n">
        <v>44334</v>
      </c>
      <c r="C6711" s="1" t="n">
        <v>45212</v>
      </c>
      <c r="D6711" t="inlineStr">
        <is>
          <t>VÄSTRA GÖTALANDS LÄN</t>
        </is>
      </c>
      <c r="E6711" t="inlineStr">
        <is>
          <t>GULLSPÅNG</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23790-2021</t>
        </is>
      </c>
      <c r="B6712" s="1" t="n">
        <v>44334</v>
      </c>
      <c r="C6712" s="1" t="n">
        <v>45212</v>
      </c>
      <c r="D6712" t="inlineStr">
        <is>
          <t>VÄSTRA GÖTALANDS LÄN</t>
        </is>
      </c>
      <c r="E6712" t="inlineStr">
        <is>
          <t>TIBRO</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23581-2021</t>
        </is>
      </c>
      <c r="B6713" s="1" t="n">
        <v>44334</v>
      </c>
      <c r="C6713" s="1" t="n">
        <v>45212</v>
      </c>
      <c r="D6713" t="inlineStr">
        <is>
          <t>VÄSTRA GÖTALANDS LÄN</t>
        </is>
      </c>
      <c r="E6713" t="inlineStr">
        <is>
          <t>ULRICEHAMN</t>
        </is>
      </c>
      <c r="F6713" t="inlineStr">
        <is>
          <t>Kommuner</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23648-2021</t>
        </is>
      </c>
      <c r="B6714" s="1" t="n">
        <v>44334</v>
      </c>
      <c r="C6714" s="1" t="n">
        <v>45212</v>
      </c>
      <c r="D6714" t="inlineStr">
        <is>
          <t>VÄSTRA GÖTALANDS LÄN</t>
        </is>
      </c>
      <c r="E6714" t="inlineStr">
        <is>
          <t>BORÅS</t>
        </is>
      </c>
      <c r="G6714" t="n">
        <v>3.3</v>
      </c>
      <c r="H6714" t="n">
        <v>0</v>
      </c>
      <c r="I6714" t="n">
        <v>0</v>
      </c>
      <c r="J6714" t="n">
        <v>0</v>
      </c>
      <c r="K6714" t="n">
        <v>0</v>
      </c>
      <c r="L6714" t="n">
        <v>0</v>
      </c>
      <c r="M6714" t="n">
        <v>0</v>
      </c>
      <c r="N6714" t="n">
        <v>0</v>
      </c>
      <c r="O6714" t="n">
        <v>0</v>
      </c>
      <c r="P6714" t="n">
        <v>0</v>
      </c>
      <c r="Q6714" t="n">
        <v>0</v>
      </c>
      <c r="R6714" s="2" t="inlineStr"/>
    </row>
    <row r="6715" ht="15" customHeight="1">
      <c r="A6715" t="inlineStr">
        <is>
          <t>A 23731-2021</t>
        </is>
      </c>
      <c r="B6715" s="1" t="n">
        <v>44334</v>
      </c>
      <c r="C6715" s="1" t="n">
        <v>45212</v>
      </c>
      <c r="D6715" t="inlineStr">
        <is>
          <t>VÄSTRA GÖTALANDS LÄN</t>
        </is>
      </c>
      <c r="E6715" t="inlineStr">
        <is>
          <t>FALKÖPING</t>
        </is>
      </c>
      <c r="G6715" t="n">
        <v>3.8</v>
      </c>
      <c r="H6715" t="n">
        <v>0</v>
      </c>
      <c r="I6715" t="n">
        <v>0</v>
      </c>
      <c r="J6715" t="n">
        <v>0</v>
      </c>
      <c r="K6715" t="n">
        <v>0</v>
      </c>
      <c r="L6715" t="n">
        <v>0</v>
      </c>
      <c r="M6715" t="n">
        <v>0</v>
      </c>
      <c r="N6715" t="n">
        <v>0</v>
      </c>
      <c r="O6715" t="n">
        <v>0</v>
      </c>
      <c r="P6715" t="n">
        <v>0</v>
      </c>
      <c r="Q6715" t="n">
        <v>0</v>
      </c>
      <c r="R6715" s="2" t="inlineStr"/>
    </row>
    <row r="6716" ht="15" customHeight="1">
      <c r="A6716" t="inlineStr">
        <is>
          <t>A 23827-2021</t>
        </is>
      </c>
      <c r="B6716" s="1" t="n">
        <v>44335</v>
      </c>
      <c r="C6716" s="1" t="n">
        <v>45212</v>
      </c>
      <c r="D6716" t="inlineStr">
        <is>
          <t>VÄSTRA GÖTALANDS LÄN</t>
        </is>
      </c>
      <c r="E6716" t="inlineStr">
        <is>
          <t>ALINGSÅS</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23974-2021</t>
        </is>
      </c>
      <c r="B6717" s="1" t="n">
        <v>44335</v>
      </c>
      <c r="C6717" s="1" t="n">
        <v>45212</v>
      </c>
      <c r="D6717" t="inlineStr">
        <is>
          <t>VÄSTRA GÖTALANDS LÄN</t>
        </is>
      </c>
      <c r="E6717" t="inlineStr">
        <is>
          <t>MELLERUD</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23970-2021</t>
        </is>
      </c>
      <c r="B6718" s="1" t="n">
        <v>44335</v>
      </c>
      <c r="C6718" s="1" t="n">
        <v>45212</v>
      </c>
      <c r="D6718" t="inlineStr">
        <is>
          <t>VÄSTRA GÖTALANDS LÄN</t>
        </is>
      </c>
      <c r="E6718" t="inlineStr">
        <is>
          <t>MELLERUD</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23973-2021</t>
        </is>
      </c>
      <c r="B6719" s="1" t="n">
        <v>44335</v>
      </c>
      <c r="C6719" s="1" t="n">
        <v>45212</v>
      </c>
      <c r="D6719" t="inlineStr">
        <is>
          <t>VÄSTRA GÖTALANDS LÄN</t>
        </is>
      </c>
      <c r="E6719" t="inlineStr">
        <is>
          <t>MELLERUD</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24144-2021</t>
        </is>
      </c>
      <c r="B6720" s="1" t="n">
        <v>44336</v>
      </c>
      <c r="C6720" s="1" t="n">
        <v>45212</v>
      </c>
      <c r="D6720" t="inlineStr">
        <is>
          <t>VÄSTRA GÖTALANDS LÄN</t>
        </is>
      </c>
      <c r="E6720" t="inlineStr">
        <is>
          <t>MARK</t>
        </is>
      </c>
      <c r="G6720" t="n">
        <v>6.1</v>
      </c>
      <c r="H6720" t="n">
        <v>0</v>
      </c>
      <c r="I6720" t="n">
        <v>0</v>
      </c>
      <c r="J6720" t="n">
        <v>0</v>
      </c>
      <c r="K6720" t="n">
        <v>0</v>
      </c>
      <c r="L6720" t="n">
        <v>0</v>
      </c>
      <c r="M6720" t="n">
        <v>0</v>
      </c>
      <c r="N6720" t="n">
        <v>0</v>
      </c>
      <c r="O6720" t="n">
        <v>0</v>
      </c>
      <c r="P6720" t="n">
        <v>0</v>
      </c>
      <c r="Q6720" t="n">
        <v>0</v>
      </c>
      <c r="R6720" s="2" t="inlineStr"/>
    </row>
    <row r="6721" ht="15" customHeight="1">
      <c r="A6721" t="inlineStr">
        <is>
          <t>A 24044-2021</t>
        </is>
      </c>
      <c r="B6721" s="1" t="n">
        <v>44336</v>
      </c>
      <c r="C6721" s="1" t="n">
        <v>45212</v>
      </c>
      <c r="D6721" t="inlineStr">
        <is>
          <t>VÄSTRA GÖTALANDS LÄN</t>
        </is>
      </c>
      <c r="E6721" t="inlineStr">
        <is>
          <t>ULRICEHAMN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24455-2021</t>
        </is>
      </c>
      <c r="B6722" s="1" t="n">
        <v>44337</v>
      </c>
      <c r="C6722" s="1" t="n">
        <v>45212</v>
      </c>
      <c r="D6722" t="inlineStr">
        <is>
          <t>VÄSTRA GÖTALANDS LÄN</t>
        </is>
      </c>
      <c r="E6722" t="inlineStr">
        <is>
          <t>SVENLJUNGA</t>
        </is>
      </c>
      <c r="G6722" t="n">
        <v>4</v>
      </c>
      <c r="H6722" t="n">
        <v>0</v>
      </c>
      <c r="I6722" t="n">
        <v>0</v>
      </c>
      <c r="J6722" t="n">
        <v>0</v>
      </c>
      <c r="K6722" t="n">
        <v>0</v>
      </c>
      <c r="L6722" t="n">
        <v>0</v>
      </c>
      <c r="M6722" t="n">
        <v>0</v>
      </c>
      <c r="N6722" t="n">
        <v>0</v>
      </c>
      <c r="O6722" t="n">
        <v>0</v>
      </c>
      <c r="P6722" t="n">
        <v>0</v>
      </c>
      <c r="Q6722" t="n">
        <v>0</v>
      </c>
      <c r="R6722" s="2" t="inlineStr"/>
    </row>
    <row r="6723" ht="15" customHeight="1">
      <c r="A6723" t="inlineStr">
        <is>
          <t>A 24351-2021</t>
        </is>
      </c>
      <c r="B6723" s="1" t="n">
        <v>44337</v>
      </c>
      <c r="C6723" s="1" t="n">
        <v>45212</v>
      </c>
      <c r="D6723" t="inlineStr">
        <is>
          <t>VÄSTRA GÖTALANDS LÄN</t>
        </is>
      </c>
      <c r="E6723" t="inlineStr">
        <is>
          <t>ESSUNGA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24420-2021</t>
        </is>
      </c>
      <c r="B6724" s="1" t="n">
        <v>44337</v>
      </c>
      <c r="C6724" s="1" t="n">
        <v>45212</v>
      </c>
      <c r="D6724" t="inlineStr">
        <is>
          <t>VÄSTRA GÖTALANDS LÄN</t>
        </is>
      </c>
      <c r="E6724" t="inlineStr">
        <is>
          <t>MARIESTAD</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24283-2021</t>
        </is>
      </c>
      <c r="B6725" s="1" t="n">
        <v>44337</v>
      </c>
      <c r="C6725" s="1" t="n">
        <v>45212</v>
      </c>
      <c r="D6725" t="inlineStr">
        <is>
          <t>VÄSTRA GÖTALANDS LÄN</t>
        </is>
      </c>
      <c r="E6725" t="inlineStr">
        <is>
          <t>UDDEVALLA</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24474-2021</t>
        </is>
      </c>
      <c r="B6726" s="1" t="n">
        <v>44337</v>
      </c>
      <c r="C6726" s="1" t="n">
        <v>45212</v>
      </c>
      <c r="D6726" t="inlineStr">
        <is>
          <t>VÄSTRA GÖTALANDS LÄN</t>
        </is>
      </c>
      <c r="E6726" t="inlineStr">
        <is>
          <t>SVENLJUNGA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24609-2021</t>
        </is>
      </c>
      <c r="B6727" s="1" t="n">
        <v>44340</v>
      </c>
      <c r="C6727" s="1" t="n">
        <v>45212</v>
      </c>
      <c r="D6727" t="inlineStr">
        <is>
          <t>VÄSTRA GÖTALANDS LÄN</t>
        </is>
      </c>
      <c r="E6727" t="inlineStr">
        <is>
          <t>BENGTSFORS</t>
        </is>
      </c>
      <c r="G6727" t="n">
        <v>1.7</v>
      </c>
      <c r="H6727" t="n">
        <v>0</v>
      </c>
      <c r="I6727" t="n">
        <v>0</v>
      </c>
      <c r="J6727" t="n">
        <v>0</v>
      </c>
      <c r="K6727" t="n">
        <v>0</v>
      </c>
      <c r="L6727" t="n">
        <v>0</v>
      </c>
      <c r="M6727" t="n">
        <v>0</v>
      </c>
      <c r="N6727" t="n">
        <v>0</v>
      </c>
      <c r="O6727" t="n">
        <v>0</v>
      </c>
      <c r="P6727" t="n">
        <v>0</v>
      </c>
      <c r="Q6727" t="n">
        <v>0</v>
      </c>
      <c r="R6727" s="2" t="inlineStr"/>
    </row>
    <row r="6728" ht="15" customHeight="1">
      <c r="A6728" t="inlineStr">
        <is>
          <t>A 24787-2021</t>
        </is>
      </c>
      <c r="B6728" s="1" t="n">
        <v>44340</v>
      </c>
      <c r="C6728" s="1" t="n">
        <v>45212</v>
      </c>
      <c r="D6728" t="inlineStr">
        <is>
          <t>VÄSTRA GÖTALANDS LÄN</t>
        </is>
      </c>
      <c r="E6728" t="inlineStr">
        <is>
          <t>MARK</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24603-2021</t>
        </is>
      </c>
      <c r="B6729" s="1" t="n">
        <v>44340</v>
      </c>
      <c r="C6729" s="1" t="n">
        <v>45212</v>
      </c>
      <c r="D6729" t="inlineStr">
        <is>
          <t>VÄSTRA GÖTALANDS LÄN</t>
        </is>
      </c>
      <c r="E6729" t="inlineStr">
        <is>
          <t>MARIESTAD</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24756-2021</t>
        </is>
      </c>
      <c r="B6730" s="1" t="n">
        <v>44340</v>
      </c>
      <c r="C6730" s="1" t="n">
        <v>45212</v>
      </c>
      <c r="D6730" t="inlineStr">
        <is>
          <t>VÄSTRA GÖTALANDS LÄN</t>
        </is>
      </c>
      <c r="E6730" t="inlineStr">
        <is>
          <t>TROLLHÄTTAN</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24763-2021</t>
        </is>
      </c>
      <c r="B6731" s="1" t="n">
        <v>44340</v>
      </c>
      <c r="C6731" s="1" t="n">
        <v>45212</v>
      </c>
      <c r="D6731" t="inlineStr">
        <is>
          <t>VÄSTRA GÖTALANDS LÄN</t>
        </is>
      </c>
      <c r="E6731" t="inlineStr">
        <is>
          <t>BENGTSFORS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24595-2021</t>
        </is>
      </c>
      <c r="B6732" s="1" t="n">
        <v>44340</v>
      </c>
      <c r="C6732" s="1" t="n">
        <v>45212</v>
      </c>
      <c r="D6732" t="inlineStr">
        <is>
          <t>VÄSTRA GÖTALANDS LÄN</t>
        </is>
      </c>
      <c r="E6732" t="inlineStr">
        <is>
          <t>BENGTSFORS</t>
        </is>
      </c>
      <c r="G6732" t="n">
        <v>5.8</v>
      </c>
      <c r="H6732" t="n">
        <v>0</v>
      </c>
      <c r="I6732" t="n">
        <v>0</v>
      </c>
      <c r="J6732" t="n">
        <v>0</v>
      </c>
      <c r="K6732" t="n">
        <v>0</v>
      </c>
      <c r="L6732" t="n">
        <v>0</v>
      </c>
      <c r="M6732" t="n">
        <v>0</v>
      </c>
      <c r="N6732" t="n">
        <v>0</v>
      </c>
      <c r="O6732" t="n">
        <v>0</v>
      </c>
      <c r="P6732" t="n">
        <v>0</v>
      </c>
      <c r="Q6732" t="n">
        <v>0</v>
      </c>
      <c r="R6732" s="2" t="inlineStr"/>
    </row>
    <row r="6733" ht="15" customHeight="1">
      <c r="A6733" t="inlineStr">
        <is>
          <t>A 24667-2021</t>
        </is>
      </c>
      <c r="B6733" s="1" t="n">
        <v>44340</v>
      </c>
      <c r="C6733" s="1" t="n">
        <v>45212</v>
      </c>
      <c r="D6733" t="inlineStr">
        <is>
          <t>VÄSTRA GÖTALANDS LÄN</t>
        </is>
      </c>
      <c r="E6733" t="inlineStr">
        <is>
          <t>ÅMÅL</t>
        </is>
      </c>
      <c r="G6733" t="n">
        <v>7.8</v>
      </c>
      <c r="H6733" t="n">
        <v>0</v>
      </c>
      <c r="I6733" t="n">
        <v>0</v>
      </c>
      <c r="J6733" t="n">
        <v>0</v>
      </c>
      <c r="K6733" t="n">
        <v>0</v>
      </c>
      <c r="L6733" t="n">
        <v>0</v>
      </c>
      <c r="M6733" t="n">
        <v>0</v>
      </c>
      <c r="N6733" t="n">
        <v>0</v>
      </c>
      <c r="O6733" t="n">
        <v>0</v>
      </c>
      <c r="P6733" t="n">
        <v>0</v>
      </c>
      <c r="Q6733" t="n">
        <v>0</v>
      </c>
      <c r="R6733" s="2" t="inlineStr"/>
    </row>
    <row r="6734" ht="15" customHeight="1">
      <c r="A6734" t="inlineStr">
        <is>
          <t>A 24867-2021</t>
        </is>
      </c>
      <c r="B6734" s="1" t="n">
        <v>44341</v>
      </c>
      <c r="C6734" s="1" t="n">
        <v>45212</v>
      </c>
      <c r="D6734" t="inlineStr">
        <is>
          <t>VÄSTRA GÖTALANDS LÄN</t>
        </is>
      </c>
      <c r="E6734" t="inlineStr">
        <is>
          <t>ESSUNGA</t>
        </is>
      </c>
      <c r="G6734" t="n">
        <v>3.6</v>
      </c>
      <c r="H6734" t="n">
        <v>0</v>
      </c>
      <c r="I6734" t="n">
        <v>0</v>
      </c>
      <c r="J6734" t="n">
        <v>0</v>
      </c>
      <c r="K6734" t="n">
        <v>0</v>
      </c>
      <c r="L6734" t="n">
        <v>0</v>
      </c>
      <c r="M6734" t="n">
        <v>0</v>
      </c>
      <c r="N6734" t="n">
        <v>0</v>
      </c>
      <c r="O6734" t="n">
        <v>0</v>
      </c>
      <c r="P6734" t="n">
        <v>0</v>
      </c>
      <c r="Q6734" t="n">
        <v>0</v>
      </c>
      <c r="R6734" s="2" t="inlineStr"/>
    </row>
    <row r="6735" ht="15" customHeight="1">
      <c r="A6735" t="inlineStr">
        <is>
          <t>A 24913-2021</t>
        </is>
      </c>
      <c r="B6735" s="1" t="n">
        <v>44341</v>
      </c>
      <c r="C6735" s="1" t="n">
        <v>45212</v>
      </c>
      <c r="D6735" t="inlineStr">
        <is>
          <t>VÄSTRA GÖTALANDS LÄN</t>
        </is>
      </c>
      <c r="E6735" t="inlineStr">
        <is>
          <t>LIDKÖPING</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25104-2021</t>
        </is>
      </c>
      <c r="B6736" s="1" t="n">
        <v>44341</v>
      </c>
      <c r="C6736" s="1" t="n">
        <v>45212</v>
      </c>
      <c r="D6736" t="inlineStr">
        <is>
          <t>VÄSTRA GÖTALANDS LÄN</t>
        </is>
      </c>
      <c r="E6736" t="inlineStr">
        <is>
          <t>SVENLJUNGA</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24903-2021</t>
        </is>
      </c>
      <c r="B6737" s="1" t="n">
        <v>44341</v>
      </c>
      <c r="C6737" s="1" t="n">
        <v>45212</v>
      </c>
      <c r="D6737" t="inlineStr">
        <is>
          <t>VÄSTRA GÖTALANDS LÄN</t>
        </is>
      </c>
      <c r="E6737" t="inlineStr">
        <is>
          <t>BENGTSFORS</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24952-2021</t>
        </is>
      </c>
      <c r="B6738" s="1" t="n">
        <v>44341</v>
      </c>
      <c r="C6738" s="1" t="n">
        <v>45212</v>
      </c>
      <c r="D6738" t="inlineStr">
        <is>
          <t>VÄSTRA GÖTALANDS LÄN</t>
        </is>
      </c>
      <c r="E6738" t="inlineStr">
        <is>
          <t>LIDKÖPING</t>
        </is>
      </c>
      <c r="G6738" t="n">
        <v>1.4</v>
      </c>
      <c r="H6738" t="n">
        <v>0</v>
      </c>
      <c r="I6738" t="n">
        <v>0</v>
      </c>
      <c r="J6738" t="n">
        <v>0</v>
      </c>
      <c r="K6738" t="n">
        <v>0</v>
      </c>
      <c r="L6738" t="n">
        <v>0</v>
      </c>
      <c r="M6738" t="n">
        <v>0</v>
      </c>
      <c r="N6738" t="n">
        <v>0</v>
      </c>
      <c r="O6738" t="n">
        <v>0</v>
      </c>
      <c r="P6738" t="n">
        <v>0</v>
      </c>
      <c r="Q6738" t="n">
        <v>0</v>
      </c>
      <c r="R6738" s="2" t="inlineStr"/>
    </row>
    <row r="6739" ht="15" customHeight="1">
      <c r="A6739" t="inlineStr">
        <is>
          <t>A 25138-2021</t>
        </is>
      </c>
      <c r="B6739" s="1" t="n">
        <v>44341</v>
      </c>
      <c r="C6739" s="1" t="n">
        <v>45212</v>
      </c>
      <c r="D6739" t="inlineStr">
        <is>
          <t>VÄSTRA GÖTALANDS LÄN</t>
        </is>
      </c>
      <c r="E6739" t="inlineStr">
        <is>
          <t>ÅMÅL</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25222-2021</t>
        </is>
      </c>
      <c r="B6740" s="1" t="n">
        <v>44342</v>
      </c>
      <c r="C6740" s="1" t="n">
        <v>45212</v>
      </c>
      <c r="D6740" t="inlineStr">
        <is>
          <t>VÄSTRA GÖTALANDS LÄN</t>
        </is>
      </c>
      <c r="E6740" t="inlineStr">
        <is>
          <t>HÄRRYDA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25347-2021</t>
        </is>
      </c>
      <c r="B6741" s="1" t="n">
        <v>44342</v>
      </c>
      <c r="C6741" s="1" t="n">
        <v>45212</v>
      </c>
      <c r="D6741" t="inlineStr">
        <is>
          <t>VÄSTRA GÖTALANDS LÄN</t>
        </is>
      </c>
      <c r="E6741" t="inlineStr">
        <is>
          <t>BORÅS</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25432-2021</t>
        </is>
      </c>
      <c r="B6742" s="1" t="n">
        <v>44342</v>
      </c>
      <c r="C6742" s="1" t="n">
        <v>45212</v>
      </c>
      <c r="D6742" t="inlineStr">
        <is>
          <t>VÄSTRA GÖTALANDS LÄN</t>
        </is>
      </c>
      <c r="E6742" t="inlineStr">
        <is>
          <t>GULLSPÅNG</t>
        </is>
      </c>
      <c r="G6742" t="n">
        <v>7.8</v>
      </c>
      <c r="H6742" t="n">
        <v>0</v>
      </c>
      <c r="I6742" t="n">
        <v>0</v>
      </c>
      <c r="J6742" t="n">
        <v>0</v>
      </c>
      <c r="K6742" t="n">
        <v>0</v>
      </c>
      <c r="L6742" t="n">
        <v>0</v>
      </c>
      <c r="M6742" t="n">
        <v>0</v>
      </c>
      <c r="N6742" t="n">
        <v>0</v>
      </c>
      <c r="O6742" t="n">
        <v>0</v>
      </c>
      <c r="P6742" t="n">
        <v>0</v>
      </c>
      <c r="Q6742" t="n">
        <v>0</v>
      </c>
      <c r="R6742" s="2" t="inlineStr"/>
    </row>
    <row r="6743" ht="15" customHeight="1">
      <c r="A6743" t="inlineStr">
        <is>
          <t>A 25428-2021</t>
        </is>
      </c>
      <c r="B6743" s="1" t="n">
        <v>44342</v>
      </c>
      <c r="C6743" s="1" t="n">
        <v>45212</v>
      </c>
      <c r="D6743" t="inlineStr">
        <is>
          <t>VÄSTRA GÖTALANDS LÄN</t>
        </is>
      </c>
      <c r="E6743" t="inlineStr">
        <is>
          <t>GULLSPÅNG</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25316-2021</t>
        </is>
      </c>
      <c r="B6744" s="1" t="n">
        <v>44342</v>
      </c>
      <c r="C6744" s="1" t="n">
        <v>45212</v>
      </c>
      <c r="D6744" t="inlineStr">
        <is>
          <t>VÄSTRA GÖTALANDS LÄN</t>
        </is>
      </c>
      <c r="E6744" t="inlineStr">
        <is>
          <t>HJO</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25338-2021</t>
        </is>
      </c>
      <c r="B6745" s="1" t="n">
        <v>44342</v>
      </c>
      <c r="C6745" s="1" t="n">
        <v>45212</v>
      </c>
      <c r="D6745" t="inlineStr">
        <is>
          <t>VÄSTRA GÖTALANDS LÄN</t>
        </is>
      </c>
      <c r="E6745" t="inlineStr">
        <is>
          <t>BORÅS</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25552-2021</t>
        </is>
      </c>
      <c r="B6746" s="1" t="n">
        <v>44342</v>
      </c>
      <c r="C6746" s="1" t="n">
        <v>45212</v>
      </c>
      <c r="D6746" t="inlineStr">
        <is>
          <t>VÄSTRA GÖTALANDS LÄN</t>
        </is>
      </c>
      <c r="E6746" t="inlineStr">
        <is>
          <t>VARA</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25733-2021</t>
        </is>
      </c>
      <c r="B6747" s="1" t="n">
        <v>44343</v>
      </c>
      <c r="C6747" s="1" t="n">
        <v>45212</v>
      </c>
      <c r="D6747" t="inlineStr">
        <is>
          <t>VÄSTRA GÖTALANDS LÄN</t>
        </is>
      </c>
      <c r="E6747" t="inlineStr">
        <is>
          <t>TÖREBODA</t>
        </is>
      </c>
      <c r="G6747" t="n">
        <v>0.9</v>
      </c>
      <c r="H6747" t="n">
        <v>0</v>
      </c>
      <c r="I6747" t="n">
        <v>0</v>
      </c>
      <c r="J6747" t="n">
        <v>0</v>
      </c>
      <c r="K6747" t="n">
        <v>0</v>
      </c>
      <c r="L6747" t="n">
        <v>0</v>
      </c>
      <c r="M6747" t="n">
        <v>0</v>
      </c>
      <c r="N6747" t="n">
        <v>0</v>
      </c>
      <c r="O6747" t="n">
        <v>0</v>
      </c>
      <c r="P6747" t="n">
        <v>0</v>
      </c>
      <c r="Q6747" t="n">
        <v>0</v>
      </c>
      <c r="R6747" s="2" t="inlineStr"/>
    </row>
    <row r="6748" ht="15" customHeight="1">
      <c r="A6748" t="inlineStr">
        <is>
          <t>A 25795-2021</t>
        </is>
      </c>
      <c r="B6748" s="1" t="n">
        <v>44343</v>
      </c>
      <c r="C6748" s="1" t="n">
        <v>45212</v>
      </c>
      <c r="D6748" t="inlineStr">
        <is>
          <t>VÄSTRA GÖTALANDS LÄN</t>
        </is>
      </c>
      <c r="E6748" t="inlineStr">
        <is>
          <t>STRÖMSTAD</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25738-2021</t>
        </is>
      </c>
      <c r="B6749" s="1" t="n">
        <v>44343</v>
      </c>
      <c r="C6749" s="1" t="n">
        <v>45212</v>
      </c>
      <c r="D6749" t="inlineStr">
        <is>
          <t>VÄSTRA GÖTALANDS LÄN</t>
        </is>
      </c>
      <c r="E6749" t="inlineStr">
        <is>
          <t>BENGTSFORS</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25590-2021</t>
        </is>
      </c>
      <c r="B6750" s="1" t="n">
        <v>44343</v>
      </c>
      <c r="C6750" s="1" t="n">
        <v>45212</v>
      </c>
      <c r="D6750" t="inlineStr">
        <is>
          <t>VÄSTRA GÖTALANDS LÄN</t>
        </is>
      </c>
      <c r="E6750" t="inlineStr">
        <is>
          <t>BENGTSFORS</t>
        </is>
      </c>
      <c r="G6750" t="n">
        <v>2.7</v>
      </c>
      <c r="H6750" t="n">
        <v>0</v>
      </c>
      <c r="I6750" t="n">
        <v>0</v>
      </c>
      <c r="J6750" t="n">
        <v>0</v>
      </c>
      <c r="K6750" t="n">
        <v>0</v>
      </c>
      <c r="L6750" t="n">
        <v>0</v>
      </c>
      <c r="M6750" t="n">
        <v>0</v>
      </c>
      <c r="N6750" t="n">
        <v>0</v>
      </c>
      <c r="O6750" t="n">
        <v>0</v>
      </c>
      <c r="P6750" t="n">
        <v>0</v>
      </c>
      <c r="Q6750" t="n">
        <v>0</v>
      </c>
      <c r="R6750" s="2" t="inlineStr"/>
    </row>
    <row r="6751" ht="15" customHeight="1">
      <c r="A6751" t="inlineStr">
        <is>
          <t>A 25751-2021</t>
        </is>
      </c>
      <c r="B6751" s="1" t="n">
        <v>44343</v>
      </c>
      <c r="C6751" s="1" t="n">
        <v>45212</v>
      </c>
      <c r="D6751" t="inlineStr">
        <is>
          <t>VÄSTRA GÖTALANDS LÄN</t>
        </is>
      </c>
      <c r="E6751" t="inlineStr">
        <is>
          <t>MELLERUD</t>
        </is>
      </c>
      <c r="G6751" t="n">
        <v>3.2</v>
      </c>
      <c r="H6751" t="n">
        <v>0</v>
      </c>
      <c r="I6751" t="n">
        <v>0</v>
      </c>
      <c r="J6751" t="n">
        <v>0</v>
      </c>
      <c r="K6751" t="n">
        <v>0</v>
      </c>
      <c r="L6751" t="n">
        <v>0</v>
      </c>
      <c r="M6751" t="n">
        <v>0</v>
      </c>
      <c r="N6751" t="n">
        <v>0</v>
      </c>
      <c r="O6751" t="n">
        <v>0</v>
      </c>
      <c r="P6751" t="n">
        <v>0</v>
      </c>
      <c r="Q6751" t="n">
        <v>0</v>
      </c>
      <c r="R6751" s="2" t="inlineStr"/>
    </row>
    <row r="6752" ht="15" customHeight="1">
      <c r="A6752" t="inlineStr">
        <is>
          <t>A 25863-2021</t>
        </is>
      </c>
      <c r="B6752" s="1" t="n">
        <v>44343</v>
      </c>
      <c r="C6752" s="1" t="n">
        <v>45212</v>
      </c>
      <c r="D6752" t="inlineStr">
        <is>
          <t>VÄSTRA GÖTALANDS LÄN</t>
        </is>
      </c>
      <c r="E6752" t="inlineStr">
        <is>
          <t>VARA</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25938-2021</t>
        </is>
      </c>
      <c r="B6753" s="1" t="n">
        <v>44344</v>
      </c>
      <c r="C6753" s="1" t="n">
        <v>45212</v>
      </c>
      <c r="D6753" t="inlineStr">
        <is>
          <t>VÄSTRA GÖTALANDS LÄN</t>
        </is>
      </c>
      <c r="E6753" t="inlineStr">
        <is>
          <t>BOLLEBYGD</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25975-2021</t>
        </is>
      </c>
      <c r="B6754" s="1" t="n">
        <v>44344</v>
      </c>
      <c r="C6754" s="1" t="n">
        <v>45212</v>
      </c>
      <c r="D6754" t="inlineStr">
        <is>
          <t>VÄSTRA GÖTALANDS LÄN</t>
        </is>
      </c>
      <c r="E6754" t="inlineStr">
        <is>
          <t>TANUM</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25967-2021</t>
        </is>
      </c>
      <c r="B6755" s="1" t="n">
        <v>44344</v>
      </c>
      <c r="C6755" s="1" t="n">
        <v>45212</v>
      </c>
      <c r="D6755" t="inlineStr">
        <is>
          <t>VÄSTRA GÖTALANDS LÄN</t>
        </is>
      </c>
      <c r="E6755" t="inlineStr">
        <is>
          <t>HÄRRYDA</t>
        </is>
      </c>
      <c r="G6755" t="n">
        <v>5.4</v>
      </c>
      <c r="H6755" t="n">
        <v>0</v>
      </c>
      <c r="I6755" t="n">
        <v>0</v>
      </c>
      <c r="J6755" t="n">
        <v>0</v>
      </c>
      <c r="K6755" t="n">
        <v>0</v>
      </c>
      <c r="L6755" t="n">
        <v>0</v>
      </c>
      <c r="M6755" t="n">
        <v>0</v>
      </c>
      <c r="N6755" t="n">
        <v>0</v>
      </c>
      <c r="O6755" t="n">
        <v>0</v>
      </c>
      <c r="P6755" t="n">
        <v>0</v>
      </c>
      <c r="Q6755" t="n">
        <v>0</v>
      </c>
      <c r="R6755" s="2" t="inlineStr"/>
    </row>
    <row r="6756" ht="15" customHeight="1">
      <c r="A6756" t="inlineStr">
        <is>
          <t>A 25869-2021</t>
        </is>
      </c>
      <c r="B6756" s="1" t="n">
        <v>44344</v>
      </c>
      <c r="C6756" s="1" t="n">
        <v>45212</v>
      </c>
      <c r="D6756" t="inlineStr">
        <is>
          <t>VÄSTRA GÖTALANDS LÄN</t>
        </is>
      </c>
      <c r="E6756" t="inlineStr">
        <is>
          <t>STRÖMSTAD</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25901-2021</t>
        </is>
      </c>
      <c r="B6757" s="1" t="n">
        <v>44344</v>
      </c>
      <c r="C6757" s="1" t="n">
        <v>45212</v>
      </c>
      <c r="D6757" t="inlineStr">
        <is>
          <t>VÄSTRA GÖTALANDS LÄN</t>
        </is>
      </c>
      <c r="E6757" t="inlineStr">
        <is>
          <t>UDDEVALLA</t>
        </is>
      </c>
      <c r="G6757" t="n">
        <v>0.3</v>
      </c>
      <c r="H6757" t="n">
        <v>0</v>
      </c>
      <c r="I6757" t="n">
        <v>0</v>
      </c>
      <c r="J6757" t="n">
        <v>0</v>
      </c>
      <c r="K6757" t="n">
        <v>0</v>
      </c>
      <c r="L6757" t="n">
        <v>0</v>
      </c>
      <c r="M6757" t="n">
        <v>0</v>
      </c>
      <c r="N6757" t="n">
        <v>0</v>
      </c>
      <c r="O6757" t="n">
        <v>0</v>
      </c>
      <c r="P6757" t="n">
        <v>0</v>
      </c>
      <c r="Q6757" t="n">
        <v>0</v>
      </c>
      <c r="R6757" s="2" t="inlineStr"/>
    </row>
    <row r="6758" ht="15" customHeight="1">
      <c r="A6758" t="inlineStr">
        <is>
          <t>A 26070-2021</t>
        </is>
      </c>
      <c r="B6758" s="1" t="n">
        <v>44344</v>
      </c>
      <c r="C6758" s="1" t="n">
        <v>45212</v>
      </c>
      <c r="D6758" t="inlineStr">
        <is>
          <t>VÄSTRA GÖTALANDS LÄN</t>
        </is>
      </c>
      <c r="E6758" t="inlineStr">
        <is>
          <t>TANUM</t>
        </is>
      </c>
      <c r="G6758" t="n">
        <v>8</v>
      </c>
      <c r="H6758" t="n">
        <v>0</v>
      </c>
      <c r="I6758" t="n">
        <v>0</v>
      </c>
      <c r="J6758" t="n">
        <v>0</v>
      </c>
      <c r="K6758" t="n">
        <v>0</v>
      </c>
      <c r="L6758" t="n">
        <v>0</v>
      </c>
      <c r="M6758" t="n">
        <v>0</v>
      </c>
      <c r="N6758" t="n">
        <v>0</v>
      </c>
      <c r="O6758" t="n">
        <v>0</v>
      </c>
      <c r="P6758" t="n">
        <v>0</v>
      </c>
      <c r="Q6758" t="n">
        <v>0</v>
      </c>
      <c r="R6758" s="2" t="inlineStr"/>
    </row>
    <row r="6759" ht="15" customHeight="1">
      <c r="A6759" t="inlineStr">
        <is>
          <t>A 25929-2021</t>
        </is>
      </c>
      <c r="B6759" s="1" t="n">
        <v>44344</v>
      </c>
      <c r="C6759" s="1" t="n">
        <v>45212</v>
      </c>
      <c r="D6759" t="inlineStr">
        <is>
          <t>VÄSTRA GÖTALANDS LÄN</t>
        </is>
      </c>
      <c r="E6759" t="inlineStr">
        <is>
          <t>SVENLJUNGA</t>
        </is>
      </c>
      <c r="F6759" t="inlineStr">
        <is>
          <t>Sveaskog</t>
        </is>
      </c>
      <c r="G6759" t="n">
        <v>8.5</v>
      </c>
      <c r="H6759" t="n">
        <v>0</v>
      </c>
      <c r="I6759" t="n">
        <v>0</v>
      </c>
      <c r="J6759" t="n">
        <v>0</v>
      </c>
      <c r="K6759" t="n">
        <v>0</v>
      </c>
      <c r="L6759" t="n">
        <v>0</v>
      </c>
      <c r="M6759" t="n">
        <v>0</v>
      </c>
      <c r="N6759" t="n">
        <v>0</v>
      </c>
      <c r="O6759" t="n">
        <v>0</v>
      </c>
      <c r="P6759" t="n">
        <v>0</v>
      </c>
      <c r="Q6759" t="n">
        <v>0</v>
      </c>
      <c r="R6759" s="2" t="inlineStr"/>
    </row>
    <row r="6760" ht="15" customHeight="1">
      <c r="A6760" t="inlineStr">
        <is>
          <t>A 25969-2021</t>
        </is>
      </c>
      <c r="B6760" s="1" t="n">
        <v>44344</v>
      </c>
      <c r="C6760" s="1" t="n">
        <v>45212</v>
      </c>
      <c r="D6760" t="inlineStr">
        <is>
          <t>VÄSTRA GÖTALANDS LÄN</t>
        </is>
      </c>
      <c r="E6760" t="inlineStr">
        <is>
          <t>MARIESTAD</t>
        </is>
      </c>
      <c r="G6760" t="n">
        <v>2.4</v>
      </c>
      <c r="H6760" t="n">
        <v>0</v>
      </c>
      <c r="I6760" t="n">
        <v>0</v>
      </c>
      <c r="J6760" t="n">
        <v>0</v>
      </c>
      <c r="K6760" t="n">
        <v>0</v>
      </c>
      <c r="L6760" t="n">
        <v>0</v>
      </c>
      <c r="M6760" t="n">
        <v>0</v>
      </c>
      <c r="N6760" t="n">
        <v>0</v>
      </c>
      <c r="O6760" t="n">
        <v>0</v>
      </c>
      <c r="P6760" t="n">
        <v>0</v>
      </c>
      <c r="Q6760" t="n">
        <v>0</v>
      </c>
      <c r="R6760" s="2" t="inlineStr"/>
    </row>
    <row r="6761" ht="15" customHeight="1">
      <c r="A6761" t="inlineStr">
        <is>
          <t>A 26208-2021</t>
        </is>
      </c>
      <c r="B6761" s="1" t="n">
        <v>44347</v>
      </c>
      <c r="C6761" s="1" t="n">
        <v>45212</v>
      </c>
      <c r="D6761" t="inlineStr">
        <is>
          <t>VÄSTRA GÖTALANDS LÄN</t>
        </is>
      </c>
      <c r="E6761" t="inlineStr">
        <is>
          <t>TÖREBODA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26169-2021</t>
        </is>
      </c>
      <c r="B6762" s="1" t="n">
        <v>44347</v>
      </c>
      <c r="C6762" s="1" t="n">
        <v>45212</v>
      </c>
      <c r="D6762" t="inlineStr">
        <is>
          <t>VÄSTRA GÖTALANDS LÄN</t>
        </is>
      </c>
      <c r="E6762" t="inlineStr">
        <is>
          <t>VÅRGÅRDA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26592-2021</t>
        </is>
      </c>
      <c r="B6763" s="1" t="n">
        <v>44348</v>
      </c>
      <c r="C6763" s="1" t="n">
        <v>45212</v>
      </c>
      <c r="D6763" t="inlineStr">
        <is>
          <t>VÄSTRA GÖTALANDS LÄN</t>
        </is>
      </c>
      <c r="E6763" t="inlineStr">
        <is>
          <t>TRANEMO</t>
        </is>
      </c>
      <c r="G6763" t="n">
        <v>2.9</v>
      </c>
      <c r="H6763" t="n">
        <v>0</v>
      </c>
      <c r="I6763" t="n">
        <v>0</v>
      </c>
      <c r="J6763" t="n">
        <v>0</v>
      </c>
      <c r="K6763" t="n">
        <v>0</v>
      </c>
      <c r="L6763" t="n">
        <v>0</v>
      </c>
      <c r="M6763" t="n">
        <v>0</v>
      </c>
      <c r="N6763" t="n">
        <v>0</v>
      </c>
      <c r="O6763" t="n">
        <v>0</v>
      </c>
      <c r="P6763" t="n">
        <v>0</v>
      </c>
      <c r="Q6763" t="n">
        <v>0</v>
      </c>
      <c r="R6763" s="2" t="inlineStr"/>
    </row>
    <row r="6764" ht="15" customHeight="1">
      <c r="A6764" t="inlineStr">
        <is>
          <t>A 26628-2021</t>
        </is>
      </c>
      <c r="B6764" s="1" t="n">
        <v>44348</v>
      </c>
      <c r="C6764" s="1" t="n">
        <v>45212</v>
      </c>
      <c r="D6764" t="inlineStr">
        <is>
          <t>VÄSTRA GÖTALANDS LÄN</t>
        </is>
      </c>
      <c r="E6764" t="inlineStr">
        <is>
          <t>TROLLHÄTTAN</t>
        </is>
      </c>
      <c r="G6764" t="n">
        <v>9.300000000000001</v>
      </c>
      <c r="H6764" t="n">
        <v>0</v>
      </c>
      <c r="I6764" t="n">
        <v>0</v>
      </c>
      <c r="J6764" t="n">
        <v>0</v>
      </c>
      <c r="K6764" t="n">
        <v>0</v>
      </c>
      <c r="L6764" t="n">
        <v>0</v>
      </c>
      <c r="M6764" t="n">
        <v>0</v>
      </c>
      <c r="N6764" t="n">
        <v>0</v>
      </c>
      <c r="O6764" t="n">
        <v>0</v>
      </c>
      <c r="P6764" t="n">
        <v>0</v>
      </c>
      <c r="Q6764" t="n">
        <v>0</v>
      </c>
      <c r="R6764" s="2" t="inlineStr"/>
    </row>
    <row r="6765" ht="15" customHeight="1">
      <c r="A6765" t="inlineStr">
        <is>
          <t>A 26787-2021</t>
        </is>
      </c>
      <c r="B6765" s="1" t="n">
        <v>44349</v>
      </c>
      <c r="C6765" s="1" t="n">
        <v>45212</v>
      </c>
      <c r="D6765" t="inlineStr">
        <is>
          <t>VÄSTRA GÖTALANDS LÄN</t>
        </is>
      </c>
      <c r="E6765" t="inlineStr">
        <is>
          <t>DALS-ED</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26835-2021</t>
        </is>
      </c>
      <c r="B6766" s="1" t="n">
        <v>44349</v>
      </c>
      <c r="C6766" s="1" t="n">
        <v>45212</v>
      </c>
      <c r="D6766" t="inlineStr">
        <is>
          <t>VÄSTRA GÖTALANDS LÄN</t>
        </is>
      </c>
      <c r="E6766" t="inlineStr">
        <is>
          <t>SVENLJUNGA</t>
        </is>
      </c>
      <c r="F6766" t="inlineStr">
        <is>
          <t>Kommuner</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27105-2021</t>
        </is>
      </c>
      <c r="B6767" s="1" t="n">
        <v>44350</v>
      </c>
      <c r="C6767" s="1" t="n">
        <v>45212</v>
      </c>
      <c r="D6767" t="inlineStr">
        <is>
          <t>VÄSTRA GÖTALANDS LÄN</t>
        </is>
      </c>
      <c r="E6767" t="inlineStr">
        <is>
          <t>FALKÖPING</t>
        </is>
      </c>
      <c r="G6767" t="n">
        <v>4.2</v>
      </c>
      <c r="H6767" t="n">
        <v>0</v>
      </c>
      <c r="I6767" t="n">
        <v>0</v>
      </c>
      <c r="J6767" t="n">
        <v>0</v>
      </c>
      <c r="K6767" t="n">
        <v>0</v>
      </c>
      <c r="L6767" t="n">
        <v>0</v>
      </c>
      <c r="M6767" t="n">
        <v>0</v>
      </c>
      <c r="N6767" t="n">
        <v>0</v>
      </c>
      <c r="O6767" t="n">
        <v>0</v>
      </c>
      <c r="P6767" t="n">
        <v>0</v>
      </c>
      <c r="Q6767" t="n">
        <v>0</v>
      </c>
      <c r="R6767" s="2" t="inlineStr"/>
    </row>
    <row r="6768" ht="15" customHeight="1">
      <c r="A6768" t="inlineStr">
        <is>
          <t>A 27044-2021</t>
        </is>
      </c>
      <c r="B6768" s="1" t="n">
        <v>44350</v>
      </c>
      <c r="C6768" s="1" t="n">
        <v>45212</v>
      </c>
      <c r="D6768" t="inlineStr">
        <is>
          <t>VÄSTRA GÖTALANDS LÄN</t>
        </is>
      </c>
      <c r="E6768" t="inlineStr">
        <is>
          <t>SVENLJUNGA</t>
        </is>
      </c>
      <c r="F6768" t="inlineStr">
        <is>
          <t>Sveaskog</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27082-2021</t>
        </is>
      </c>
      <c r="B6769" s="1" t="n">
        <v>44350</v>
      </c>
      <c r="C6769" s="1" t="n">
        <v>45212</v>
      </c>
      <c r="D6769" t="inlineStr">
        <is>
          <t>VÄSTRA GÖTALANDS LÄN</t>
        </is>
      </c>
      <c r="E6769" t="inlineStr">
        <is>
          <t>BENGTSFORS</t>
        </is>
      </c>
      <c r="F6769" t="inlineStr">
        <is>
          <t>Kyrkan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27106-2021</t>
        </is>
      </c>
      <c r="B6770" s="1" t="n">
        <v>44350</v>
      </c>
      <c r="C6770" s="1" t="n">
        <v>45212</v>
      </c>
      <c r="D6770" t="inlineStr">
        <is>
          <t>VÄSTRA GÖTALANDS LÄN</t>
        </is>
      </c>
      <c r="E6770" t="inlineStr">
        <is>
          <t>BORÅS</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27075-2021</t>
        </is>
      </c>
      <c r="B6771" s="1" t="n">
        <v>44350</v>
      </c>
      <c r="C6771" s="1" t="n">
        <v>45212</v>
      </c>
      <c r="D6771" t="inlineStr">
        <is>
          <t>VÄSTRA GÖTALANDS LÄN</t>
        </is>
      </c>
      <c r="E6771" t="inlineStr">
        <is>
          <t>TRANEMO</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27009-2021</t>
        </is>
      </c>
      <c r="B6772" s="1" t="n">
        <v>44350</v>
      </c>
      <c r="C6772" s="1" t="n">
        <v>45212</v>
      </c>
      <c r="D6772" t="inlineStr">
        <is>
          <t>VÄSTRA GÖTALANDS LÄN</t>
        </is>
      </c>
      <c r="E6772" t="inlineStr">
        <is>
          <t>FALKÖPING</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27498-2021</t>
        </is>
      </c>
      <c r="B6773" s="1" t="n">
        <v>44351</v>
      </c>
      <c r="C6773" s="1" t="n">
        <v>45212</v>
      </c>
      <c r="D6773" t="inlineStr">
        <is>
          <t>VÄSTRA GÖTALANDS LÄN</t>
        </is>
      </c>
      <c r="E6773" t="inlineStr">
        <is>
          <t>BOLLEBYGD</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27515-2021</t>
        </is>
      </c>
      <c r="B6774" s="1" t="n">
        <v>44351</v>
      </c>
      <c r="C6774" s="1" t="n">
        <v>45212</v>
      </c>
      <c r="D6774" t="inlineStr">
        <is>
          <t>VÄSTRA GÖTALANDS LÄN</t>
        </is>
      </c>
      <c r="E6774" t="inlineStr">
        <is>
          <t>FALKÖPING</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27286-2021</t>
        </is>
      </c>
      <c r="B6775" s="1" t="n">
        <v>44351</v>
      </c>
      <c r="C6775" s="1" t="n">
        <v>45212</v>
      </c>
      <c r="D6775" t="inlineStr">
        <is>
          <t>VÄSTRA GÖTALANDS LÄN</t>
        </is>
      </c>
      <c r="E6775" t="inlineStr">
        <is>
          <t>TIBRO</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27494-2021</t>
        </is>
      </c>
      <c r="B6776" s="1" t="n">
        <v>44351</v>
      </c>
      <c r="C6776" s="1" t="n">
        <v>45212</v>
      </c>
      <c r="D6776" t="inlineStr">
        <is>
          <t>VÄSTRA GÖTALANDS LÄN</t>
        </is>
      </c>
      <c r="E6776" t="inlineStr">
        <is>
          <t>UDDEVALLA</t>
        </is>
      </c>
      <c r="G6776" t="n">
        <v>0.5</v>
      </c>
      <c r="H6776" t="n">
        <v>0</v>
      </c>
      <c r="I6776" t="n">
        <v>0</v>
      </c>
      <c r="J6776" t="n">
        <v>0</v>
      </c>
      <c r="K6776" t="n">
        <v>0</v>
      </c>
      <c r="L6776" t="n">
        <v>0</v>
      </c>
      <c r="M6776" t="n">
        <v>0</v>
      </c>
      <c r="N6776" t="n">
        <v>0</v>
      </c>
      <c r="O6776" t="n">
        <v>0</v>
      </c>
      <c r="P6776" t="n">
        <v>0</v>
      </c>
      <c r="Q6776" t="n">
        <v>0</v>
      </c>
      <c r="R6776" s="2" t="inlineStr"/>
    </row>
    <row r="6777" ht="15" customHeight="1">
      <c r="A6777" t="inlineStr">
        <is>
          <t>A 27507-2021</t>
        </is>
      </c>
      <c r="B6777" s="1" t="n">
        <v>44351</v>
      </c>
      <c r="C6777" s="1" t="n">
        <v>45212</v>
      </c>
      <c r="D6777" t="inlineStr">
        <is>
          <t>VÄSTRA GÖTALANDS LÄN</t>
        </is>
      </c>
      <c r="E6777" t="inlineStr">
        <is>
          <t>ULRICEHAMN</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27546-2021</t>
        </is>
      </c>
      <c r="B6778" s="1" t="n">
        <v>44351</v>
      </c>
      <c r="C6778" s="1" t="n">
        <v>45212</v>
      </c>
      <c r="D6778" t="inlineStr">
        <is>
          <t>VÄSTRA GÖTALANDS LÄN</t>
        </is>
      </c>
      <c r="E6778" t="inlineStr">
        <is>
          <t>HÄRRYDA</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27369-2021</t>
        </is>
      </c>
      <c r="B6779" s="1" t="n">
        <v>44351</v>
      </c>
      <c r="C6779" s="1" t="n">
        <v>45212</v>
      </c>
      <c r="D6779" t="inlineStr">
        <is>
          <t>VÄSTRA GÖTALANDS LÄN</t>
        </is>
      </c>
      <c r="E6779" t="inlineStr">
        <is>
          <t>MARIESTAD</t>
        </is>
      </c>
      <c r="F6779" t="inlineStr">
        <is>
          <t>Sveaskog</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27387-2021</t>
        </is>
      </c>
      <c r="B6780" s="1" t="n">
        <v>44351</v>
      </c>
      <c r="C6780" s="1" t="n">
        <v>45212</v>
      </c>
      <c r="D6780" t="inlineStr">
        <is>
          <t>VÄSTRA GÖTALANDS LÄN</t>
        </is>
      </c>
      <c r="E6780" t="inlineStr">
        <is>
          <t>MUNKEDAL</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27458-2021</t>
        </is>
      </c>
      <c r="B6781" s="1" t="n">
        <v>44351</v>
      </c>
      <c r="C6781" s="1" t="n">
        <v>45212</v>
      </c>
      <c r="D6781" t="inlineStr">
        <is>
          <t>VÄSTRA GÖTALANDS LÄN</t>
        </is>
      </c>
      <c r="E6781" t="inlineStr">
        <is>
          <t>BORÅS</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27635-2021</t>
        </is>
      </c>
      <c r="B6782" s="1" t="n">
        <v>44354</v>
      </c>
      <c r="C6782" s="1" t="n">
        <v>45212</v>
      </c>
      <c r="D6782" t="inlineStr">
        <is>
          <t>VÄSTRA GÖTALANDS LÄN</t>
        </is>
      </c>
      <c r="E6782" t="inlineStr">
        <is>
          <t>GRÄSTORP</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27644-2021</t>
        </is>
      </c>
      <c r="B6783" s="1" t="n">
        <v>44354</v>
      </c>
      <c r="C6783" s="1" t="n">
        <v>45212</v>
      </c>
      <c r="D6783" t="inlineStr">
        <is>
          <t>VÄSTRA GÖTALANDS LÄN</t>
        </is>
      </c>
      <c r="E6783" t="inlineStr">
        <is>
          <t>TIBRO</t>
        </is>
      </c>
      <c r="G6783" t="n">
        <v>40.8</v>
      </c>
      <c r="H6783" t="n">
        <v>0</v>
      </c>
      <c r="I6783" t="n">
        <v>0</v>
      </c>
      <c r="J6783" t="n">
        <v>0</v>
      </c>
      <c r="K6783" t="n">
        <v>0</v>
      </c>
      <c r="L6783" t="n">
        <v>0</v>
      </c>
      <c r="M6783" t="n">
        <v>0</v>
      </c>
      <c r="N6783" t="n">
        <v>0</v>
      </c>
      <c r="O6783" t="n">
        <v>0</v>
      </c>
      <c r="P6783" t="n">
        <v>0</v>
      </c>
      <c r="Q6783" t="n">
        <v>0</v>
      </c>
      <c r="R6783" s="2" t="inlineStr"/>
    </row>
    <row r="6784" ht="15" customHeight="1">
      <c r="A6784" t="inlineStr">
        <is>
          <t>A 27722-2021</t>
        </is>
      </c>
      <c r="B6784" s="1" t="n">
        <v>44354</v>
      </c>
      <c r="C6784" s="1" t="n">
        <v>45212</v>
      </c>
      <c r="D6784" t="inlineStr">
        <is>
          <t>VÄSTRA GÖTALANDS LÄN</t>
        </is>
      </c>
      <c r="E6784" t="inlineStr">
        <is>
          <t>ULRICEHAMN</t>
        </is>
      </c>
      <c r="F6784" t="inlineStr">
        <is>
          <t>Sveaskog</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28230-2021</t>
        </is>
      </c>
      <c r="B6785" s="1" t="n">
        <v>44355</v>
      </c>
      <c r="C6785" s="1" t="n">
        <v>45212</v>
      </c>
      <c r="D6785" t="inlineStr">
        <is>
          <t>VÄSTRA GÖTALANDS LÄN</t>
        </is>
      </c>
      <c r="E6785" t="inlineStr">
        <is>
          <t>TRANEMO</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28236-2021</t>
        </is>
      </c>
      <c r="B6786" s="1" t="n">
        <v>44355</v>
      </c>
      <c r="C6786" s="1" t="n">
        <v>45212</v>
      </c>
      <c r="D6786" t="inlineStr">
        <is>
          <t>VÄSTRA GÖTALANDS LÄN</t>
        </is>
      </c>
      <c r="E6786" t="inlineStr">
        <is>
          <t>GÖTENE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28249-2021</t>
        </is>
      </c>
      <c r="B6787" s="1" t="n">
        <v>44355</v>
      </c>
      <c r="C6787" s="1" t="n">
        <v>45212</v>
      </c>
      <c r="D6787" t="inlineStr">
        <is>
          <t>VÄSTRA GÖTALANDS LÄN</t>
        </is>
      </c>
      <c r="E6787" t="inlineStr">
        <is>
          <t>LERUM</t>
        </is>
      </c>
      <c r="G6787" t="n">
        <v>5.9</v>
      </c>
      <c r="H6787" t="n">
        <v>0</v>
      </c>
      <c r="I6787" t="n">
        <v>0</v>
      </c>
      <c r="J6787" t="n">
        <v>0</v>
      </c>
      <c r="K6787" t="n">
        <v>0</v>
      </c>
      <c r="L6787" t="n">
        <v>0</v>
      </c>
      <c r="M6787" t="n">
        <v>0</v>
      </c>
      <c r="N6787" t="n">
        <v>0</v>
      </c>
      <c r="O6787" t="n">
        <v>0</v>
      </c>
      <c r="P6787" t="n">
        <v>0</v>
      </c>
      <c r="Q6787" t="n">
        <v>0</v>
      </c>
      <c r="R6787" s="2" t="inlineStr"/>
    </row>
    <row r="6788" ht="15" customHeight="1">
      <c r="A6788" t="inlineStr">
        <is>
          <t>A 28105-2021</t>
        </is>
      </c>
      <c r="B6788" s="1" t="n">
        <v>44355</v>
      </c>
      <c r="C6788" s="1" t="n">
        <v>45212</v>
      </c>
      <c r="D6788" t="inlineStr">
        <is>
          <t>VÄSTRA GÖTALANDS LÄN</t>
        </is>
      </c>
      <c r="E6788" t="inlineStr">
        <is>
          <t>SVENLJUNGA</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28233-2021</t>
        </is>
      </c>
      <c r="B6789" s="1" t="n">
        <v>44355</v>
      </c>
      <c r="C6789" s="1" t="n">
        <v>45212</v>
      </c>
      <c r="D6789" t="inlineStr">
        <is>
          <t>VÄSTRA GÖTALANDS LÄN</t>
        </is>
      </c>
      <c r="E6789" t="inlineStr">
        <is>
          <t>GÖTENE</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28205-2021</t>
        </is>
      </c>
      <c r="B6790" s="1" t="n">
        <v>44355</v>
      </c>
      <c r="C6790" s="1" t="n">
        <v>45212</v>
      </c>
      <c r="D6790" t="inlineStr">
        <is>
          <t>VÄSTRA GÖTALANDS LÄN</t>
        </is>
      </c>
      <c r="E6790" t="inlineStr">
        <is>
          <t>GÖTENE</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28240-2021</t>
        </is>
      </c>
      <c r="B6791" s="1" t="n">
        <v>44355</v>
      </c>
      <c r="C6791" s="1" t="n">
        <v>45212</v>
      </c>
      <c r="D6791" t="inlineStr">
        <is>
          <t>VÄSTRA GÖTALANDS LÄN</t>
        </is>
      </c>
      <c r="E6791" t="inlineStr">
        <is>
          <t>GÖTENE</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28186-2021</t>
        </is>
      </c>
      <c r="B6792" s="1" t="n">
        <v>44355</v>
      </c>
      <c r="C6792" s="1" t="n">
        <v>45212</v>
      </c>
      <c r="D6792" t="inlineStr">
        <is>
          <t>VÄSTRA GÖTALANDS LÄN</t>
        </is>
      </c>
      <c r="E6792" t="inlineStr">
        <is>
          <t>UDDEVALLA</t>
        </is>
      </c>
      <c r="G6792" t="n">
        <v>9.199999999999999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28231-2021</t>
        </is>
      </c>
      <c r="B6793" s="1" t="n">
        <v>44355</v>
      </c>
      <c r="C6793" s="1" t="n">
        <v>45212</v>
      </c>
      <c r="D6793" t="inlineStr">
        <is>
          <t>VÄSTRA GÖTALANDS LÄN</t>
        </is>
      </c>
      <c r="E6793" t="inlineStr">
        <is>
          <t>GÖTENE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28251-2021</t>
        </is>
      </c>
      <c r="B6794" s="1" t="n">
        <v>44355</v>
      </c>
      <c r="C6794" s="1" t="n">
        <v>45212</v>
      </c>
      <c r="D6794" t="inlineStr">
        <is>
          <t>VÄSTRA GÖTALANDS LÄN</t>
        </is>
      </c>
      <c r="E6794" t="inlineStr">
        <is>
          <t>ALINGSÅS</t>
        </is>
      </c>
      <c r="G6794" t="n">
        <v>10.4</v>
      </c>
      <c r="H6794" t="n">
        <v>0</v>
      </c>
      <c r="I6794" t="n">
        <v>0</v>
      </c>
      <c r="J6794" t="n">
        <v>0</v>
      </c>
      <c r="K6794" t="n">
        <v>0</v>
      </c>
      <c r="L6794" t="n">
        <v>0</v>
      </c>
      <c r="M6794" t="n">
        <v>0</v>
      </c>
      <c r="N6794" t="n">
        <v>0</v>
      </c>
      <c r="O6794" t="n">
        <v>0</v>
      </c>
      <c r="P6794" t="n">
        <v>0</v>
      </c>
      <c r="Q6794" t="n">
        <v>0</v>
      </c>
      <c r="R6794" s="2" t="inlineStr"/>
    </row>
    <row r="6795" ht="15" customHeight="1">
      <c r="A6795" t="inlineStr">
        <is>
          <t>A 28354-2021</t>
        </is>
      </c>
      <c r="B6795" s="1" t="n">
        <v>44356</v>
      </c>
      <c r="C6795" s="1" t="n">
        <v>45212</v>
      </c>
      <c r="D6795" t="inlineStr">
        <is>
          <t>VÄSTRA GÖTALANDS LÄN</t>
        </is>
      </c>
      <c r="E6795" t="inlineStr">
        <is>
          <t>MUNKEDAL</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28379-2021</t>
        </is>
      </c>
      <c r="B6796" s="1" t="n">
        <v>44356</v>
      </c>
      <c r="C6796" s="1" t="n">
        <v>45212</v>
      </c>
      <c r="D6796" t="inlineStr">
        <is>
          <t>VÄSTRA GÖTALANDS LÄN</t>
        </is>
      </c>
      <c r="E6796" t="inlineStr">
        <is>
          <t>MUNKEDAL</t>
        </is>
      </c>
      <c r="G6796" t="n">
        <v>9.5</v>
      </c>
      <c r="H6796" t="n">
        <v>0</v>
      </c>
      <c r="I6796" t="n">
        <v>0</v>
      </c>
      <c r="J6796" t="n">
        <v>0</v>
      </c>
      <c r="K6796" t="n">
        <v>0</v>
      </c>
      <c r="L6796" t="n">
        <v>0</v>
      </c>
      <c r="M6796" t="n">
        <v>0</v>
      </c>
      <c r="N6796" t="n">
        <v>0</v>
      </c>
      <c r="O6796" t="n">
        <v>0</v>
      </c>
      <c r="P6796" t="n">
        <v>0</v>
      </c>
      <c r="Q6796" t="n">
        <v>0</v>
      </c>
      <c r="R6796" s="2" t="inlineStr"/>
    </row>
    <row r="6797" ht="15" customHeight="1">
      <c r="A6797" t="inlineStr">
        <is>
          <t>A 28407-2021</t>
        </is>
      </c>
      <c r="B6797" s="1" t="n">
        <v>44356</v>
      </c>
      <c r="C6797" s="1" t="n">
        <v>45212</v>
      </c>
      <c r="D6797" t="inlineStr">
        <is>
          <t>VÄSTRA GÖTALANDS LÄN</t>
        </is>
      </c>
      <c r="E6797" t="inlineStr">
        <is>
          <t>MARIESTAD</t>
        </is>
      </c>
      <c r="G6797" t="n">
        <v>2.3</v>
      </c>
      <c r="H6797" t="n">
        <v>0</v>
      </c>
      <c r="I6797" t="n">
        <v>0</v>
      </c>
      <c r="J6797" t="n">
        <v>0</v>
      </c>
      <c r="K6797" t="n">
        <v>0</v>
      </c>
      <c r="L6797" t="n">
        <v>0</v>
      </c>
      <c r="M6797" t="n">
        <v>0</v>
      </c>
      <c r="N6797" t="n">
        <v>0</v>
      </c>
      <c r="O6797" t="n">
        <v>0</v>
      </c>
      <c r="P6797" t="n">
        <v>0</v>
      </c>
      <c r="Q6797" t="n">
        <v>0</v>
      </c>
      <c r="R6797" s="2" t="inlineStr"/>
    </row>
    <row r="6798" ht="15" customHeight="1">
      <c r="A6798" t="inlineStr">
        <is>
          <t>A 28550-2021</t>
        </is>
      </c>
      <c r="B6798" s="1" t="n">
        <v>44356</v>
      </c>
      <c r="C6798" s="1" t="n">
        <v>45212</v>
      </c>
      <c r="D6798" t="inlineStr">
        <is>
          <t>VÄSTRA GÖTALANDS LÄN</t>
        </is>
      </c>
      <c r="E6798" t="inlineStr">
        <is>
          <t>VÄNERSBORG</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28375-2021</t>
        </is>
      </c>
      <c r="B6799" s="1" t="n">
        <v>44356</v>
      </c>
      <c r="C6799" s="1" t="n">
        <v>45212</v>
      </c>
      <c r="D6799" t="inlineStr">
        <is>
          <t>VÄSTRA GÖTALANDS LÄN</t>
        </is>
      </c>
      <c r="E6799" t="inlineStr">
        <is>
          <t>MUNKEDAL</t>
        </is>
      </c>
      <c r="G6799" t="n">
        <v>2.2</v>
      </c>
      <c r="H6799" t="n">
        <v>0</v>
      </c>
      <c r="I6799" t="n">
        <v>0</v>
      </c>
      <c r="J6799" t="n">
        <v>0</v>
      </c>
      <c r="K6799" t="n">
        <v>0</v>
      </c>
      <c r="L6799" t="n">
        <v>0</v>
      </c>
      <c r="M6799" t="n">
        <v>0</v>
      </c>
      <c r="N6799" t="n">
        <v>0</v>
      </c>
      <c r="O6799" t="n">
        <v>0</v>
      </c>
      <c r="P6799" t="n">
        <v>0</v>
      </c>
      <c r="Q6799" t="n">
        <v>0</v>
      </c>
      <c r="R6799" s="2" t="inlineStr"/>
    </row>
    <row r="6800" ht="15" customHeight="1">
      <c r="A6800" t="inlineStr">
        <is>
          <t>A 28357-2021</t>
        </is>
      </c>
      <c r="B6800" s="1" t="n">
        <v>44356</v>
      </c>
      <c r="C6800" s="1" t="n">
        <v>45212</v>
      </c>
      <c r="D6800" t="inlineStr">
        <is>
          <t>VÄSTRA GÖTALANDS LÄN</t>
        </is>
      </c>
      <c r="E6800" t="inlineStr">
        <is>
          <t>TANUM</t>
        </is>
      </c>
      <c r="G6800" t="n">
        <v>8</v>
      </c>
      <c r="H6800" t="n">
        <v>0</v>
      </c>
      <c r="I6800" t="n">
        <v>0</v>
      </c>
      <c r="J6800" t="n">
        <v>0</v>
      </c>
      <c r="K6800" t="n">
        <v>0</v>
      </c>
      <c r="L6800" t="n">
        <v>0</v>
      </c>
      <c r="M6800" t="n">
        <v>0</v>
      </c>
      <c r="N6800" t="n">
        <v>0</v>
      </c>
      <c r="O6800" t="n">
        <v>0</v>
      </c>
      <c r="P6800" t="n">
        <v>0</v>
      </c>
      <c r="Q6800" t="n">
        <v>0</v>
      </c>
      <c r="R6800" s="2" t="inlineStr"/>
    </row>
    <row r="6801" ht="15" customHeight="1">
      <c r="A6801" t="inlineStr">
        <is>
          <t>A 28329-2021</t>
        </is>
      </c>
      <c r="B6801" s="1" t="n">
        <v>44356</v>
      </c>
      <c r="C6801" s="1" t="n">
        <v>45212</v>
      </c>
      <c r="D6801" t="inlineStr">
        <is>
          <t>VÄSTRA GÖTALANDS LÄN</t>
        </is>
      </c>
      <c r="E6801" t="inlineStr">
        <is>
          <t>BENGTSFORS</t>
        </is>
      </c>
      <c r="G6801" t="n">
        <v>5.5</v>
      </c>
      <c r="H6801" t="n">
        <v>0</v>
      </c>
      <c r="I6801" t="n">
        <v>0</v>
      </c>
      <c r="J6801" t="n">
        <v>0</v>
      </c>
      <c r="K6801" t="n">
        <v>0</v>
      </c>
      <c r="L6801" t="n">
        <v>0</v>
      </c>
      <c r="M6801" t="n">
        <v>0</v>
      </c>
      <c r="N6801" t="n">
        <v>0</v>
      </c>
      <c r="O6801" t="n">
        <v>0</v>
      </c>
      <c r="P6801" t="n">
        <v>0</v>
      </c>
      <c r="Q6801" t="n">
        <v>0</v>
      </c>
      <c r="R6801" s="2" t="inlineStr"/>
    </row>
    <row r="6802" ht="15" customHeight="1">
      <c r="A6802" t="inlineStr">
        <is>
          <t>A 28622-2021</t>
        </is>
      </c>
      <c r="B6802" s="1" t="n">
        <v>44356</v>
      </c>
      <c r="C6802" s="1" t="n">
        <v>45212</v>
      </c>
      <c r="D6802" t="inlineStr">
        <is>
          <t>VÄSTRA GÖTALANDS LÄN</t>
        </is>
      </c>
      <c r="E6802" t="inlineStr">
        <is>
          <t>MARIESTAD</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28641-2021</t>
        </is>
      </c>
      <c r="B6803" s="1" t="n">
        <v>44357</v>
      </c>
      <c r="C6803" s="1" t="n">
        <v>45212</v>
      </c>
      <c r="D6803" t="inlineStr">
        <is>
          <t>VÄSTRA GÖTALANDS LÄN</t>
        </is>
      </c>
      <c r="E6803" t="inlineStr">
        <is>
          <t>MARIESTAD</t>
        </is>
      </c>
      <c r="G6803" t="n">
        <v>6.9</v>
      </c>
      <c r="H6803" t="n">
        <v>0</v>
      </c>
      <c r="I6803" t="n">
        <v>0</v>
      </c>
      <c r="J6803" t="n">
        <v>0</v>
      </c>
      <c r="K6803" t="n">
        <v>0</v>
      </c>
      <c r="L6803" t="n">
        <v>0</v>
      </c>
      <c r="M6803" t="n">
        <v>0</v>
      </c>
      <c r="N6803" t="n">
        <v>0</v>
      </c>
      <c r="O6803" t="n">
        <v>0</v>
      </c>
      <c r="P6803" t="n">
        <v>0</v>
      </c>
      <c r="Q6803" t="n">
        <v>0</v>
      </c>
      <c r="R6803" s="2" t="inlineStr"/>
    </row>
    <row r="6804" ht="15" customHeight="1">
      <c r="A6804" t="inlineStr">
        <is>
          <t>A 28753-2021</t>
        </is>
      </c>
      <c r="B6804" s="1" t="n">
        <v>44357</v>
      </c>
      <c r="C6804" s="1" t="n">
        <v>45212</v>
      </c>
      <c r="D6804" t="inlineStr">
        <is>
          <t>VÄSTRA GÖTALANDS LÄN</t>
        </is>
      </c>
      <c r="E6804" t="inlineStr">
        <is>
          <t>SVENLJUNGA</t>
        </is>
      </c>
      <c r="F6804" t="inlineStr">
        <is>
          <t>Sveaskog</t>
        </is>
      </c>
      <c r="G6804" t="n">
        <v>0.6</v>
      </c>
      <c r="H6804" t="n">
        <v>0</v>
      </c>
      <c r="I6804" t="n">
        <v>0</v>
      </c>
      <c r="J6804" t="n">
        <v>0</v>
      </c>
      <c r="K6804" t="n">
        <v>0</v>
      </c>
      <c r="L6804" t="n">
        <v>0</v>
      </c>
      <c r="M6804" t="n">
        <v>0</v>
      </c>
      <c r="N6804" t="n">
        <v>0</v>
      </c>
      <c r="O6804" t="n">
        <v>0</v>
      </c>
      <c r="P6804" t="n">
        <v>0</v>
      </c>
      <c r="Q6804" t="n">
        <v>0</v>
      </c>
      <c r="R6804" s="2" t="inlineStr"/>
    </row>
    <row r="6805" ht="15" customHeight="1">
      <c r="A6805" t="inlineStr">
        <is>
          <t>A 28752-2021</t>
        </is>
      </c>
      <c r="B6805" s="1" t="n">
        <v>44357</v>
      </c>
      <c r="C6805" s="1" t="n">
        <v>45212</v>
      </c>
      <c r="D6805" t="inlineStr">
        <is>
          <t>VÄSTRA GÖTALANDS LÄN</t>
        </is>
      </c>
      <c r="E6805" t="inlineStr">
        <is>
          <t>SVENLJUNGA</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28782-2021</t>
        </is>
      </c>
      <c r="B6806" s="1" t="n">
        <v>44357</v>
      </c>
      <c r="C6806" s="1" t="n">
        <v>45212</v>
      </c>
      <c r="D6806" t="inlineStr">
        <is>
          <t>VÄSTRA GÖTALANDS LÄN</t>
        </is>
      </c>
      <c r="E6806" t="inlineStr">
        <is>
          <t>BENGTSFORS</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28717-2021</t>
        </is>
      </c>
      <c r="B6807" s="1" t="n">
        <v>44357</v>
      </c>
      <c r="C6807" s="1" t="n">
        <v>45212</v>
      </c>
      <c r="D6807" t="inlineStr">
        <is>
          <t>VÄSTRA GÖTALANDS LÄN</t>
        </is>
      </c>
      <c r="E6807" t="inlineStr">
        <is>
          <t>ALINGSÅS</t>
        </is>
      </c>
      <c r="G6807" t="n">
        <v>12.5</v>
      </c>
      <c r="H6807" t="n">
        <v>0</v>
      </c>
      <c r="I6807" t="n">
        <v>0</v>
      </c>
      <c r="J6807" t="n">
        <v>0</v>
      </c>
      <c r="K6807" t="n">
        <v>0</v>
      </c>
      <c r="L6807" t="n">
        <v>0</v>
      </c>
      <c r="M6807" t="n">
        <v>0</v>
      </c>
      <c r="N6807" t="n">
        <v>0</v>
      </c>
      <c r="O6807" t="n">
        <v>0</v>
      </c>
      <c r="P6807" t="n">
        <v>0</v>
      </c>
      <c r="Q6807" t="n">
        <v>0</v>
      </c>
      <c r="R6807" s="2" t="inlineStr"/>
    </row>
    <row r="6808" ht="15" customHeight="1">
      <c r="A6808" t="inlineStr">
        <is>
          <t>A 28758-2021</t>
        </is>
      </c>
      <c r="B6808" s="1" t="n">
        <v>44357</v>
      </c>
      <c r="C6808" s="1" t="n">
        <v>45212</v>
      </c>
      <c r="D6808" t="inlineStr">
        <is>
          <t>VÄSTRA GÖTALANDS LÄN</t>
        </is>
      </c>
      <c r="E6808" t="inlineStr">
        <is>
          <t>MUNKEDAL</t>
        </is>
      </c>
      <c r="G6808" t="n">
        <v>9</v>
      </c>
      <c r="H6808" t="n">
        <v>0</v>
      </c>
      <c r="I6808" t="n">
        <v>0</v>
      </c>
      <c r="J6808" t="n">
        <v>0</v>
      </c>
      <c r="K6808" t="n">
        <v>0</v>
      </c>
      <c r="L6808" t="n">
        <v>0</v>
      </c>
      <c r="M6808" t="n">
        <v>0</v>
      </c>
      <c r="N6808" t="n">
        <v>0</v>
      </c>
      <c r="O6808" t="n">
        <v>0</v>
      </c>
      <c r="P6808" t="n">
        <v>0</v>
      </c>
      <c r="Q6808" t="n">
        <v>0</v>
      </c>
      <c r="R6808" s="2" t="inlineStr"/>
    </row>
    <row r="6809" ht="15" customHeight="1">
      <c r="A6809" t="inlineStr">
        <is>
          <t>A 28779-2021</t>
        </is>
      </c>
      <c r="B6809" s="1" t="n">
        <v>44357</v>
      </c>
      <c r="C6809" s="1" t="n">
        <v>45212</v>
      </c>
      <c r="D6809" t="inlineStr">
        <is>
          <t>VÄSTRA GÖTALANDS LÄN</t>
        </is>
      </c>
      <c r="E6809" t="inlineStr">
        <is>
          <t>BENGTSFORS</t>
        </is>
      </c>
      <c r="G6809" t="n">
        <v>5.4</v>
      </c>
      <c r="H6809" t="n">
        <v>0</v>
      </c>
      <c r="I6809" t="n">
        <v>0</v>
      </c>
      <c r="J6809" t="n">
        <v>0</v>
      </c>
      <c r="K6809" t="n">
        <v>0</v>
      </c>
      <c r="L6809" t="n">
        <v>0</v>
      </c>
      <c r="M6809" t="n">
        <v>0</v>
      </c>
      <c r="N6809" t="n">
        <v>0</v>
      </c>
      <c r="O6809" t="n">
        <v>0</v>
      </c>
      <c r="P6809" t="n">
        <v>0</v>
      </c>
      <c r="Q6809" t="n">
        <v>0</v>
      </c>
      <c r="R6809" s="2" t="inlineStr"/>
    </row>
    <row r="6810" ht="15" customHeight="1">
      <c r="A6810" t="inlineStr">
        <is>
          <t>A 28649-2021</t>
        </is>
      </c>
      <c r="B6810" s="1" t="n">
        <v>44357</v>
      </c>
      <c r="C6810" s="1" t="n">
        <v>45212</v>
      </c>
      <c r="D6810" t="inlineStr">
        <is>
          <t>VÄSTRA GÖTALANDS LÄN</t>
        </is>
      </c>
      <c r="E6810" t="inlineStr">
        <is>
          <t>FÄRGELANDA</t>
        </is>
      </c>
      <c r="G6810" t="n">
        <v>3.6</v>
      </c>
      <c r="H6810" t="n">
        <v>0</v>
      </c>
      <c r="I6810" t="n">
        <v>0</v>
      </c>
      <c r="J6810" t="n">
        <v>0</v>
      </c>
      <c r="K6810" t="n">
        <v>0</v>
      </c>
      <c r="L6810" t="n">
        <v>0</v>
      </c>
      <c r="M6810" t="n">
        <v>0</v>
      </c>
      <c r="N6810" t="n">
        <v>0</v>
      </c>
      <c r="O6810" t="n">
        <v>0</v>
      </c>
      <c r="P6810" t="n">
        <v>0</v>
      </c>
      <c r="Q6810" t="n">
        <v>0</v>
      </c>
      <c r="R6810" s="2" t="inlineStr"/>
    </row>
    <row r="6811" ht="15" customHeight="1">
      <c r="A6811" t="inlineStr">
        <is>
          <t>A 28755-2021</t>
        </is>
      </c>
      <c r="B6811" s="1" t="n">
        <v>44357</v>
      </c>
      <c r="C6811" s="1" t="n">
        <v>45212</v>
      </c>
      <c r="D6811" t="inlineStr">
        <is>
          <t>VÄSTRA GÖTALANDS LÄN</t>
        </is>
      </c>
      <c r="E6811" t="inlineStr">
        <is>
          <t>SVENLJUNGA</t>
        </is>
      </c>
      <c r="F6811" t="inlineStr">
        <is>
          <t>Kyrkan</t>
        </is>
      </c>
      <c r="G6811" t="n">
        <v>2.3</v>
      </c>
      <c r="H6811" t="n">
        <v>0</v>
      </c>
      <c r="I6811" t="n">
        <v>0</v>
      </c>
      <c r="J6811" t="n">
        <v>0</v>
      </c>
      <c r="K6811" t="n">
        <v>0</v>
      </c>
      <c r="L6811" t="n">
        <v>0</v>
      </c>
      <c r="M6811" t="n">
        <v>0</v>
      </c>
      <c r="N6811" t="n">
        <v>0</v>
      </c>
      <c r="O6811" t="n">
        <v>0</v>
      </c>
      <c r="P6811" t="n">
        <v>0</v>
      </c>
      <c r="Q6811" t="n">
        <v>0</v>
      </c>
      <c r="R6811" s="2" t="inlineStr"/>
    </row>
    <row r="6812" ht="15" customHeight="1">
      <c r="A6812" t="inlineStr">
        <is>
          <t>A 28776-2021</t>
        </is>
      </c>
      <c r="B6812" s="1" t="n">
        <v>44357</v>
      </c>
      <c r="C6812" s="1" t="n">
        <v>45212</v>
      </c>
      <c r="D6812" t="inlineStr">
        <is>
          <t>VÄSTRA GÖTALANDS LÄN</t>
        </is>
      </c>
      <c r="E6812" t="inlineStr">
        <is>
          <t>LIDKÖPING</t>
        </is>
      </c>
      <c r="G6812" t="n">
        <v>27.5</v>
      </c>
      <c r="H6812" t="n">
        <v>0</v>
      </c>
      <c r="I6812" t="n">
        <v>0</v>
      </c>
      <c r="J6812" t="n">
        <v>0</v>
      </c>
      <c r="K6812" t="n">
        <v>0</v>
      </c>
      <c r="L6812" t="n">
        <v>0</v>
      </c>
      <c r="M6812" t="n">
        <v>0</v>
      </c>
      <c r="N6812" t="n">
        <v>0</v>
      </c>
      <c r="O6812" t="n">
        <v>0</v>
      </c>
      <c r="P6812" t="n">
        <v>0</v>
      </c>
      <c r="Q6812" t="n">
        <v>0</v>
      </c>
      <c r="R6812" s="2" t="inlineStr"/>
    </row>
    <row r="6813" ht="15" customHeight="1">
      <c r="A6813" t="inlineStr">
        <is>
          <t>A 29186-2021</t>
        </is>
      </c>
      <c r="B6813" s="1" t="n">
        <v>44358</v>
      </c>
      <c r="C6813" s="1" t="n">
        <v>45212</v>
      </c>
      <c r="D6813" t="inlineStr">
        <is>
          <t>VÄSTRA GÖTALANDS LÄN</t>
        </is>
      </c>
      <c r="E6813" t="inlineStr">
        <is>
          <t>ALINGSÅS</t>
        </is>
      </c>
      <c r="G6813" t="n">
        <v>6.4</v>
      </c>
      <c r="H6813" t="n">
        <v>0</v>
      </c>
      <c r="I6813" t="n">
        <v>0</v>
      </c>
      <c r="J6813" t="n">
        <v>0</v>
      </c>
      <c r="K6813" t="n">
        <v>0</v>
      </c>
      <c r="L6813" t="n">
        <v>0</v>
      </c>
      <c r="M6813" t="n">
        <v>0</v>
      </c>
      <c r="N6813" t="n">
        <v>0</v>
      </c>
      <c r="O6813" t="n">
        <v>0</v>
      </c>
      <c r="P6813" t="n">
        <v>0</v>
      </c>
      <c r="Q6813" t="n">
        <v>0</v>
      </c>
      <c r="R6813" s="2" t="inlineStr"/>
    </row>
    <row r="6814" ht="15" customHeight="1">
      <c r="A6814" t="inlineStr">
        <is>
          <t>A 29087-2021</t>
        </is>
      </c>
      <c r="B6814" s="1" t="n">
        <v>44358</v>
      </c>
      <c r="C6814" s="1" t="n">
        <v>45212</v>
      </c>
      <c r="D6814" t="inlineStr">
        <is>
          <t>VÄSTRA GÖTALANDS LÄN</t>
        </is>
      </c>
      <c r="E6814" t="inlineStr">
        <is>
          <t>MUNKEDAL</t>
        </is>
      </c>
      <c r="G6814" t="n">
        <v>1.5</v>
      </c>
      <c r="H6814" t="n">
        <v>0</v>
      </c>
      <c r="I6814" t="n">
        <v>0</v>
      </c>
      <c r="J6814" t="n">
        <v>0</v>
      </c>
      <c r="K6814" t="n">
        <v>0</v>
      </c>
      <c r="L6814" t="n">
        <v>0</v>
      </c>
      <c r="M6814" t="n">
        <v>0</v>
      </c>
      <c r="N6814" t="n">
        <v>0</v>
      </c>
      <c r="O6814" t="n">
        <v>0</v>
      </c>
      <c r="P6814" t="n">
        <v>0</v>
      </c>
      <c r="Q6814" t="n">
        <v>0</v>
      </c>
      <c r="R6814" s="2" t="inlineStr"/>
    </row>
    <row r="6815" ht="15" customHeight="1">
      <c r="A6815" t="inlineStr">
        <is>
          <t>A 29025-2021</t>
        </is>
      </c>
      <c r="B6815" s="1" t="n">
        <v>44358</v>
      </c>
      <c r="C6815" s="1" t="n">
        <v>45212</v>
      </c>
      <c r="D6815" t="inlineStr">
        <is>
          <t>VÄSTRA GÖTALANDS LÄN</t>
        </is>
      </c>
      <c r="E6815" t="inlineStr">
        <is>
          <t>VÅRGÅRDA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29229-2021</t>
        </is>
      </c>
      <c r="B6816" s="1" t="n">
        <v>44360</v>
      </c>
      <c r="C6816" s="1" t="n">
        <v>45212</v>
      </c>
      <c r="D6816" t="inlineStr">
        <is>
          <t>VÄSTRA GÖTALANDS LÄN</t>
        </is>
      </c>
      <c r="E6816" t="inlineStr">
        <is>
          <t>FALKÖPING</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29261-2021</t>
        </is>
      </c>
      <c r="B6817" s="1" t="n">
        <v>44361</v>
      </c>
      <c r="C6817" s="1" t="n">
        <v>45212</v>
      </c>
      <c r="D6817" t="inlineStr">
        <is>
          <t>VÄSTRA GÖTALANDS LÄN</t>
        </is>
      </c>
      <c r="E6817" t="inlineStr">
        <is>
          <t>FALKÖPING</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29499-2021</t>
        </is>
      </c>
      <c r="B6818" s="1" t="n">
        <v>44361</v>
      </c>
      <c r="C6818" s="1" t="n">
        <v>45212</v>
      </c>
      <c r="D6818" t="inlineStr">
        <is>
          <t>VÄSTRA GÖTALANDS LÄN</t>
        </is>
      </c>
      <c r="E6818" t="inlineStr">
        <is>
          <t>TANUM</t>
        </is>
      </c>
      <c r="G6818" t="n">
        <v>3.3</v>
      </c>
      <c r="H6818" t="n">
        <v>0</v>
      </c>
      <c r="I6818" t="n">
        <v>0</v>
      </c>
      <c r="J6818" t="n">
        <v>0</v>
      </c>
      <c r="K6818" t="n">
        <v>0</v>
      </c>
      <c r="L6818" t="n">
        <v>0</v>
      </c>
      <c r="M6818" t="n">
        <v>0</v>
      </c>
      <c r="N6818" t="n">
        <v>0</v>
      </c>
      <c r="O6818" t="n">
        <v>0</v>
      </c>
      <c r="P6818" t="n">
        <v>0</v>
      </c>
      <c r="Q6818" t="n">
        <v>0</v>
      </c>
      <c r="R6818" s="2" t="inlineStr"/>
    </row>
    <row r="6819" ht="15" customHeight="1">
      <c r="A6819" t="inlineStr">
        <is>
          <t>A 29537-2021</t>
        </is>
      </c>
      <c r="B6819" s="1" t="n">
        <v>44361</v>
      </c>
      <c r="C6819" s="1" t="n">
        <v>45212</v>
      </c>
      <c r="D6819" t="inlineStr">
        <is>
          <t>VÄSTRA GÖTALANDS LÄN</t>
        </is>
      </c>
      <c r="E6819" t="inlineStr">
        <is>
          <t>MARIESTAD</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29385-2021</t>
        </is>
      </c>
      <c r="B6820" s="1" t="n">
        <v>44361</v>
      </c>
      <c r="C6820" s="1" t="n">
        <v>45212</v>
      </c>
      <c r="D6820" t="inlineStr">
        <is>
          <t>VÄSTRA GÖTALANDS LÄN</t>
        </is>
      </c>
      <c r="E6820" t="inlineStr">
        <is>
          <t>LIDKÖPING</t>
        </is>
      </c>
      <c r="G6820" t="n">
        <v>3.5</v>
      </c>
      <c r="H6820" t="n">
        <v>0</v>
      </c>
      <c r="I6820" t="n">
        <v>0</v>
      </c>
      <c r="J6820" t="n">
        <v>0</v>
      </c>
      <c r="K6820" t="n">
        <v>0</v>
      </c>
      <c r="L6820" t="n">
        <v>0</v>
      </c>
      <c r="M6820" t="n">
        <v>0</v>
      </c>
      <c r="N6820" t="n">
        <v>0</v>
      </c>
      <c r="O6820" t="n">
        <v>0</v>
      </c>
      <c r="P6820" t="n">
        <v>0</v>
      </c>
      <c r="Q6820" t="n">
        <v>0</v>
      </c>
      <c r="R6820" s="2" t="inlineStr"/>
    </row>
    <row r="6821" ht="15" customHeight="1">
      <c r="A6821" t="inlineStr">
        <is>
          <t>A 29502-2021</t>
        </is>
      </c>
      <c r="B6821" s="1" t="n">
        <v>44361</v>
      </c>
      <c r="C6821" s="1" t="n">
        <v>45212</v>
      </c>
      <c r="D6821" t="inlineStr">
        <is>
          <t>VÄSTRA GÖTALANDS LÄN</t>
        </is>
      </c>
      <c r="E6821" t="inlineStr">
        <is>
          <t>MUNKEDAL</t>
        </is>
      </c>
      <c r="G6821" t="n">
        <v>25.7</v>
      </c>
      <c r="H6821" t="n">
        <v>0</v>
      </c>
      <c r="I6821" t="n">
        <v>0</v>
      </c>
      <c r="J6821" t="n">
        <v>0</v>
      </c>
      <c r="K6821" t="n">
        <v>0</v>
      </c>
      <c r="L6821" t="n">
        <v>0</v>
      </c>
      <c r="M6821" t="n">
        <v>0</v>
      </c>
      <c r="N6821" t="n">
        <v>0</v>
      </c>
      <c r="O6821" t="n">
        <v>0</v>
      </c>
      <c r="P6821" t="n">
        <v>0</v>
      </c>
      <c r="Q6821" t="n">
        <v>0</v>
      </c>
      <c r="R6821" s="2" t="inlineStr"/>
    </row>
    <row r="6822" ht="15" customHeight="1">
      <c r="A6822" t="inlineStr">
        <is>
          <t>A 29371-2021</t>
        </is>
      </c>
      <c r="B6822" s="1" t="n">
        <v>44361</v>
      </c>
      <c r="C6822" s="1" t="n">
        <v>45212</v>
      </c>
      <c r="D6822" t="inlineStr">
        <is>
          <t>VÄSTRA GÖTALANDS LÄN</t>
        </is>
      </c>
      <c r="E6822" t="inlineStr">
        <is>
          <t>VÄNERSBORG</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29504-2021</t>
        </is>
      </c>
      <c r="B6823" s="1" t="n">
        <v>44361</v>
      </c>
      <c r="C6823" s="1" t="n">
        <v>45212</v>
      </c>
      <c r="D6823" t="inlineStr">
        <is>
          <t>VÄSTRA GÖTALANDS LÄN</t>
        </is>
      </c>
      <c r="E6823" t="inlineStr">
        <is>
          <t>TANUM</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29755-2021</t>
        </is>
      </c>
      <c r="B6824" s="1" t="n">
        <v>44362</v>
      </c>
      <c r="C6824" s="1" t="n">
        <v>45212</v>
      </c>
      <c r="D6824" t="inlineStr">
        <is>
          <t>VÄSTRA GÖTALANDS LÄN</t>
        </is>
      </c>
      <c r="E6824" t="inlineStr">
        <is>
          <t>VÄNERSBORG</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29770-2021</t>
        </is>
      </c>
      <c r="B6825" s="1" t="n">
        <v>44362</v>
      </c>
      <c r="C6825" s="1" t="n">
        <v>45212</v>
      </c>
      <c r="D6825" t="inlineStr">
        <is>
          <t>VÄSTRA GÖTALANDS LÄN</t>
        </is>
      </c>
      <c r="E6825" t="inlineStr">
        <is>
          <t>FÄRGELANDA</t>
        </is>
      </c>
      <c r="G6825" t="n">
        <v>0.3</v>
      </c>
      <c r="H6825" t="n">
        <v>0</v>
      </c>
      <c r="I6825" t="n">
        <v>0</v>
      </c>
      <c r="J6825" t="n">
        <v>0</v>
      </c>
      <c r="K6825" t="n">
        <v>0</v>
      </c>
      <c r="L6825" t="n">
        <v>0</v>
      </c>
      <c r="M6825" t="n">
        <v>0</v>
      </c>
      <c r="N6825" t="n">
        <v>0</v>
      </c>
      <c r="O6825" t="n">
        <v>0</v>
      </c>
      <c r="P6825" t="n">
        <v>0</v>
      </c>
      <c r="Q6825" t="n">
        <v>0</v>
      </c>
      <c r="R6825" s="2" t="inlineStr"/>
    </row>
    <row r="6826" ht="15" customHeight="1">
      <c r="A6826" t="inlineStr">
        <is>
          <t>A 29967-2021</t>
        </is>
      </c>
      <c r="B6826" s="1" t="n">
        <v>44363</v>
      </c>
      <c r="C6826" s="1" t="n">
        <v>45212</v>
      </c>
      <c r="D6826" t="inlineStr">
        <is>
          <t>VÄSTRA GÖTALANDS LÄN</t>
        </is>
      </c>
      <c r="E6826" t="inlineStr">
        <is>
          <t>MARK</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30034-2021</t>
        </is>
      </c>
      <c r="B6827" s="1" t="n">
        <v>44363</v>
      </c>
      <c r="C6827" s="1" t="n">
        <v>45212</v>
      </c>
      <c r="D6827" t="inlineStr">
        <is>
          <t>VÄSTRA GÖTALANDS LÄN</t>
        </is>
      </c>
      <c r="E6827" t="inlineStr">
        <is>
          <t>SKÖVDE</t>
        </is>
      </c>
      <c r="G6827" t="n">
        <v>1.4</v>
      </c>
      <c r="H6827" t="n">
        <v>0</v>
      </c>
      <c r="I6827" t="n">
        <v>0</v>
      </c>
      <c r="J6827" t="n">
        <v>0</v>
      </c>
      <c r="K6827" t="n">
        <v>0</v>
      </c>
      <c r="L6827" t="n">
        <v>0</v>
      </c>
      <c r="M6827" t="n">
        <v>0</v>
      </c>
      <c r="N6827" t="n">
        <v>0</v>
      </c>
      <c r="O6827" t="n">
        <v>0</v>
      </c>
      <c r="P6827" t="n">
        <v>0</v>
      </c>
      <c r="Q6827" t="n">
        <v>0</v>
      </c>
      <c r="R6827" s="2" t="inlineStr"/>
    </row>
    <row r="6828" ht="15" customHeight="1">
      <c r="A6828" t="inlineStr">
        <is>
          <t>A 30180-2021</t>
        </is>
      </c>
      <c r="B6828" s="1" t="n">
        <v>44363</v>
      </c>
      <c r="C6828" s="1" t="n">
        <v>45212</v>
      </c>
      <c r="D6828" t="inlineStr">
        <is>
          <t>VÄSTRA GÖTALANDS LÄN</t>
        </is>
      </c>
      <c r="E6828" t="inlineStr">
        <is>
          <t>HERRLJUNGA</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30191-2021</t>
        </is>
      </c>
      <c r="B6829" s="1" t="n">
        <v>44363</v>
      </c>
      <c r="C6829" s="1" t="n">
        <v>45212</v>
      </c>
      <c r="D6829" t="inlineStr">
        <is>
          <t>VÄSTRA GÖTALANDS LÄN</t>
        </is>
      </c>
      <c r="E6829" t="inlineStr">
        <is>
          <t>MARK</t>
        </is>
      </c>
      <c r="F6829" t="inlineStr">
        <is>
          <t>Kyrkan</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30046-2021</t>
        </is>
      </c>
      <c r="B6830" s="1" t="n">
        <v>44363</v>
      </c>
      <c r="C6830" s="1" t="n">
        <v>45212</v>
      </c>
      <c r="D6830" t="inlineStr">
        <is>
          <t>VÄSTRA GÖTALANDS LÄN</t>
        </is>
      </c>
      <c r="E6830" t="inlineStr">
        <is>
          <t>LILLA EDET</t>
        </is>
      </c>
      <c r="G6830" t="n">
        <v>2.2</v>
      </c>
      <c r="H6830" t="n">
        <v>0</v>
      </c>
      <c r="I6830" t="n">
        <v>0</v>
      </c>
      <c r="J6830" t="n">
        <v>0</v>
      </c>
      <c r="K6830" t="n">
        <v>0</v>
      </c>
      <c r="L6830" t="n">
        <v>0</v>
      </c>
      <c r="M6830" t="n">
        <v>0</v>
      </c>
      <c r="N6830" t="n">
        <v>0</v>
      </c>
      <c r="O6830" t="n">
        <v>0</v>
      </c>
      <c r="P6830" t="n">
        <v>0</v>
      </c>
      <c r="Q6830" t="n">
        <v>0</v>
      </c>
      <c r="R6830" s="2" t="inlineStr"/>
    </row>
    <row r="6831" ht="15" customHeight="1">
      <c r="A6831" t="inlineStr">
        <is>
          <t>A 30159-2021</t>
        </is>
      </c>
      <c r="B6831" s="1" t="n">
        <v>44363</v>
      </c>
      <c r="C6831" s="1" t="n">
        <v>45212</v>
      </c>
      <c r="D6831" t="inlineStr">
        <is>
          <t>VÄSTRA GÖTALANDS LÄN</t>
        </is>
      </c>
      <c r="E6831" t="inlineStr">
        <is>
          <t>MARK</t>
        </is>
      </c>
      <c r="F6831" t="inlineStr">
        <is>
          <t>Kyrkan</t>
        </is>
      </c>
      <c r="G6831" t="n">
        <v>13.2</v>
      </c>
      <c r="H6831" t="n">
        <v>0</v>
      </c>
      <c r="I6831" t="n">
        <v>0</v>
      </c>
      <c r="J6831" t="n">
        <v>0</v>
      </c>
      <c r="K6831" t="n">
        <v>0</v>
      </c>
      <c r="L6831" t="n">
        <v>0</v>
      </c>
      <c r="M6831" t="n">
        <v>0</v>
      </c>
      <c r="N6831" t="n">
        <v>0</v>
      </c>
      <c r="O6831" t="n">
        <v>0</v>
      </c>
      <c r="P6831" t="n">
        <v>0</v>
      </c>
      <c r="Q6831" t="n">
        <v>0</v>
      </c>
      <c r="R6831" s="2" t="inlineStr"/>
    </row>
    <row r="6832" ht="15" customHeight="1">
      <c r="A6832" t="inlineStr">
        <is>
          <t>A 30179-2021</t>
        </is>
      </c>
      <c r="B6832" s="1" t="n">
        <v>44363</v>
      </c>
      <c r="C6832" s="1" t="n">
        <v>45212</v>
      </c>
      <c r="D6832" t="inlineStr">
        <is>
          <t>VÄSTRA GÖTALANDS LÄN</t>
        </is>
      </c>
      <c r="E6832" t="inlineStr">
        <is>
          <t>BOLLEBYGD</t>
        </is>
      </c>
      <c r="F6832" t="inlineStr">
        <is>
          <t>Kyrkan</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30201-2021</t>
        </is>
      </c>
      <c r="B6833" s="1" t="n">
        <v>44363</v>
      </c>
      <c r="C6833" s="1" t="n">
        <v>45212</v>
      </c>
      <c r="D6833" t="inlineStr">
        <is>
          <t>VÄSTRA GÖTALANDS LÄN</t>
        </is>
      </c>
      <c r="E6833" t="inlineStr">
        <is>
          <t>VÄNERSBORG</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30045-2021</t>
        </is>
      </c>
      <c r="B6834" s="1" t="n">
        <v>44363</v>
      </c>
      <c r="C6834" s="1" t="n">
        <v>45212</v>
      </c>
      <c r="D6834" t="inlineStr">
        <is>
          <t>VÄSTRA GÖTALANDS LÄN</t>
        </is>
      </c>
      <c r="E6834" t="inlineStr">
        <is>
          <t>LILLA EDET</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30185-2021</t>
        </is>
      </c>
      <c r="B6835" s="1" t="n">
        <v>44363</v>
      </c>
      <c r="C6835" s="1" t="n">
        <v>45212</v>
      </c>
      <c r="D6835" t="inlineStr">
        <is>
          <t>VÄSTRA GÖTALANDS LÄN</t>
        </is>
      </c>
      <c r="E6835" t="inlineStr">
        <is>
          <t>VÄNERSBORG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29995-2021</t>
        </is>
      </c>
      <c r="B6836" s="1" t="n">
        <v>44363</v>
      </c>
      <c r="C6836" s="1" t="n">
        <v>45212</v>
      </c>
      <c r="D6836" t="inlineStr">
        <is>
          <t>VÄSTRA GÖTALANDS LÄN</t>
        </is>
      </c>
      <c r="E6836" t="inlineStr">
        <is>
          <t>BENGTSFORS</t>
        </is>
      </c>
      <c r="G6836" t="n">
        <v>4.7</v>
      </c>
      <c r="H6836" t="n">
        <v>0</v>
      </c>
      <c r="I6836" t="n">
        <v>0</v>
      </c>
      <c r="J6836" t="n">
        <v>0</v>
      </c>
      <c r="K6836" t="n">
        <v>0</v>
      </c>
      <c r="L6836" t="n">
        <v>0</v>
      </c>
      <c r="M6836" t="n">
        <v>0</v>
      </c>
      <c r="N6836" t="n">
        <v>0</v>
      </c>
      <c r="O6836" t="n">
        <v>0</v>
      </c>
      <c r="P6836" t="n">
        <v>0</v>
      </c>
      <c r="Q6836" t="n">
        <v>0</v>
      </c>
      <c r="R6836" s="2" t="inlineStr"/>
    </row>
    <row r="6837" ht="15" customHeight="1">
      <c r="A6837" t="inlineStr">
        <is>
          <t>A 30042-2021</t>
        </is>
      </c>
      <c r="B6837" s="1" t="n">
        <v>44363</v>
      </c>
      <c r="C6837" s="1" t="n">
        <v>45212</v>
      </c>
      <c r="D6837" t="inlineStr">
        <is>
          <t>VÄSTRA GÖTALANDS LÄN</t>
        </is>
      </c>
      <c r="E6837" t="inlineStr">
        <is>
          <t>LILLA EDET</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30061-2021</t>
        </is>
      </c>
      <c r="B6838" s="1" t="n">
        <v>44363</v>
      </c>
      <c r="C6838" s="1" t="n">
        <v>45212</v>
      </c>
      <c r="D6838" t="inlineStr">
        <is>
          <t>VÄSTRA GÖTALANDS LÄN</t>
        </is>
      </c>
      <c r="E6838" t="inlineStr">
        <is>
          <t>VÅRGÅRDA</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30166-2021</t>
        </is>
      </c>
      <c r="B6839" s="1" t="n">
        <v>44363</v>
      </c>
      <c r="C6839" s="1" t="n">
        <v>45212</v>
      </c>
      <c r="D6839" t="inlineStr">
        <is>
          <t>VÄSTRA GÖTALANDS LÄN</t>
        </is>
      </c>
      <c r="E6839" t="inlineStr">
        <is>
          <t>ÅMÅL</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30177-2021</t>
        </is>
      </c>
      <c r="B6840" s="1" t="n">
        <v>44363</v>
      </c>
      <c r="C6840" s="1" t="n">
        <v>45212</v>
      </c>
      <c r="D6840" t="inlineStr">
        <is>
          <t>VÄSTRA GÖTALANDS LÄN</t>
        </is>
      </c>
      <c r="E6840" t="inlineStr">
        <is>
          <t>BOLLEBYGD</t>
        </is>
      </c>
      <c r="F6840" t="inlineStr">
        <is>
          <t>Kyrkan</t>
        </is>
      </c>
      <c r="G6840" t="n">
        <v>1</v>
      </c>
      <c r="H6840" t="n">
        <v>0</v>
      </c>
      <c r="I6840" t="n">
        <v>0</v>
      </c>
      <c r="J6840" t="n">
        <v>0</v>
      </c>
      <c r="K6840" t="n">
        <v>0</v>
      </c>
      <c r="L6840" t="n">
        <v>0</v>
      </c>
      <c r="M6840" t="n">
        <v>0</v>
      </c>
      <c r="N6840" t="n">
        <v>0</v>
      </c>
      <c r="O6840" t="n">
        <v>0</v>
      </c>
      <c r="P6840" t="n">
        <v>0</v>
      </c>
      <c r="Q6840" t="n">
        <v>0</v>
      </c>
      <c r="R6840" s="2" t="inlineStr"/>
    </row>
    <row r="6841" ht="15" customHeight="1">
      <c r="A6841" t="inlineStr">
        <is>
          <t>A 30385-2021</t>
        </is>
      </c>
      <c r="B6841" s="1" t="n">
        <v>44364</v>
      </c>
      <c r="C6841" s="1" t="n">
        <v>45212</v>
      </c>
      <c r="D6841" t="inlineStr">
        <is>
          <t>VÄSTRA GÖTALANDS LÄN</t>
        </is>
      </c>
      <c r="E6841" t="inlineStr">
        <is>
          <t>DALS-ED</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30518-2021</t>
        </is>
      </c>
      <c r="B6842" s="1" t="n">
        <v>44364</v>
      </c>
      <c r="C6842" s="1" t="n">
        <v>45212</v>
      </c>
      <c r="D6842" t="inlineStr">
        <is>
          <t>VÄSTRA GÖTALANDS LÄN</t>
        </is>
      </c>
      <c r="E6842" t="inlineStr">
        <is>
          <t>LERUM</t>
        </is>
      </c>
      <c r="G6842" t="n">
        <v>4.7</v>
      </c>
      <c r="H6842" t="n">
        <v>0</v>
      </c>
      <c r="I6842" t="n">
        <v>0</v>
      </c>
      <c r="J6842" t="n">
        <v>0</v>
      </c>
      <c r="K6842" t="n">
        <v>0</v>
      </c>
      <c r="L6842" t="n">
        <v>0</v>
      </c>
      <c r="M6842" t="n">
        <v>0</v>
      </c>
      <c r="N6842" t="n">
        <v>0</v>
      </c>
      <c r="O6842" t="n">
        <v>0</v>
      </c>
      <c r="P6842" t="n">
        <v>0</v>
      </c>
      <c r="Q6842" t="n">
        <v>0</v>
      </c>
      <c r="R6842" s="2" t="inlineStr"/>
    </row>
    <row r="6843" ht="15" customHeight="1">
      <c r="A6843" t="inlineStr">
        <is>
          <t>A 30804-2021</t>
        </is>
      </c>
      <c r="B6843" s="1" t="n">
        <v>44365</v>
      </c>
      <c r="C6843" s="1" t="n">
        <v>45212</v>
      </c>
      <c r="D6843" t="inlineStr">
        <is>
          <t>VÄSTRA GÖTALANDS LÄN</t>
        </is>
      </c>
      <c r="E6843" t="inlineStr">
        <is>
          <t>SKÖVDE</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30869-2021</t>
        </is>
      </c>
      <c r="B6844" s="1" t="n">
        <v>44365</v>
      </c>
      <c r="C6844" s="1" t="n">
        <v>45212</v>
      </c>
      <c r="D6844" t="inlineStr">
        <is>
          <t>VÄSTRA GÖTALANDS LÄN</t>
        </is>
      </c>
      <c r="E6844" t="inlineStr">
        <is>
          <t>GÖTENE</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30889-2021</t>
        </is>
      </c>
      <c r="B6845" s="1" t="n">
        <v>44365</v>
      </c>
      <c r="C6845" s="1" t="n">
        <v>45212</v>
      </c>
      <c r="D6845" t="inlineStr">
        <is>
          <t>VÄSTRA GÖTALANDS LÄN</t>
        </is>
      </c>
      <c r="E6845" t="inlineStr">
        <is>
          <t>FÄRGELANDA</t>
        </is>
      </c>
      <c r="G6845" t="n">
        <v>1.9</v>
      </c>
      <c r="H6845" t="n">
        <v>0</v>
      </c>
      <c r="I6845" t="n">
        <v>0</v>
      </c>
      <c r="J6845" t="n">
        <v>0</v>
      </c>
      <c r="K6845" t="n">
        <v>0</v>
      </c>
      <c r="L6845" t="n">
        <v>0</v>
      </c>
      <c r="M6845" t="n">
        <v>0</v>
      </c>
      <c r="N6845" t="n">
        <v>0</v>
      </c>
      <c r="O6845" t="n">
        <v>0</v>
      </c>
      <c r="P6845" t="n">
        <v>0</v>
      </c>
      <c r="Q6845" t="n">
        <v>0</v>
      </c>
      <c r="R6845" s="2" t="inlineStr"/>
    </row>
    <row r="6846" ht="15" customHeight="1">
      <c r="A6846" t="inlineStr">
        <is>
          <t>A 30935-2021</t>
        </is>
      </c>
      <c r="B6846" s="1" t="n">
        <v>44365</v>
      </c>
      <c r="C6846" s="1" t="n">
        <v>45212</v>
      </c>
      <c r="D6846" t="inlineStr">
        <is>
          <t>VÄSTRA GÖTALANDS LÄN</t>
        </is>
      </c>
      <c r="E6846" t="inlineStr">
        <is>
          <t>BENGTSFORS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30878-2021</t>
        </is>
      </c>
      <c r="B6847" s="1" t="n">
        <v>44365</v>
      </c>
      <c r="C6847" s="1" t="n">
        <v>45212</v>
      </c>
      <c r="D6847" t="inlineStr">
        <is>
          <t>VÄSTRA GÖTALANDS LÄN</t>
        </is>
      </c>
      <c r="E6847" t="inlineStr">
        <is>
          <t>VÄNERSBORG</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31002-2021</t>
        </is>
      </c>
      <c r="B6848" s="1" t="n">
        <v>44366</v>
      </c>
      <c r="C6848" s="1" t="n">
        <v>45212</v>
      </c>
      <c r="D6848" t="inlineStr">
        <is>
          <t>VÄSTRA GÖTALANDS LÄN</t>
        </is>
      </c>
      <c r="E6848" t="inlineStr">
        <is>
          <t>TRANEMO</t>
        </is>
      </c>
      <c r="G6848" t="n">
        <v>3.7</v>
      </c>
      <c r="H6848" t="n">
        <v>0</v>
      </c>
      <c r="I6848" t="n">
        <v>0</v>
      </c>
      <c r="J6848" t="n">
        <v>0</v>
      </c>
      <c r="K6848" t="n">
        <v>0</v>
      </c>
      <c r="L6848" t="n">
        <v>0</v>
      </c>
      <c r="M6848" t="n">
        <v>0</v>
      </c>
      <c r="N6848" t="n">
        <v>0</v>
      </c>
      <c r="O6848" t="n">
        <v>0</v>
      </c>
      <c r="P6848" t="n">
        <v>0</v>
      </c>
      <c r="Q6848" t="n">
        <v>0</v>
      </c>
      <c r="R6848" s="2" t="inlineStr"/>
    </row>
    <row r="6849" ht="15" customHeight="1">
      <c r="A6849" t="inlineStr">
        <is>
          <t>A 30998-2021</t>
        </is>
      </c>
      <c r="B6849" s="1" t="n">
        <v>44366</v>
      </c>
      <c r="C6849" s="1" t="n">
        <v>45212</v>
      </c>
      <c r="D6849" t="inlineStr">
        <is>
          <t>VÄSTRA GÖTALANDS LÄN</t>
        </is>
      </c>
      <c r="E6849" t="inlineStr">
        <is>
          <t>TRANEMO</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31015-2021</t>
        </is>
      </c>
      <c r="B6850" s="1" t="n">
        <v>44367</v>
      </c>
      <c r="C6850" s="1" t="n">
        <v>45212</v>
      </c>
      <c r="D6850" t="inlineStr">
        <is>
          <t>VÄSTRA GÖTALANDS LÄN</t>
        </is>
      </c>
      <c r="E6850" t="inlineStr">
        <is>
          <t>BENGTSFORS</t>
        </is>
      </c>
      <c r="G6850" t="n">
        <v>8.300000000000001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31208-2021</t>
        </is>
      </c>
      <c r="B6851" s="1" t="n">
        <v>44368</v>
      </c>
      <c r="C6851" s="1" t="n">
        <v>45212</v>
      </c>
      <c r="D6851" t="inlineStr">
        <is>
          <t>VÄSTRA GÖTALANDS LÄN</t>
        </is>
      </c>
      <c r="E6851" t="inlineStr">
        <is>
          <t>ÅMÅL</t>
        </is>
      </c>
      <c r="G6851" t="n">
        <v>2.3</v>
      </c>
      <c r="H6851" t="n">
        <v>0</v>
      </c>
      <c r="I6851" t="n">
        <v>0</v>
      </c>
      <c r="J6851" t="n">
        <v>0</v>
      </c>
      <c r="K6851" t="n">
        <v>0</v>
      </c>
      <c r="L6851" t="n">
        <v>0</v>
      </c>
      <c r="M6851" t="n">
        <v>0</v>
      </c>
      <c r="N6851" t="n">
        <v>0</v>
      </c>
      <c r="O6851" t="n">
        <v>0</v>
      </c>
      <c r="P6851" t="n">
        <v>0</v>
      </c>
      <c r="Q6851" t="n">
        <v>0</v>
      </c>
      <c r="R6851" s="2" t="inlineStr"/>
    </row>
    <row r="6852" ht="15" customHeight="1">
      <c r="A6852" t="inlineStr">
        <is>
          <t>A 31236-2021</t>
        </is>
      </c>
      <c r="B6852" s="1" t="n">
        <v>44368</v>
      </c>
      <c r="C6852" s="1" t="n">
        <v>45212</v>
      </c>
      <c r="D6852" t="inlineStr">
        <is>
          <t>VÄSTRA GÖTALANDS LÄN</t>
        </is>
      </c>
      <c r="E6852" t="inlineStr">
        <is>
          <t>MARK</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31088-2021</t>
        </is>
      </c>
      <c r="B6853" s="1" t="n">
        <v>44368</v>
      </c>
      <c r="C6853" s="1" t="n">
        <v>45212</v>
      </c>
      <c r="D6853" t="inlineStr">
        <is>
          <t>VÄSTRA GÖTALANDS LÄN</t>
        </is>
      </c>
      <c r="E6853" t="inlineStr">
        <is>
          <t>TROLLHÄTTAN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31135-2021</t>
        </is>
      </c>
      <c r="B6854" s="1" t="n">
        <v>44368</v>
      </c>
      <c r="C6854" s="1" t="n">
        <v>45212</v>
      </c>
      <c r="D6854" t="inlineStr">
        <is>
          <t>VÄSTRA GÖTALANDS LÄN</t>
        </is>
      </c>
      <c r="E6854" t="inlineStr">
        <is>
          <t>ULRICEHAMN</t>
        </is>
      </c>
      <c r="G6854" t="n">
        <v>10.5</v>
      </c>
      <c r="H6854" t="n">
        <v>0</v>
      </c>
      <c r="I6854" t="n">
        <v>0</v>
      </c>
      <c r="J6854" t="n">
        <v>0</v>
      </c>
      <c r="K6854" t="n">
        <v>0</v>
      </c>
      <c r="L6854" t="n">
        <v>0</v>
      </c>
      <c r="M6854" t="n">
        <v>0</v>
      </c>
      <c r="N6854" t="n">
        <v>0</v>
      </c>
      <c r="O6854" t="n">
        <v>0</v>
      </c>
      <c r="P6854" t="n">
        <v>0</v>
      </c>
      <c r="Q6854" t="n">
        <v>0</v>
      </c>
      <c r="R6854" s="2" t="inlineStr"/>
    </row>
    <row r="6855" ht="15" customHeight="1">
      <c r="A6855" t="inlineStr">
        <is>
          <t>A 31206-2021</t>
        </is>
      </c>
      <c r="B6855" s="1" t="n">
        <v>44368</v>
      </c>
      <c r="C6855" s="1" t="n">
        <v>45212</v>
      </c>
      <c r="D6855" t="inlineStr">
        <is>
          <t>VÄSTRA GÖTALANDS LÄN</t>
        </is>
      </c>
      <c r="E6855" t="inlineStr">
        <is>
          <t>ULRICEHAMN</t>
        </is>
      </c>
      <c r="F6855" t="inlineStr">
        <is>
          <t>Sveaskog</t>
        </is>
      </c>
      <c r="G6855" t="n">
        <v>1.6</v>
      </c>
      <c r="H6855" t="n">
        <v>0</v>
      </c>
      <c r="I6855" t="n">
        <v>0</v>
      </c>
      <c r="J6855" t="n">
        <v>0</v>
      </c>
      <c r="K6855" t="n">
        <v>0</v>
      </c>
      <c r="L6855" t="n">
        <v>0</v>
      </c>
      <c r="M6855" t="n">
        <v>0</v>
      </c>
      <c r="N6855" t="n">
        <v>0</v>
      </c>
      <c r="O6855" t="n">
        <v>0</v>
      </c>
      <c r="P6855" t="n">
        <v>0</v>
      </c>
      <c r="Q6855" t="n">
        <v>0</v>
      </c>
      <c r="R6855" s="2" t="inlineStr"/>
    </row>
    <row r="6856" ht="15" customHeight="1">
      <c r="A6856" t="inlineStr">
        <is>
          <t>A 31218-2021</t>
        </is>
      </c>
      <c r="B6856" s="1" t="n">
        <v>44368</v>
      </c>
      <c r="C6856" s="1" t="n">
        <v>45212</v>
      </c>
      <c r="D6856" t="inlineStr">
        <is>
          <t>VÄSTRA GÖTALANDS LÄN</t>
        </is>
      </c>
      <c r="E6856" t="inlineStr">
        <is>
          <t>BENGTSFORS</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31078-2021</t>
        </is>
      </c>
      <c r="B6857" s="1" t="n">
        <v>44368</v>
      </c>
      <c r="C6857" s="1" t="n">
        <v>45212</v>
      </c>
      <c r="D6857" t="inlineStr">
        <is>
          <t>VÄSTRA GÖTALANDS LÄN</t>
        </is>
      </c>
      <c r="E6857" t="inlineStr">
        <is>
          <t>DALS-ED</t>
        </is>
      </c>
      <c r="G6857" t="n">
        <v>5.2</v>
      </c>
      <c r="H6857" t="n">
        <v>0</v>
      </c>
      <c r="I6857" t="n">
        <v>0</v>
      </c>
      <c r="J6857" t="n">
        <v>0</v>
      </c>
      <c r="K6857" t="n">
        <v>0</v>
      </c>
      <c r="L6857" t="n">
        <v>0</v>
      </c>
      <c r="M6857" t="n">
        <v>0</v>
      </c>
      <c r="N6857" t="n">
        <v>0</v>
      </c>
      <c r="O6857" t="n">
        <v>0</v>
      </c>
      <c r="P6857" t="n">
        <v>0</v>
      </c>
      <c r="Q6857" t="n">
        <v>0</v>
      </c>
      <c r="R6857" s="2" t="inlineStr"/>
    </row>
    <row r="6858" ht="15" customHeight="1">
      <c r="A6858" t="inlineStr">
        <is>
          <t>A 31214-2021</t>
        </is>
      </c>
      <c r="B6858" s="1" t="n">
        <v>44368</v>
      </c>
      <c r="C6858" s="1" t="n">
        <v>45212</v>
      </c>
      <c r="D6858" t="inlineStr">
        <is>
          <t>VÄSTRA GÖTALANDS LÄN</t>
        </is>
      </c>
      <c r="E6858" t="inlineStr">
        <is>
          <t>BENGTSFORS</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31230-2021</t>
        </is>
      </c>
      <c r="B6859" s="1" t="n">
        <v>44368</v>
      </c>
      <c r="C6859" s="1" t="n">
        <v>45212</v>
      </c>
      <c r="D6859" t="inlineStr">
        <is>
          <t>VÄSTRA GÖTALANDS LÄN</t>
        </is>
      </c>
      <c r="E6859" t="inlineStr">
        <is>
          <t>FALKÖPING</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31448-2021</t>
        </is>
      </c>
      <c r="B6860" s="1" t="n">
        <v>44369</v>
      </c>
      <c r="C6860" s="1" t="n">
        <v>45212</v>
      </c>
      <c r="D6860" t="inlineStr">
        <is>
          <t>VÄSTRA GÖTALANDS LÄN</t>
        </is>
      </c>
      <c r="E6860" t="inlineStr">
        <is>
          <t>GÖTENE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31559-2021</t>
        </is>
      </c>
      <c r="B6861" s="1" t="n">
        <v>44369</v>
      </c>
      <c r="C6861" s="1" t="n">
        <v>45212</v>
      </c>
      <c r="D6861" t="inlineStr">
        <is>
          <t>VÄSTRA GÖTALANDS LÄN</t>
        </is>
      </c>
      <c r="E6861" t="inlineStr">
        <is>
          <t>GÖTENE</t>
        </is>
      </c>
      <c r="G6861" t="n">
        <v>3</v>
      </c>
      <c r="H6861" t="n">
        <v>0</v>
      </c>
      <c r="I6861" t="n">
        <v>0</v>
      </c>
      <c r="J6861" t="n">
        <v>0</v>
      </c>
      <c r="K6861" t="n">
        <v>0</v>
      </c>
      <c r="L6861" t="n">
        <v>0</v>
      </c>
      <c r="M6861" t="n">
        <v>0</v>
      </c>
      <c r="N6861" t="n">
        <v>0</v>
      </c>
      <c r="O6861" t="n">
        <v>0</v>
      </c>
      <c r="P6861" t="n">
        <v>0</v>
      </c>
      <c r="Q6861" t="n">
        <v>0</v>
      </c>
      <c r="R6861" s="2" t="inlineStr"/>
    </row>
    <row r="6862" ht="15" customHeight="1">
      <c r="A6862" t="inlineStr">
        <is>
          <t>A 31426-2021</t>
        </is>
      </c>
      <c r="B6862" s="1" t="n">
        <v>44369</v>
      </c>
      <c r="C6862" s="1" t="n">
        <v>45212</v>
      </c>
      <c r="D6862" t="inlineStr">
        <is>
          <t>VÄSTRA GÖTALANDS LÄN</t>
        </is>
      </c>
      <c r="E6862" t="inlineStr">
        <is>
          <t>BENGTSFORS</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31450-2021</t>
        </is>
      </c>
      <c r="B6863" s="1" t="n">
        <v>44369</v>
      </c>
      <c r="C6863" s="1" t="n">
        <v>45212</v>
      </c>
      <c r="D6863" t="inlineStr">
        <is>
          <t>VÄSTRA GÖTALANDS LÄN</t>
        </is>
      </c>
      <c r="E6863" t="inlineStr">
        <is>
          <t>MUNKEDAL</t>
        </is>
      </c>
      <c r="F6863" t="inlineStr">
        <is>
          <t>Kyrkan</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31566-2021</t>
        </is>
      </c>
      <c r="B6864" s="1" t="n">
        <v>44369</v>
      </c>
      <c r="C6864" s="1" t="n">
        <v>45212</v>
      </c>
      <c r="D6864" t="inlineStr">
        <is>
          <t>VÄSTRA GÖTALANDS LÄN</t>
        </is>
      </c>
      <c r="E6864" t="inlineStr">
        <is>
          <t>ALE</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31445-2021</t>
        </is>
      </c>
      <c r="B6865" s="1" t="n">
        <v>44369</v>
      </c>
      <c r="C6865" s="1" t="n">
        <v>45212</v>
      </c>
      <c r="D6865" t="inlineStr">
        <is>
          <t>VÄSTRA GÖTALANDS LÄN</t>
        </is>
      </c>
      <c r="E6865" t="inlineStr">
        <is>
          <t>BENGTSFORS</t>
        </is>
      </c>
      <c r="F6865" t="inlineStr">
        <is>
          <t>Kyrkan</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31568-2021</t>
        </is>
      </c>
      <c r="B6866" s="1" t="n">
        <v>44369</v>
      </c>
      <c r="C6866" s="1" t="n">
        <v>45212</v>
      </c>
      <c r="D6866" t="inlineStr">
        <is>
          <t>VÄSTRA GÖTALANDS LÄN</t>
        </is>
      </c>
      <c r="E6866" t="inlineStr">
        <is>
          <t>ALE</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31778-2021</t>
        </is>
      </c>
      <c r="B6867" s="1" t="n">
        <v>44369</v>
      </c>
      <c r="C6867" s="1" t="n">
        <v>45212</v>
      </c>
      <c r="D6867" t="inlineStr">
        <is>
          <t>VÄSTRA GÖTALANDS LÄN</t>
        </is>
      </c>
      <c r="E6867" t="inlineStr">
        <is>
          <t>TANUM</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31984-2021</t>
        </is>
      </c>
      <c r="B6868" s="1" t="n">
        <v>44370</v>
      </c>
      <c r="C6868" s="1" t="n">
        <v>45212</v>
      </c>
      <c r="D6868" t="inlineStr">
        <is>
          <t>VÄSTRA GÖTALANDS LÄN</t>
        </is>
      </c>
      <c r="E6868" t="inlineStr">
        <is>
          <t>SKARA</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31947-2021</t>
        </is>
      </c>
      <c r="B6869" s="1" t="n">
        <v>44370</v>
      </c>
      <c r="C6869" s="1" t="n">
        <v>45212</v>
      </c>
      <c r="D6869" t="inlineStr">
        <is>
          <t>VÄSTRA GÖTALANDS LÄN</t>
        </is>
      </c>
      <c r="E6869" t="inlineStr">
        <is>
          <t>BENGTSFORS</t>
        </is>
      </c>
      <c r="G6869" t="n">
        <v>21.8</v>
      </c>
      <c r="H6869" t="n">
        <v>0</v>
      </c>
      <c r="I6869" t="n">
        <v>0</v>
      </c>
      <c r="J6869" t="n">
        <v>0</v>
      </c>
      <c r="K6869" t="n">
        <v>0</v>
      </c>
      <c r="L6869" t="n">
        <v>0</v>
      </c>
      <c r="M6869" t="n">
        <v>0</v>
      </c>
      <c r="N6869" t="n">
        <v>0</v>
      </c>
      <c r="O6869" t="n">
        <v>0</v>
      </c>
      <c r="P6869" t="n">
        <v>0</v>
      </c>
      <c r="Q6869" t="n">
        <v>0</v>
      </c>
      <c r="R6869" s="2" t="inlineStr"/>
    </row>
    <row r="6870" ht="15" customHeight="1">
      <c r="A6870" t="inlineStr">
        <is>
          <t>A 32212-2021</t>
        </is>
      </c>
      <c r="B6870" s="1" t="n">
        <v>44371</v>
      </c>
      <c r="C6870" s="1" t="n">
        <v>45212</v>
      </c>
      <c r="D6870" t="inlineStr">
        <is>
          <t>VÄSTRA GÖTALANDS LÄN</t>
        </is>
      </c>
      <c r="E6870" t="inlineStr">
        <is>
          <t>MARIESTAD</t>
        </is>
      </c>
      <c r="F6870" t="inlineStr">
        <is>
          <t>Sveaskog</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32167-2021</t>
        </is>
      </c>
      <c r="B6871" s="1" t="n">
        <v>44371</v>
      </c>
      <c r="C6871" s="1" t="n">
        <v>45212</v>
      </c>
      <c r="D6871" t="inlineStr">
        <is>
          <t>VÄSTRA GÖTALANDS LÄN</t>
        </is>
      </c>
      <c r="E6871" t="inlineStr">
        <is>
          <t>MARIESTAD</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32239-2021</t>
        </is>
      </c>
      <c r="B6872" s="1" t="n">
        <v>44371</v>
      </c>
      <c r="C6872" s="1" t="n">
        <v>45212</v>
      </c>
      <c r="D6872" t="inlineStr">
        <is>
          <t>VÄSTRA GÖTALANDS LÄN</t>
        </is>
      </c>
      <c r="E6872" t="inlineStr">
        <is>
          <t>BENGTSFORS</t>
        </is>
      </c>
      <c r="G6872" t="n">
        <v>4.5</v>
      </c>
      <c r="H6872" t="n">
        <v>0</v>
      </c>
      <c r="I6872" t="n">
        <v>0</v>
      </c>
      <c r="J6872" t="n">
        <v>0</v>
      </c>
      <c r="K6872" t="n">
        <v>0</v>
      </c>
      <c r="L6872" t="n">
        <v>0</v>
      </c>
      <c r="M6872" t="n">
        <v>0</v>
      </c>
      <c r="N6872" t="n">
        <v>0</v>
      </c>
      <c r="O6872" t="n">
        <v>0</v>
      </c>
      <c r="P6872" t="n">
        <v>0</v>
      </c>
      <c r="Q6872" t="n">
        <v>0</v>
      </c>
      <c r="R6872" s="2" t="inlineStr"/>
    </row>
    <row r="6873" ht="15" customHeight="1">
      <c r="A6873" t="inlineStr">
        <is>
          <t>A 32161-2021</t>
        </is>
      </c>
      <c r="B6873" s="1" t="n">
        <v>44371</v>
      </c>
      <c r="C6873" s="1" t="n">
        <v>45212</v>
      </c>
      <c r="D6873" t="inlineStr">
        <is>
          <t>VÄSTRA GÖTALANDS LÄN</t>
        </is>
      </c>
      <c r="E6873" t="inlineStr">
        <is>
          <t>ULRICEHAMN</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32215-2021</t>
        </is>
      </c>
      <c r="B6874" s="1" t="n">
        <v>44371</v>
      </c>
      <c r="C6874" s="1" t="n">
        <v>45212</v>
      </c>
      <c r="D6874" t="inlineStr">
        <is>
          <t>VÄSTRA GÖTALANDS LÄN</t>
        </is>
      </c>
      <c r="E6874" t="inlineStr">
        <is>
          <t>MARIESTAD</t>
        </is>
      </c>
      <c r="F6874" t="inlineStr">
        <is>
          <t>Sveaskog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32154-2021</t>
        </is>
      </c>
      <c r="B6875" s="1" t="n">
        <v>44371</v>
      </c>
      <c r="C6875" s="1" t="n">
        <v>45212</v>
      </c>
      <c r="D6875" t="inlineStr">
        <is>
          <t>VÄSTRA GÖTALANDS LÄN</t>
        </is>
      </c>
      <c r="E6875" t="inlineStr">
        <is>
          <t>MARK</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32169-2021</t>
        </is>
      </c>
      <c r="B6876" s="1" t="n">
        <v>44371</v>
      </c>
      <c r="C6876" s="1" t="n">
        <v>45212</v>
      </c>
      <c r="D6876" t="inlineStr">
        <is>
          <t>VÄSTRA GÖTALANDS LÄN</t>
        </is>
      </c>
      <c r="E6876" t="inlineStr">
        <is>
          <t>MARIESTAD</t>
        </is>
      </c>
      <c r="F6876" t="inlineStr">
        <is>
          <t>Kyrkan</t>
        </is>
      </c>
      <c r="G6876" t="n">
        <v>5.9</v>
      </c>
      <c r="H6876" t="n">
        <v>0</v>
      </c>
      <c r="I6876" t="n">
        <v>0</v>
      </c>
      <c r="J6876" t="n">
        <v>0</v>
      </c>
      <c r="K6876" t="n">
        <v>0</v>
      </c>
      <c r="L6876" t="n">
        <v>0</v>
      </c>
      <c r="M6876" t="n">
        <v>0</v>
      </c>
      <c r="N6876" t="n">
        <v>0</v>
      </c>
      <c r="O6876" t="n">
        <v>0</v>
      </c>
      <c r="P6876" t="n">
        <v>0</v>
      </c>
      <c r="Q6876" t="n">
        <v>0</v>
      </c>
      <c r="R6876" s="2" t="inlineStr"/>
    </row>
    <row r="6877" ht="15" customHeight="1">
      <c r="A6877" t="inlineStr">
        <is>
          <t>A 32743-2021</t>
        </is>
      </c>
      <c r="B6877" s="1" t="n">
        <v>44375</v>
      </c>
      <c r="C6877" s="1" t="n">
        <v>45212</v>
      </c>
      <c r="D6877" t="inlineStr">
        <is>
          <t>VÄSTRA GÖTALANDS LÄN</t>
        </is>
      </c>
      <c r="E6877" t="inlineStr">
        <is>
          <t>MARK</t>
        </is>
      </c>
      <c r="F6877" t="inlineStr">
        <is>
          <t>Kyrkan</t>
        </is>
      </c>
      <c r="G6877" t="n">
        <v>9.300000000000001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32771-2021</t>
        </is>
      </c>
      <c r="B6878" s="1" t="n">
        <v>44375</v>
      </c>
      <c r="C6878" s="1" t="n">
        <v>45212</v>
      </c>
      <c r="D6878" t="inlineStr">
        <is>
          <t>VÄSTRA GÖTALANDS LÄN</t>
        </is>
      </c>
      <c r="E6878" t="inlineStr">
        <is>
          <t>VARA</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32700-2021</t>
        </is>
      </c>
      <c r="B6879" s="1" t="n">
        <v>44375</v>
      </c>
      <c r="C6879" s="1" t="n">
        <v>45212</v>
      </c>
      <c r="D6879" t="inlineStr">
        <is>
          <t>VÄSTRA GÖTALANDS LÄN</t>
        </is>
      </c>
      <c r="E6879" t="inlineStr">
        <is>
          <t>BENGTSFORS</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32737-2021</t>
        </is>
      </c>
      <c r="B6880" s="1" t="n">
        <v>44375</v>
      </c>
      <c r="C6880" s="1" t="n">
        <v>45212</v>
      </c>
      <c r="D6880" t="inlineStr">
        <is>
          <t>VÄSTRA GÖTALANDS LÄN</t>
        </is>
      </c>
      <c r="E6880" t="inlineStr">
        <is>
          <t>KARLSBORG</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32780-2021</t>
        </is>
      </c>
      <c r="B6881" s="1" t="n">
        <v>44375</v>
      </c>
      <c r="C6881" s="1" t="n">
        <v>45212</v>
      </c>
      <c r="D6881" t="inlineStr">
        <is>
          <t>VÄSTRA GÖTALANDS LÄN</t>
        </is>
      </c>
      <c r="E6881" t="inlineStr">
        <is>
          <t>MARK</t>
        </is>
      </c>
      <c r="F6881" t="inlineStr">
        <is>
          <t>Kyrkan</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32949-2021</t>
        </is>
      </c>
      <c r="B6882" s="1" t="n">
        <v>44375</v>
      </c>
      <c r="C6882" s="1" t="n">
        <v>45212</v>
      </c>
      <c r="D6882" t="inlineStr">
        <is>
          <t>VÄSTRA GÖTALANDS LÄN</t>
        </is>
      </c>
      <c r="E6882" t="inlineStr">
        <is>
          <t>STRÖMSTAD</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32829-2021</t>
        </is>
      </c>
      <c r="B6883" s="1" t="n">
        <v>44375</v>
      </c>
      <c r="C6883" s="1" t="n">
        <v>45212</v>
      </c>
      <c r="D6883" t="inlineStr">
        <is>
          <t>VÄSTRA GÖTALANDS LÄN</t>
        </is>
      </c>
      <c r="E6883" t="inlineStr">
        <is>
          <t>TRANEMO</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33020-2021</t>
        </is>
      </c>
      <c r="B6884" s="1" t="n">
        <v>44376</v>
      </c>
      <c r="C6884" s="1" t="n">
        <v>45212</v>
      </c>
      <c r="D6884" t="inlineStr">
        <is>
          <t>VÄSTRA GÖTALANDS LÄN</t>
        </is>
      </c>
      <c r="E6884" t="inlineStr">
        <is>
          <t>TRANEMO</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33114-2021</t>
        </is>
      </c>
      <c r="B6885" s="1" t="n">
        <v>44376</v>
      </c>
      <c r="C6885" s="1" t="n">
        <v>45212</v>
      </c>
      <c r="D6885" t="inlineStr">
        <is>
          <t>VÄSTRA GÖTALANDS LÄN</t>
        </is>
      </c>
      <c r="E6885" t="inlineStr">
        <is>
          <t>ÅMÅL</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32946-2021</t>
        </is>
      </c>
      <c r="B6886" s="1" t="n">
        <v>44376</v>
      </c>
      <c r="C6886" s="1" t="n">
        <v>45212</v>
      </c>
      <c r="D6886" t="inlineStr">
        <is>
          <t>VÄSTRA GÖTALANDS LÄN</t>
        </is>
      </c>
      <c r="E6886" t="inlineStr">
        <is>
          <t>SVENLJUNGA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33123-2021</t>
        </is>
      </c>
      <c r="B6887" s="1" t="n">
        <v>44376</v>
      </c>
      <c r="C6887" s="1" t="n">
        <v>45212</v>
      </c>
      <c r="D6887" t="inlineStr">
        <is>
          <t>VÄSTRA GÖTALANDS LÄN</t>
        </is>
      </c>
      <c r="E6887" t="inlineStr">
        <is>
          <t>ÅMÅL</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32993-2021</t>
        </is>
      </c>
      <c r="B6888" s="1" t="n">
        <v>44376</v>
      </c>
      <c r="C6888" s="1" t="n">
        <v>45212</v>
      </c>
      <c r="D6888" t="inlineStr">
        <is>
          <t>VÄSTRA GÖTALANDS LÄN</t>
        </is>
      </c>
      <c r="E6888" t="inlineStr">
        <is>
          <t>ALINGSÅS</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33259-2021</t>
        </is>
      </c>
      <c r="B6889" s="1" t="n">
        <v>44377</v>
      </c>
      <c r="C6889" s="1" t="n">
        <v>45212</v>
      </c>
      <c r="D6889" t="inlineStr">
        <is>
          <t>VÄSTRA GÖTALANDS LÄN</t>
        </is>
      </c>
      <c r="E6889" t="inlineStr">
        <is>
          <t>TANUM</t>
        </is>
      </c>
      <c r="G6889" t="n">
        <v>2.1</v>
      </c>
      <c r="H6889" t="n">
        <v>0</v>
      </c>
      <c r="I6889" t="n">
        <v>0</v>
      </c>
      <c r="J6889" t="n">
        <v>0</v>
      </c>
      <c r="K6889" t="n">
        <v>0</v>
      </c>
      <c r="L6889" t="n">
        <v>0</v>
      </c>
      <c r="M6889" t="n">
        <v>0</v>
      </c>
      <c r="N6889" t="n">
        <v>0</v>
      </c>
      <c r="O6889" t="n">
        <v>0</v>
      </c>
      <c r="P6889" t="n">
        <v>0</v>
      </c>
      <c r="Q6889" t="n">
        <v>0</v>
      </c>
      <c r="R6889" s="2" t="inlineStr"/>
    </row>
    <row r="6890" ht="15" customHeight="1">
      <c r="A6890" t="inlineStr">
        <is>
          <t>A 33332-2021</t>
        </is>
      </c>
      <c r="B6890" s="1" t="n">
        <v>44377</v>
      </c>
      <c r="C6890" s="1" t="n">
        <v>45212</v>
      </c>
      <c r="D6890" t="inlineStr">
        <is>
          <t>VÄSTRA GÖTALANDS LÄN</t>
        </is>
      </c>
      <c r="E6890" t="inlineStr">
        <is>
          <t>UDDEVALLA</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33380-2021</t>
        </is>
      </c>
      <c r="B6891" s="1" t="n">
        <v>44377</v>
      </c>
      <c r="C6891" s="1" t="n">
        <v>45212</v>
      </c>
      <c r="D6891" t="inlineStr">
        <is>
          <t>VÄSTRA GÖTALANDS LÄN</t>
        </is>
      </c>
      <c r="E6891" t="inlineStr">
        <is>
          <t>BENGTSFORS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33258-2021</t>
        </is>
      </c>
      <c r="B6892" s="1" t="n">
        <v>44377</v>
      </c>
      <c r="C6892" s="1" t="n">
        <v>45212</v>
      </c>
      <c r="D6892" t="inlineStr">
        <is>
          <t>VÄSTRA GÖTALANDS LÄN</t>
        </is>
      </c>
      <c r="E6892" t="inlineStr">
        <is>
          <t>TANUM</t>
        </is>
      </c>
      <c r="G6892" t="n">
        <v>2.1</v>
      </c>
      <c r="H6892" t="n">
        <v>0</v>
      </c>
      <c r="I6892" t="n">
        <v>0</v>
      </c>
      <c r="J6892" t="n">
        <v>0</v>
      </c>
      <c r="K6892" t="n">
        <v>0</v>
      </c>
      <c r="L6892" t="n">
        <v>0</v>
      </c>
      <c r="M6892" t="n">
        <v>0</v>
      </c>
      <c r="N6892" t="n">
        <v>0</v>
      </c>
      <c r="O6892" t="n">
        <v>0</v>
      </c>
      <c r="P6892" t="n">
        <v>0</v>
      </c>
      <c r="Q6892" t="n">
        <v>0</v>
      </c>
      <c r="R6892" s="2" t="inlineStr"/>
    </row>
    <row r="6893" ht="15" customHeight="1">
      <c r="A6893" t="inlineStr">
        <is>
          <t>A 33315-2021</t>
        </is>
      </c>
      <c r="B6893" s="1" t="n">
        <v>44377</v>
      </c>
      <c r="C6893" s="1" t="n">
        <v>45212</v>
      </c>
      <c r="D6893" t="inlineStr">
        <is>
          <t>VÄSTRA GÖTALANDS LÄN</t>
        </is>
      </c>
      <c r="E6893" t="inlineStr">
        <is>
          <t>TANUM</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33426-2021</t>
        </is>
      </c>
      <c r="B6894" s="1" t="n">
        <v>44377</v>
      </c>
      <c r="C6894" s="1" t="n">
        <v>45212</v>
      </c>
      <c r="D6894" t="inlineStr">
        <is>
          <t>VÄSTRA GÖTALANDS LÄN</t>
        </is>
      </c>
      <c r="E6894" t="inlineStr">
        <is>
          <t>KUNGÄLV</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33455-2021</t>
        </is>
      </c>
      <c r="B6895" s="1" t="n">
        <v>44377</v>
      </c>
      <c r="C6895" s="1" t="n">
        <v>45212</v>
      </c>
      <c r="D6895" t="inlineStr">
        <is>
          <t>VÄSTRA GÖTALANDS LÄN</t>
        </is>
      </c>
      <c r="E6895" t="inlineStr">
        <is>
          <t>KUNGÄLV</t>
        </is>
      </c>
      <c r="G6895" t="n">
        <v>4</v>
      </c>
      <c r="H6895" t="n">
        <v>0</v>
      </c>
      <c r="I6895" t="n">
        <v>0</v>
      </c>
      <c r="J6895" t="n">
        <v>0</v>
      </c>
      <c r="K6895" t="n">
        <v>0</v>
      </c>
      <c r="L6895" t="n">
        <v>0</v>
      </c>
      <c r="M6895" t="n">
        <v>0</v>
      </c>
      <c r="N6895" t="n">
        <v>0</v>
      </c>
      <c r="O6895" t="n">
        <v>0</v>
      </c>
      <c r="P6895" t="n">
        <v>0</v>
      </c>
      <c r="Q6895" t="n">
        <v>0</v>
      </c>
      <c r="R6895" s="2" t="inlineStr"/>
    </row>
    <row r="6896" ht="15" customHeight="1">
      <c r="A6896" t="inlineStr">
        <is>
          <t>A 33511-2021</t>
        </is>
      </c>
      <c r="B6896" s="1" t="n">
        <v>44377</v>
      </c>
      <c r="C6896" s="1" t="n">
        <v>45212</v>
      </c>
      <c r="D6896" t="inlineStr">
        <is>
          <t>VÄSTRA GÖTALANDS LÄN</t>
        </is>
      </c>
      <c r="E6896" t="inlineStr">
        <is>
          <t>GULLSPÅNG</t>
        </is>
      </c>
      <c r="G6896" t="n">
        <v>0.8</v>
      </c>
      <c r="H6896" t="n">
        <v>0</v>
      </c>
      <c r="I6896" t="n">
        <v>0</v>
      </c>
      <c r="J6896" t="n">
        <v>0</v>
      </c>
      <c r="K6896" t="n">
        <v>0</v>
      </c>
      <c r="L6896" t="n">
        <v>0</v>
      </c>
      <c r="M6896" t="n">
        <v>0</v>
      </c>
      <c r="N6896" t="n">
        <v>0</v>
      </c>
      <c r="O6896" t="n">
        <v>0</v>
      </c>
      <c r="P6896" t="n">
        <v>0</v>
      </c>
      <c r="Q6896" t="n">
        <v>0</v>
      </c>
      <c r="R6896" s="2" t="inlineStr"/>
    </row>
    <row r="6897" ht="15" customHeight="1">
      <c r="A6897" t="inlineStr">
        <is>
          <t>A 33244-2021</t>
        </is>
      </c>
      <c r="B6897" s="1" t="n">
        <v>44377</v>
      </c>
      <c r="C6897" s="1" t="n">
        <v>45212</v>
      </c>
      <c r="D6897" t="inlineStr">
        <is>
          <t>VÄSTRA GÖTALANDS LÄN</t>
        </is>
      </c>
      <c r="E6897" t="inlineStr">
        <is>
          <t>KUNGÄLV</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33326-2021</t>
        </is>
      </c>
      <c r="B6898" s="1" t="n">
        <v>44377</v>
      </c>
      <c r="C6898" s="1" t="n">
        <v>45212</v>
      </c>
      <c r="D6898" t="inlineStr">
        <is>
          <t>VÄSTRA GÖTALANDS LÄN</t>
        </is>
      </c>
      <c r="E6898" t="inlineStr">
        <is>
          <t>TANUM</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33493-2021</t>
        </is>
      </c>
      <c r="B6899" s="1" t="n">
        <v>44377</v>
      </c>
      <c r="C6899" s="1" t="n">
        <v>45212</v>
      </c>
      <c r="D6899" t="inlineStr">
        <is>
          <t>VÄSTRA GÖTALANDS LÄN</t>
        </is>
      </c>
      <c r="E6899" t="inlineStr">
        <is>
          <t>KUNGÄLV</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33513-2021</t>
        </is>
      </c>
      <c r="B6900" s="1" t="n">
        <v>44377</v>
      </c>
      <c r="C6900" s="1" t="n">
        <v>45212</v>
      </c>
      <c r="D6900" t="inlineStr">
        <is>
          <t>VÄSTRA GÖTALANDS LÄN</t>
        </is>
      </c>
      <c r="E6900" t="inlineStr">
        <is>
          <t>GULLSPÅNG</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33285-2021</t>
        </is>
      </c>
      <c r="B6901" s="1" t="n">
        <v>44377</v>
      </c>
      <c r="C6901" s="1" t="n">
        <v>45212</v>
      </c>
      <c r="D6901" t="inlineStr">
        <is>
          <t>VÄSTRA GÖTALANDS LÄN</t>
        </is>
      </c>
      <c r="E6901" t="inlineStr">
        <is>
          <t>BENGTSFORS</t>
        </is>
      </c>
      <c r="F6901" t="inlineStr">
        <is>
          <t>Kyrkan</t>
        </is>
      </c>
      <c r="G6901" t="n">
        <v>1.9</v>
      </c>
      <c r="H6901" t="n">
        <v>0</v>
      </c>
      <c r="I6901" t="n">
        <v>0</v>
      </c>
      <c r="J6901" t="n">
        <v>0</v>
      </c>
      <c r="K6901" t="n">
        <v>0</v>
      </c>
      <c r="L6901" t="n">
        <v>0</v>
      </c>
      <c r="M6901" t="n">
        <v>0</v>
      </c>
      <c r="N6901" t="n">
        <v>0</v>
      </c>
      <c r="O6901" t="n">
        <v>0</v>
      </c>
      <c r="P6901" t="n">
        <v>0</v>
      </c>
      <c r="Q6901" t="n">
        <v>0</v>
      </c>
      <c r="R6901" s="2" t="inlineStr"/>
    </row>
    <row r="6902" ht="15" customHeight="1">
      <c r="A6902" t="inlineStr">
        <is>
          <t>A 33376-2021</t>
        </is>
      </c>
      <c r="B6902" s="1" t="n">
        <v>44377</v>
      </c>
      <c r="C6902" s="1" t="n">
        <v>45212</v>
      </c>
      <c r="D6902" t="inlineStr">
        <is>
          <t>VÄSTRA GÖTALANDS LÄN</t>
        </is>
      </c>
      <c r="E6902" t="inlineStr">
        <is>
          <t>MARK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33448-2021</t>
        </is>
      </c>
      <c r="B6903" s="1" t="n">
        <v>44377</v>
      </c>
      <c r="C6903" s="1" t="n">
        <v>45212</v>
      </c>
      <c r="D6903" t="inlineStr">
        <is>
          <t>VÄSTRA GÖTALANDS LÄN</t>
        </is>
      </c>
      <c r="E6903" t="inlineStr">
        <is>
          <t>KUNGÄLV</t>
        </is>
      </c>
      <c r="G6903" t="n">
        <v>14.7</v>
      </c>
      <c r="H6903" t="n">
        <v>0</v>
      </c>
      <c r="I6903" t="n">
        <v>0</v>
      </c>
      <c r="J6903" t="n">
        <v>0</v>
      </c>
      <c r="K6903" t="n">
        <v>0</v>
      </c>
      <c r="L6903" t="n">
        <v>0</v>
      </c>
      <c r="M6903" t="n">
        <v>0</v>
      </c>
      <c r="N6903" t="n">
        <v>0</v>
      </c>
      <c r="O6903" t="n">
        <v>0</v>
      </c>
      <c r="P6903" t="n">
        <v>0</v>
      </c>
      <c r="Q6903" t="n">
        <v>0</v>
      </c>
      <c r="R6903" s="2" t="inlineStr"/>
    </row>
    <row r="6904" ht="15" customHeight="1">
      <c r="A6904" t="inlineStr">
        <is>
          <t>A 33496-2021</t>
        </is>
      </c>
      <c r="B6904" s="1" t="n">
        <v>44377</v>
      </c>
      <c r="C6904" s="1" t="n">
        <v>45212</v>
      </c>
      <c r="D6904" t="inlineStr">
        <is>
          <t>VÄSTRA GÖTALANDS LÄN</t>
        </is>
      </c>
      <c r="E6904" t="inlineStr">
        <is>
          <t>KUNGÄLV</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33526-2021</t>
        </is>
      </c>
      <c r="B6905" s="1" t="n">
        <v>44377</v>
      </c>
      <c r="C6905" s="1" t="n">
        <v>45212</v>
      </c>
      <c r="D6905" t="inlineStr">
        <is>
          <t>VÄSTRA GÖTALANDS LÄN</t>
        </is>
      </c>
      <c r="E6905" t="inlineStr">
        <is>
          <t>LILLA EDET</t>
        </is>
      </c>
      <c r="G6905" t="n">
        <v>3.5</v>
      </c>
      <c r="H6905" t="n">
        <v>0</v>
      </c>
      <c r="I6905" t="n">
        <v>0</v>
      </c>
      <c r="J6905" t="n">
        <v>0</v>
      </c>
      <c r="K6905" t="n">
        <v>0</v>
      </c>
      <c r="L6905" t="n">
        <v>0</v>
      </c>
      <c r="M6905" t="n">
        <v>0</v>
      </c>
      <c r="N6905" t="n">
        <v>0</v>
      </c>
      <c r="O6905" t="n">
        <v>0</v>
      </c>
      <c r="P6905" t="n">
        <v>0</v>
      </c>
      <c r="Q6905" t="n">
        <v>0</v>
      </c>
      <c r="R6905" s="2" t="inlineStr"/>
    </row>
    <row r="6906" ht="15" customHeight="1">
      <c r="A6906" t="inlineStr">
        <is>
          <t>A 33749-2021</t>
        </is>
      </c>
      <c r="B6906" s="1" t="n">
        <v>44378</v>
      </c>
      <c r="C6906" s="1" t="n">
        <v>45212</v>
      </c>
      <c r="D6906" t="inlineStr">
        <is>
          <t>VÄSTRA GÖTALANDS LÄN</t>
        </is>
      </c>
      <c r="E6906" t="inlineStr">
        <is>
          <t>GÖTEBORG</t>
        </is>
      </c>
      <c r="G6906" t="n">
        <v>2.4</v>
      </c>
      <c r="H6906" t="n">
        <v>0</v>
      </c>
      <c r="I6906" t="n">
        <v>0</v>
      </c>
      <c r="J6906" t="n">
        <v>0</v>
      </c>
      <c r="K6906" t="n">
        <v>0</v>
      </c>
      <c r="L6906" t="n">
        <v>0</v>
      </c>
      <c r="M6906" t="n">
        <v>0</v>
      </c>
      <c r="N6906" t="n">
        <v>0</v>
      </c>
      <c r="O6906" t="n">
        <v>0</v>
      </c>
      <c r="P6906" t="n">
        <v>0</v>
      </c>
      <c r="Q6906" t="n">
        <v>0</v>
      </c>
      <c r="R6906" s="2" t="inlineStr"/>
    </row>
    <row r="6907" ht="15" customHeight="1">
      <c r="A6907" t="inlineStr">
        <is>
          <t>A 33769-2021</t>
        </is>
      </c>
      <c r="B6907" s="1" t="n">
        <v>44378</v>
      </c>
      <c r="C6907" s="1" t="n">
        <v>45212</v>
      </c>
      <c r="D6907" t="inlineStr">
        <is>
          <t>VÄSTRA GÖTALANDS LÄN</t>
        </is>
      </c>
      <c r="E6907" t="inlineStr">
        <is>
          <t>ALINGSÅS</t>
        </is>
      </c>
      <c r="G6907" t="n">
        <v>0.4</v>
      </c>
      <c r="H6907" t="n">
        <v>0</v>
      </c>
      <c r="I6907" t="n">
        <v>0</v>
      </c>
      <c r="J6907" t="n">
        <v>0</v>
      </c>
      <c r="K6907" t="n">
        <v>0</v>
      </c>
      <c r="L6907" t="n">
        <v>0</v>
      </c>
      <c r="M6907" t="n">
        <v>0</v>
      </c>
      <c r="N6907" t="n">
        <v>0</v>
      </c>
      <c r="O6907" t="n">
        <v>0</v>
      </c>
      <c r="P6907" t="n">
        <v>0</v>
      </c>
      <c r="Q6907" t="n">
        <v>0</v>
      </c>
      <c r="R6907" s="2" t="inlineStr"/>
    </row>
    <row r="6908" ht="15" customHeight="1">
      <c r="A6908" t="inlineStr">
        <is>
          <t>A 33764-2021</t>
        </is>
      </c>
      <c r="B6908" s="1" t="n">
        <v>44378</v>
      </c>
      <c r="C6908" s="1" t="n">
        <v>45212</v>
      </c>
      <c r="D6908" t="inlineStr">
        <is>
          <t>VÄSTRA GÖTALANDS LÄN</t>
        </is>
      </c>
      <c r="E6908" t="inlineStr">
        <is>
          <t>ALINGSÅS</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33587-2021</t>
        </is>
      </c>
      <c r="B6909" s="1" t="n">
        <v>44378</v>
      </c>
      <c r="C6909" s="1" t="n">
        <v>45212</v>
      </c>
      <c r="D6909" t="inlineStr">
        <is>
          <t>VÄSTRA GÖTALANDS LÄN</t>
        </is>
      </c>
      <c r="E6909" t="inlineStr">
        <is>
          <t>TROLLHÄTTAN</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33652-2021</t>
        </is>
      </c>
      <c r="B6910" s="1" t="n">
        <v>44378</v>
      </c>
      <c r="C6910" s="1" t="n">
        <v>45212</v>
      </c>
      <c r="D6910" t="inlineStr">
        <is>
          <t>VÄSTRA GÖTALANDS LÄN</t>
        </is>
      </c>
      <c r="E6910" t="inlineStr">
        <is>
          <t>ALINGSÅS</t>
        </is>
      </c>
      <c r="G6910" t="n">
        <v>9</v>
      </c>
      <c r="H6910" t="n">
        <v>0</v>
      </c>
      <c r="I6910" t="n">
        <v>0</v>
      </c>
      <c r="J6910" t="n">
        <v>0</v>
      </c>
      <c r="K6910" t="n">
        <v>0</v>
      </c>
      <c r="L6910" t="n">
        <v>0</v>
      </c>
      <c r="M6910" t="n">
        <v>0</v>
      </c>
      <c r="N6910" t="n">
        <v>0</v>
      </c>
      <c r="O6910" t="n">
        <v>0</v>
      </c>
      <c r="P6910" t="n">
        <v>0</v>
      </c>
      <c r="Q6910" t="n">
        <v>0</v>
      </c>
      <c r="R6910" s="2" t="inlineStr"/>
    </row>
    <row r="6911" ht="15" customHeight="1">
      <c r="A6911" t="inlineStr">
        <is>
          <t>A 33836-2021</t>
        </is>
      </c>
      <c r="B6911" s="1" t="n">
        <v>44378</v>
      </c>
      <c r="C6911" s="1" t="n">
        <v>45212</v>
      </c>
      <c r="D6911" t="inlineStr">
        <is>
          <t>VÄSTRA GÖTALANDS LÄN</t>
        </is>
      </c>
      <c r="E6911" t="inlineStr">
        <is>
          <t>VARA</t>
        </is>
      </c>
      <c r="G6911" t="n">
        <v>6.9</v>
      </c>
      <c r="H6911" t="n">
        <v>0</v>
      </c>
      <c r="I6911" t="n">
        <v>0</v>
      </c>
      <c r="J6911" t="n">
        <v>0</v>
      </c>
      <c r="K6911" t="n">
        <v>0</v>
      </c>
      <c r="L6911" t="n">
        <v>0</v>
      </c>
      <c r="M6911" t="n">
        <v>0</v>
      </c>
      <c r="N6911" t="n">
        <v>0</v>
      </c>
      <c r="O6911" t="n">
        <v>0</v>
      </c>
      <c r="P6911" t="n">
        <v>0</v>
      </c>
      <c r="Q6911" t="n">
        <v>0</v>
      </c>
      <c r="R6911" s="2" t="inlineStr"/>
    </row>
    <row r="6912" ht="15" customHeight="1">
      <c r="A6912" t="inlineStr">
        <is>
          <t>A 33902-2021</t>
        </is>
      </c>
      <c r="B6912" s="1" t="n">
        <v>44378</v>
      </c>
      <c r="C6912" s="1" t="n">
        <v>45212</v>
      </c>
      <c r="D6912" t="inlineStr">
        <is>
          <t>VÄSTRA GÖTALANDS LÄN</t>
        </is>
      </c>
      <c r="E6912" t="inlineStr">
        <is>
          <t>MELLERUD</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34030-2021</t>
        </is>
      </c>
      <c r="B6913" s="1" t="n">
        <v>44378</v>
      </c>
      <c r="C6913" s="1" t="n">
        <v>45212</v>
      </c>
      <c r="D6913" t="inlineStr">
        <is>
          <t>VÄSTRA GÖTALANDS LÄN</t>
        </is>
      </c>
      <c r="E6913" t="inlineStr">
        <is>
          <t>DALS-ED</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33685-2021</t>
        </is>
      </c>
      <c r="B6914" s="1" t="n">
        <v>44378</v>
      </c>
      <c r="C6914" s="1" t="n">
        <v>45212</v>
      </c>
      <c r="D6914" t="inlineStr">
        <is>
          <t>VÄSTRA GÖTALANDS LÄN</t>
        </is>
      </c>
      <c r="E6914" t="inlineStr">
        <is>
          <t>MARK</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33822-2021</t>
        </is>
      </c>
      <c r="B6915" s="1" t="n">
        <v>44378</v>
      </c>
      <c r="C6915" s="1" t="n">
        <v>45212</v>
      </c>
      <c r="D6915" t="inlineStr">
        <is>
          <t>VÄSTRA GÖTALANDS LÄN</t>
        </is>
      </c>
      <c r="E6915" t="inlineStr">
        <is>
          <t>VARA</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33938-2021</t>
        </is>
      </c>
      <c r="B6916" s="1" t="n">
        <v>44378</v>
      </c>
      <c r="C6916" s="1" t="n">
        <v>45212</v>
      </c>
      <c r="D6916" t="inlineStr">
        <is>
          <t>VÄSTRA GÖTALANDS LÄN</t>
        </is>
      </c>
      <c r="E6916" t="inlineStr">
        <is>
          <t>SKARA</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34179-2021</t>
        </is>
      </c>
      <c r="B6917" s="1" t="n">
        <v>44379</v>
      </c>
      <c r="C6917" s="1" t="n">
        <v>45212</v>
      </c>
      <c r="D6917" t="inlineStr">
        <is>
          <t>VÄSTRA GÖTALANDS LÄN</t>
        </is>
      </c>
      <c r="E6917" t="inlineStr">
        <is>
          <t>GULLSPÅNG</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33996-2021</t>
        </is>
      </c>
      <c r="B6918" s="1" t="n">
        <v>44379</v>
      </c>
      <c r="C6918" s="1" t="n">
        <v>45212</v>
      </c>
      <c r="D6918" t="inlineStr">
        <is>
          <t>VÄSTRA GÖTALANDS LÄN</t>
        </is>
      </c>
      <c r="E6918" t="inlineStr">
        <is>
          <t>ESSUNGA</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34092-2021</t>
        </is>
      </c>
      <c r="B6919" s="1" t="n">
        <v>44379</v>
      </c>
      <c r="C6919" s="1" t="n">
        <v>45212</v>
      </c>
      <c r="D6919" t="inlineStr">
        <is>
          <t>VÄSTRA GÖTALANDS LÄN</t>
        </is>
      </c>
      <c r="E6919" t="inlineStr">
        <is>
          <t>BORÅS</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34152-2021</t>
        </is>
      </c>
      <c r="B6920" s="1" t="n">
        <v>44379</v>
      </c>
      <c r="C6920" s="1" t="n">
        <v>45212</v>
      </c>
      <c r="D6920" t="inlineStr">
        <is>
          <t>VÄSTRA GÖTALANDS LÄN</t>
        </is>
      </c>
      <c r="E6920" t="inlineStr">
        <is>
          <t>MARK</t>
        </is>
      </c>
      <c r="G6920" t="n">
        <v>2.7</v>
      </c>
      <c r="H6920" t="n">
        <v>0</v>
      </c>
      <c r="I6920" t="n">
        <v>0</v>
      </c>
      <c r="J6920" t="n">
        <v>0</v>
      </c>
      <c r="K6920" t="n">
        <v>0</v>
      </c>
      <c r="L6920" t="n">
        <v>0</v>
      </c>
      <c r="M6920" t="n">
        <v>0</v>
      </c>
      <c r="N6920" t="n">
        <v>0</v>
      </c>
      <c r="O6920" t="n">
        <v>0</v>
      </c>
      <c r="P6920" t="n">
        <v>0</v>
      </c>
      <c r="Q6920" t="n">
        <v>0</v>
      </c>
      <c r="R6920" s="2" t="inlineStr"/>
    </row>
    <row r="6921" ht="15" customHeight="1">
      <c r="A6921" t="inlineStr">
        <is>
          <t>A 34365-2021</t>
        </is>
      </c>
      <c r="B6921" s="1" t="n">
        <v>44379</v>
      </c>
      <c r="C6921" s="1" t="n">
        <v>45212</v>
      </c>
      <c r="D6921" t="inlineStr">
        <is>
          <t>VÄSTRA GÖTALANDS LÄN</t>
        </is>
      </c>
      <c r="E6921" t="inlineStr">
        <is>
          <t>TROLLHÄTTAN</t>
        </is>
      </c>
      <c r="G6921" t="n">
        <v>5.6</v>
      </c>
      <c r="H6921" t="n">
        <v>0</v>
      </c>
      <c r="I6921" t="n">
        <v>0</v>
      </c>
      <c r="J6921" t="n">
        <v>0</v>
      </c>
      <c r="K6921" t="n">
        <v>0</v>
      </c>
      <c r="L6921" t="n">
        <v>0</v>
      </c>
      <c r="M6921" t="n">
        <v>0</v>
      </c>
      <c r="N6921" t="n">
        <v>0</v>
      </c>
      <c r="O6921" t="n">
        <v>0</v>
      </c>
      <c r="P6921" t="n">
        <v>0</v>
      </c>
      <c r="Q6921" t="n">
        <v>0</v>
      </c>
      <c r="R6921" s="2" t="inlineStr"/>
    </row>
    <row r="6922" ht="15" customHeight="1">
      <c r="A6922" t="inlineStr">
        <is>
          <t>A 34056-2021</t>
        </is>
      </c>
      <c r="B6922" s="1" t="n">
        <v>44379</v>
      </c>
      <c r="C6922" s="1" t="n">
        <v>45212</v>
      </c>
      <c r="D6922" t="inlineStr">
        <is>
          <t>VÄSTRA GÖTALANDS LÄN</t>
        </is>
      </c>
      <c r="E6922" t="inlineStr">
        <is>
          <t>BENGTSFORS</t>
        </is>
      </c>
      <c r="G6922" t="n">
        <v>6.7</v>
      </c>
      <c r="H6922" t="n">
        <v>0</v>
      </c>
      <c r="I6922" t="n">
        <v>0</v>
      </c>
      <c r="J6922" t="n">
        <v>0</v>
      </c>
      <c r="K6922" t="n">
        <v>0</v>
      </c>
      <c r="L6922" t="n">
        <v>0</v>
      </c>
      <c r="M6922" t="n">
        <v>0</v>
      </c>
      <c r="N6922" t="n">
        <v>0</v>
      </c>
      <c r="O6922" t="n">
        <v>0</v>
      </c>
      <c r="P6922" t="n">
        <v>0</v>
      </c>
      <c r="Q6922" t="n">
        <v>0</v>
      </c>
      <c r="R6922" s="2" t="inlineStr"/>
    </row>
    <row r="6923" ht="15" customHeight="1">
      <c r="A6923" t="inlineStr">
        <is>
          <t>A 34149-2021</t>
        </is>
      </c>
      <c r="B6923" s="1" t="n">
        <v>44379</v>
      </c>
      <c r="C6923" s="1" t="n">
        <v>45212</v>
      </c>
      <c r="D6923" t="inlineStr">
        <is>
          <t>VÄSTRA GÖTALANDS LÄN</t>
        </is>
      </c>
      <c r="E6923" t="inlineStr">
        <is>
          <t>TÖREBODA</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34423-2021</t>
        </is>
      </c>
      <c r="B6924" s="1" t="n">
        <v>44380</v>
      </c>
      <c r="C6924" s="1" t="n">
        <v>45212</v>
      </c>
      <c r="D6924" t="inlineStr">
        <is>
          <t>VÄSTRA GÖTALANDS LÄN</t>
        </is>
      </c>
      <c r="E6924" t="inlineStr">
        <is>
          <t>HERRLJUNGA</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34422-2021</t>
        </is>
      </c>
      <c r="B6925" s="1" t="n">
        <v>44380</v>
      </c>
      <c r="C6925" s="1" t="n">
        <v>45212</v>
      </c>
      <c r="D6925" t="inlineStr">
        <is>
          <t>VÄSTRA GÖTALANDS LÄN</t>
        </is>
      </c>
      <c r="E6925" t="inlineStr">
        <is>
          <t>HERRLJUNGA</t>
        </is>
      </c>
      <c r="G6925" t="n">
        <v>4</v>
      </c>
      <c r="H6925" t="n">
        <v>0</v>
      </c>
      <c r="I6925" t="n">
        <v>0</v>
      </c>
      <c r="J6925" t="n">
        <v>0</v>
      </c>
      <c r="K6925" t="n">
        <v>0</v>
      </c>
      <c r="L6925" t="n">
        <v>0</v>
      </c>
      <c r="M6925" t="n">
        <v>0</v>
      </c>
      <c r="N6925" t="n">
        <v>0</v>
      </c>
      <c r="O6925" t="n">
        <v>0</v>
      </c>
      <c r="P6925" t="n">
        <v>0</v>
      </c>
      <c r="Q6925" t="n">
        <v>0</v>
      </c>
      <c r="R6925" s="2" t="inlineStr"/>
    </row>
    <row r="6926" ht="15" customHeight="1">
      <c r="A6926" t="inlineStr">
        <is>
          <t>A 34573-2021</t>
        </is>
      </c>
      <c r="B6926" s="1" t="n">
        <v>44382</v>
      </c>
      <c r="C6926" s="1" t="n">
        <v>45212</v>
      </c>
      <c r="D6926" t="inlineStr">
        <is>
          <t>VÄSTRA GÖTALANDS LÄN</t>
        </is>
      </c>
      <c r="E6926" t="inlineStr">
        <is>
          <t>TIDAHOLM</t>
        </is>
      </c>
      <c r="G6926" t="n">
        <v>1</v>
      </c>
      <c r="H6926" t="n">
        <v>0</v>
      </c>
      <c r="I6926" t="n">
        <v>0</v>
      </c>
      <c r="J6926" t="n">
        <v>0</v>
      </c>
      <c r="K6926" t="n">
        <v>0</v>
      </c>
      <c r="L6926" t="n">
        <v>0</v>
      </c>
      <c r="M6926" t="n">
        <v>0</v>
      </c>
      <c r="N6926" t="n">
        <v>0</v>
      </c>
      <c r="O6926" t="n">
        <v>0</v>
      </c>
      <c r="P6926" t="n">
        <v>0</v>
      </c>
      <c r="Q6926" t="n">
        <v>0</v>
      </c>
      <c r="R6926" s="2" t="inlineStr"/>
    </row>
    <row r="6927" ht="15" customHeight="1">
      <c r="A6927" t="inlineStr">
        <is>
          <t>A 34584-2021</t>
        </is>
      </c>
      <c r="B6927" s="1" t="n">
        <v>44382</v>
      </c>
      <c r="C6927" s="1" t="n">
        <v>45212</v>
      </c>
      <c r="D6927" t="inlineStr">
        <is>
          <t>VÄSTRA GÖTALANDS LÄN</t>
        </is>
      </c>
      <c r="E6927" t="inlineStr">
        <is>
          <t>UDDEVALLA</t>
        </is>
      </c>
      <c r="G6927" t="n">
        <v>0.8</v>
      </c>
      <c r="H6927" t="n">
        <v>0</v>
      </c>
      <c r="I6927" t="n">
        <v>0</v>
      </c>
      <c r="J6927" t="n">
        <v>0</v>
      </c>
      <c r="K6927" t="n">
        <v>0</v>
      </c>
      <c r="L6927" t="n">
        <v>0</v>
      </c>
      <c r="M6927" t="n">
        <v>0</v>
      </c>
      <c r="N6927" t="n">
        <v>0</v>
      </c>
      <c r="O6927" t="n">
        <v>0</v>
      </c>
      <c r="P6927" t="n">
        <v>0</v>
      </c>
      <c r="Q6927" t="n">
        <v>0</v>
      </c>
      <c r="R6927" s="2" t="inlineStr"/>
    </row>
    <row r="6928" ht="15" customHeight="1">
      <c r="A6928" t="inlineStr">
        <is>
          <t>A 34592-2021</t>
        </is>
      </c>
      <c r="B6928" s="1" t="n">
        <v>44382</v>
      </c>
      <c r="C6928" s="1" t="n">
        <v>45212</v>
      </c>
      <c r="D6928" t="inlineStr">
        <is>
          <t>VÄSTRA GÖTALANDS LÄN</t>
        </is>
      </c>
      <c r="E6928" t="inlineStr">
        <is>
          <t>VÄNERSBORG</t>
        </is>
      </c>
      <c r="F6928" t="inlineStr">
        <is>
          <t>Sveaskog</t>
        </is>
      </c>
      <c r="G6928" t="n">
        <v>12.5</v>
      </c>
      <c r="H6928" t="n">
        <v>0</v>
      </c>
      <c r="I6928" t="n">
        <v>0</v>
      </c>
      <c r="J6928" t="n">
        <v>0</v>
      </c>
      <c r="K6928" t="n">
        <v>0</v>
      </c>
      <c r="L6928" t="n">
        <v>0</v>
      </c>
      <c r="M6928" t="n">
        <v>0</v>
      </c>
      <c r="N6928" t="n">
        <v>0</v>
      </c>
      <c r="O6928" t="n">
        <v>0</v>
      </c>
      <c r="P6928" t="n">
        <v>0</v>
      </c>
      <c r="Q6928" t="n">
        <v>0</v>
      </c>
      <c r="R6928" s="2" t="inlineStr"/>
    </row>
    <row r="6929" ht="15" customHeight="1">
      <c r="A6929" t="inlineStr">
        <is>
          <t>A 34760-2021</t>
        </is>
      </c>
      <c r="B6929" s="1" t="n">
        <v>44382</v>
      </c>
      <c r="C6929" s="1" t="n">
        <v>45212</v>
      </c>
      <c r="D6929" t="inlineStr">
        <is>
          <t>VÄSTRA GÖTALANDS LÄN</t>
        </is>
      </c>
      <c r="E6929" t="inlineStr">
        <is>
          <t>DALS-ED</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34575-2021</t>
        </is>
      </c>
      <c r="B6930" s="1" t="n">
        <v>44382</v>
      </c>
      <c r="C6930" s="1" t="n">
        <v>45212</v>
      </c>
      <c r="D6930" t="inlineStr">
        <is>
          <t>VÄSTRA GÖTALANDS LÄN</t>
        </is>
      </c>
      <c r="E6930" t="inlineStr">
        <is>
          <t>TIDAHOLM</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34588-2021</t>
        </is>
      </c>
      <c r="B6931" s="1" t="n">
        <v>44382</v>
      </c>
      <c r="C6931" s="1" t="n">
        <v>45212</v>
      </c>
      <c r="D6931" t="inlineStr">
        <is>
          <t>VÄSTRA GÖTALANDS LÄN</t>
        </is>
      </c>
      <c r="E6931" t="inlineStr">
        <is>
          <t>TIDAHOLM</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34593-2021</t>
        </is>
      </c>
      <c r="B6932" s="1" t="n">
        <v>44382</v>
      </c>
      <c r="C6932" s="1" t="n">
        <v>45212</v>
      </c>
      <c r="D6932" t="inlineStr">
        <is>
          <t>VÄSTRA GÖTALANDS LÄN</t>
        </is>
      </c>
      <c r="E6932" t="inlineStr">
        <is>
          <t>VÄNERSBORG</t>
        </is>
      </c>
      <c r="F6932" t="inlineStr">
        <is>
          <t>Sveaskog</t>
        </is>
      </c>
      <c r="G6932" t="n">
        <v>6.4</v>
      </c>
      <c r="H6932" t="n">
        <v>0</v>
      </c>
      <c r="I6932" t="n">
        <v>0</v>
      </c>
      <c r="J6932" t="n">
        <v>0</v>
      </c>
      <c r="K6932" t="n">
        <v>0</v>
      </c>
      <c r="L6932" t="n">
        <v>0</v>
      </c>
      <c r="M6932" t="n">
        <v>0</v>
      </c>
      <c r="N6932" t="n">
        <v>0</v>
      </c>
      <c r="O6932" t="n">
        <v>0</v>
      </c>
      <c r="P6932" t="n">
        <v>0</v>
      </c>
      <c r="Q6932" t="n">
        <v>0</v>
      </c>
      <c r="R6932" s="2" t="inlineStr"/>
    </row>
    <row r="6933" ht="15" customHeight="1">
      <c r="A6933" t="inlineStr">
        <is>
          <t>A 34656-2021</t>
        </is>
      </c>
      <c r="B6933" s="1" t="n">
        <v>44382</v>
      </c>
      <c r="C6933" s="1" t="n">
        <v>45212</v>
      </c>
      <c r="D6933" t="inlineStr">
        <is>
          <t>VÄSTRA GÖTALANDS LÄN</t>
        </is>
      </c>
      <c r="E6933" t="inlineStr">
        <is>
          <t>SKARA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34906-2021</t>
        </is>
      </c>
      <c r="B6934" s="1" t="n">
        <v>44382</v>
      </c>
      <c r="C6934" s="1" t="n">
        <v>45212</v>
      </c>
      <c r="D6934" t="inlineStr">
        <is>
          <t>VÄSTRA GÖTALANDS LÄN</t>
        </is>
      </c>
      <c r="E6934" t="inlineStr">
        <is>
          <t>BENGTSFORS</t>
        </is>
      </c>
      <c r="F6934" t="inlineStr">
        <is>
          <t>Kyrkan</t>
        </is>
      </c>
      <c r="G6934" t="n">
        <v>5.3</v>
      </c>
      <c r="H6934" t="n">
        <v>0</v>
      </c>
      <c r="I6934" t="n">
        <v>0</v>
      </c>
      <c r="J6934" t="n">
        <v>0</v>
      </c>
      <c r="K6934" t="n">
        <v>0</v>
      </c>
      <c r="L6934" t="n">
        <v>0</v>
      </c>
      <c r="M6934" t="n">
        <v>0</v>
      </c>
      <c r="N6934" t="n">
        <v>0</v>
      </c>
      <c r="O6934" t="n">
        <v>0</v>
      </c>
      <c r="P6934" t="n">
        <v>0</v>
      </c>
      <c r="Q6934" t="n">
        <v>0</v>
      </c>
      <c r="R6934" s="2" t="inlineStr"/>
    </row>
    <row r="6935" ht="15" customHeight="1">
      <c r="A6935" t="inlineStr">
        <is>
          <t>A 34579-2021</t>
        </is>
      </c>
      <c r="B6935" s="1" t="n">
        <v>44382</v>
      </c>
      <c r="C6935" s="1" t="n">
        <v>45212</v>
      </c>
      <c r="D6935" t="inlineStr">
        <is>
          <t>VÄSTRA GÖTALANDS LÄN</t>
        </is>
      </c>
      <c r="E6935" t="inlineStr">
        <is>
          <t>TIDAHOLM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34595-2021</t>
        </is>
      </c>
      <c r="B6936" s="1" t="n">
        <v>44382</v>
      </c>
      <c r="C6936" s="1" t="n">
        <v>45212</v>
      </c>
      <c r="D6936" t="inlineStr">
        <is>
          <t>VÄSTRA GÖTALANDS LÄN</t>
        </is>
      </c>
      <c r="E6936" t="inlineStr">
        <is>
          <t>VÄNERSBORG</t>
        </is>
      </c>
      <c r="F6936" t="inlineStr">
        <is>
          <t>Sveaskog</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34611-2021</t>
        </is>
      </c>
      <c r="B6937" s="1" t="n">
        <v>44382</v>
      </c>
      <c r="C6937" s="1" t="n">
        <v>45212</v>
      </c>
      <c r="D6937" t="inlineStr">
        <is>
          <t>VÄSTRA GÖTALANDS LÄN</t>
        </is>
      </c>
      <c r="E6937" t="inlineStr">
        <is>
          <t>VÄNERSBORG</t>
        </is>
      </c>
      <c r="F6937" t="inlineStr">
        <is>
          <t>Sveaskog</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34658-2021</t>
        </is>
      </c>
      <c r="B6938" s="1" t="n">
        <v>44382</v>
      </c>
      <c r="C6938" s="1" t="n">
        <v>45212</v>
      </c>
      <c r="D6938" t="inlineStr">
        <is>
          <t>VÄSTRA GÖTALANDS LÄN</t>
        </is>
      </c>
      <c r="E6938" t="inlineStr">
        <is>
          <t>SKARA</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34546-2021</t>
        </is>
      </c>
      <c r="B6939" s="1" t="n">
        <v>44382</v>
      </c>
      <c r="C6939" s="1" t="n">
        <v>45212</v>
      </c>
      <c r="D6939" t="inlineStr">
        <is>
          <t>VÄSTRA GÖTALANDS LÄN</t>
        </is>
      </c>
      <c r="E6939" t="inlineStr">
        <is>
          <t>VÅRGÅRDA</t>
        </is>
      </c>
      <c r="G6939" t="n">
        <v>6.1</v>
      </c>
      <c r="H6939" t="n">
        <v>0</v>
      </c>
      <c r="I6939" t="n">
        <v>0</v>
      </c>
      <c r="J6939" t="n">
        <v>0</v>
      </c>
      <c r="K6939" t="n">
        <v>0</v>
      </c>
      <c r="L6939" t="n">
        <v>0</v>
      </c>
      <c r="M6939" t="n">
        <v>0</v>
      </c>
      <c r="N6939" t="n">
        <v>0</v>
      </c>
      <c r="O6939" t="n">
        <v>0</v>
      </c>
      <c r="P6939" t="n">
        <v>0</v>
      </c>
      <c r="Q6939" t="n">
        <v>0</v>
      </c>
      <c r="R6939" s="2" t="inlineStr"/>
    </row>
    <row r="6940" ht="15" customHeight="1">
      <c r="A6940" t="inlineStr">
        <is>
          <t>A 34582-2021</t>
        </is>
      </c>
      <c r="B6940" s="1" t="n">
        <v>44382</v>
      </c>
      <c r="C6940" s="1" t="n">
        <v>45212</v>
      </c>
      <c r="D6940" t="inlineStr">
        <is>
          <t>VÄSTRA GÖTALANDS LÄN</t>
        </is>
      </c>
      <c r="E6940" t="inlineStr">
        <is>
          <t>TIDAHOLM</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34598-2021</t>
        </is>
      </c>
      <c r="B6941" s="1" t="n">
        <v>44382</v>
      </c>
      <c r="C6941" s="1" t="n">
        <v>45212</v>
      </c>
      <c r="D6941" t="inlineStr">
        <is>
          <t>VÄSTRA GÖTALANDS LÄN</t>
        </is>
      </c>
      <c r="E6941" t="inlineStr">
        <is>
          <t>VÄNERSBORG</t>
        </is>
      </c>
      <c r="F6941" t="inlineStr">
        <is>
          <t>Sveaskog</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34613-2021</t>
        </is>
      </c>
      <c r="B6942" s="1" t="n">
        <v>44382</v>
      </c>
      <c r="C6942" s="1" t="n">
        <v>45212</v>
      </c>
      <c r="D6942" t="inlineStr">
        <is>
          <t>VÄSTRA GÖTALANDS LÄN</t>
        </is>
      </c>
      <c r="E6942" t="inlineStr">
        <is>
          <t>VÄNERSBORG</t>
        </is>
      </c>
      <c r="F6942" t="inlineStr">
        <is>
          <t>Sveaskog</t>
        </is>
      </c>
      <c r="G6942" t="n">
        <v>3.8</v>
      </c>
      <c r="H6942" t="n">
        <v>0</v>
      </c>
      <c r="I6942" t="n">
        <v>0</v>
      </c>
      <c r="J6942" t="n">
        <v>0</v>
      </c>
      <c r="K6942" t="n">
        <v>0</v>
      </c>
      <c r="L6942" t="n">
        <v>0</v>
      </c>
      <c r="M6942" t="n">
        <v>0</v>
      </c>
      <c r="N6942" t="n">
        <v>0</v>
      </c>
      <c r="O6942" t="n">
        <v>0</v>
      </c>
      <c r="P6942" t="n">
        <v>0</v>
      </c>
      <c r="Q6942" t="n">
        <v>0</v>
      </c>
      <c r="R6942" s="2" t="inlineStr"/>
    </row>
    <row r="6943" ht="15" customHeight="1">
      <c r="A6943" t="inlineStr">
        <is>
          <t>A 34759-2021</t>
        </is>
      </c>
      <c r="B6943" s="1" t="n">
        <v>44382</v>
      </c>
      <c r="C6943" s="1" t="n">
        <v>45212</v>
      </c>
      <c r="D6943" t="inlineStr">
        <is>
          <t>VÄSTRA GÖTALANDS LÄN</t>
        </is>
      </c>
      <c r="E6943" t="inlineStr">
        <is>
          <t>TANUM</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35089-2021</t>
        </is>
      </c>
      <c r="B6944" s="1" t="n">
        <v>44383</v>
      </c>
      <c r="C6944" s="1" t="n">
        <v>45212</v>
      </c>
      <c r="D6944" t="inlineStr">
        <is>
          <t>VÄSTRA GÖTALANDS LÄN</t>
        </is>
      </c>
      <c r="E6944" t="inlineStr">
        <is>
          <t>BOLLEBYGD</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35204-2021</t>
        </is>
      </c>
      <c r="B6945" s="1" t="n">
        <v>44383</v>
      </c>
      <c r="C6945" s="1" t="n">
        <v>45212</v>
      </c>
      <c r="D6945" t="inlineStr">
        <is>
          <t>VÄSTRA GÖTALANDS LÄN</t>
        </is>
      </c>
      <c r="E6945" t="inlineStr">
        <is>
          <t>FÄRGELANDA</t>
        </is>
      </c>
      <c r="G6945" t="n">
        <v>0.3</v>
      </c>
      <c r="H6945" t="n">
        <v>0</v>
      </c>
      <c r="I6945" t="n">
        <v>0</v>
      </c>
      <c r="J6945" t="n">
        <v>0</v>
      </c>
      <c r="K6945" t="n">
        <v>0</v>
      </c>
      <c r="L6945" t="n">
        <v>0</v>
      </c>
      <c r="M6945" t="n">
        <v>0</v>
      </c>
      <c r="N6945" t="n">
        <v>0</v>
      </c>
      <c r="O6945" t="n">
        <v>0</v>
      </c>
      <c r="P6945" t="n">
        <v>0</v>
      </c>
      <c r="Q6945" t="n">
        <v>0</v>
      </c>
      <c r="R6945" s="2" t="inlineStr"/>
    </row>
    <row r="6946" ht="15" customHeight="1">
      <c r="A6946" t="inlineStr">
        <is>
          <t>A 34864-2021</t>
        </is>
      </c>
      <c r="B6946" s="1" t="n">
        <v>44383</v>
      </c>
      <c r="C6946" s="1" t="n">
        <v>45212</v>
      </c>
      <c r="D6946" t="inlineStr">
        <is>
          <t>VÄSTRA GÖTALANDS LÄN</t>
        </is>
      </c>
      <c r="E6946" t="inlineStr">
        <is>
          <t>MARIESTAD</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35029-2021</t>
        </is>
      </c>
      <c r="B6947" s="1" t="n">
        <v>44383</v>
      </c>
      <c r="C6947" s="1" t="n">
        <v>45212</v>
      </c>
      <c r="D6947" t="inlineStr">
        <is>
          <t>VÄSTRA GÖTALANDS LÄN</t>
        </is>
      </c>
      <c r="E6947" t="inlineStr">
        <is>
          <t>TIDAHOLM</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35372-2021</t>
        </is>
      </c>
      <c r="B6948" s="1" t="n">
        <v>44384</v>
      </c>
      <c r="C6948" s="1" t="n">
        <v>45212</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35148-2021</t>
        </is>
      </c>
      <c r="B6949" s="1" t="n">
        <v>44384</v>
      </c>
      <c r="C6949" s="1" t="n">
        <v>45212</v>
      </c>
      <c r="D6949" t="inlineStr">
        <is>
          <t>VÄSTRA GÖTALANDS LÄN</t>
        </is>
      </c>
      <c r="E6949" t="inlineStr">
        <is>
          <t>ALE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35680-2021</t>
        </is>
      </c>
      <c r="B6950" s="1" t="n">
        <v>44385</v>
      </c>
      <c r="C6950" s="1" t="n">
        <v>45212</v>
      </c>
      <c r="D6950" t="inlineStr">
        <is>
          <t>VÄSTRA GÖTALANDS LÄN</t>
        </is>
      </c>
      <c r="E6950" t="inlineStr">
        <is>
          <t>BORÅS</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35753-2021</t>
        </is>
      </c>
      <c r="B6951" s="1" t="n">
        <v>44385</v>
      </c>
      <c r="C6951" s="1" t="n">
        <v>45212</v>
      </c>
      <c r="D6951" t="inlineStr">
        <is>
          <t>VÄSTRA GÖTALANDS LÄN</t>
        </is>
      </c>
      <c r="E6951" t="inlineStr">
        <is>
          <t>BENGTSFORS</t>
        </is>
      </c>
      <c r="F6951" t="inlineStr">
        <is>
          <t>Kyrkan</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35961-2021</t>
        </is>
      </c>
      <c r="B6952" s="1" t="n">
        <v>44385</v>
      </c>
      <c r="C6952" s="1" t="n">
        <v>45212</v>
      </c>
      <c r="D6952" t="inlineStr">
        <is>
          <t>VÄSTRA GÖTALANDS LÄN</t>
        </is>
      </c>
      <c r="E6952" t="inlineStr">
        <is>
          <t>TROLLHÄTTAN</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36006-2021</t>
        </is>
      </c>
      <c r="B6953" s="1" t="n">
        <v>44385</v>
      </c>
      <c r="C6953" s="1" t="n">
        <v>45212</v>
      </c>
      <c r="D6953" t="inlineStr">
        <is>
          <t>VÄSTRA GÖTALANDS LÄN</t>
        </is>
      </c>
      <c r="E6953" t="inlineStr">
        <is>
          <t>SKÖVDE</t>
        </is>
      </c>
      <c r="F6953" t="inlineStr">
        <is>
          <t>Kommuner</t>
        </is>
      </c>
      <c r="G6953" t="n">
        <v>2.2</v>
      </c>
      <c r="H6953" t="n">
        <v>0</v>
      </c>
      <c r="I6953" t="n">
        <v>0</v>
      </c>
      <c r="J6953" t="n">
        <v>0</v>
      </c>
      <c r="K6953" t="n">
        <v>0</v>
      </c>
      <c r="L6953" t="n">
        <v>0</v>
      </c>
      <c r="M6953" t="n">
        <v>0</v>
      </c>
      <c r="N6953" t="n">
        <v>0</v>
      </c>
      <c r="O6953" t="n">
        <v>0</v>
      </c>
      <c r="P6953" t="n">
        <v>0</v>
      </c>
      <c r="Q6953" t="n">
        <v>0</v>
      </c>
      <c r="R6953" s="2" t="inlineStr"/>
    </row>
    <row r="6954" ht="15" customHeight="1">
      <c r="A6954" t="inlineStr">
        <is>
          <t>A 35539-2021</t>
        </is>
      </c>
      <c r="B6954" s="1" t="n">
        <v>44385</v>
      </c>
      <c r="C6954" s="1" t="n">
        <v>45212</v>
      </c>
      <c r="D6954" t="inlineStr">
        <is>
          <t>VÄSTRA GÖTALANDS LÄN</t>
        </is>
      </c>
      <c r="E6954" t="inlineStr">
        <is>
          <t>FÄRGELANDA</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35684-2021</t>
        </is>
      </c>
      <c r="B6955" s="1" t="n">
        <v>44385</v>
      </c>
      <c r="C6955" s="1" t="n">
        <v>45212</v>
      </c>
      <c r="D6955" t="inlineStr">
        <is>
          <t>VÄSTRA GÖTALANDS LÄN</t>
        </is>
      </c>
      <c r="E6955" t="inlineStr">
        <is>
          <t>MARK</t>
        </is>
      </c>
      <c r="G6955" t="n">
        <v>3.5</v>
      </c>
      <c r="H6955" t="n">
        <v>0</v>
      </c>
      <c r="I6955" t="n">
        <v>0</v>
      </c>
      <c r="J6955" t="n">
        <v>0</v>
      </c>
      <c r="K6955" t="n">
        <v>0</v>
      </c>
      <c r="L6955" t="n">
        <v>0</v>
      </c>
      <c r="M6955" t="n">
        <v>0</v>
      </c>
      <c r="N6955" t="n">
        <v>0</v>
      </c>
      <c r="O6955" t="n">
        <v>0</v>
      </c>
      <c r="P6955" t="n">
        <v>0</v>
      </c>
      <c r="Q6955" t="n">
        <v>0</v>
      </c>
      <c r="R6955" s="2" t="inlineStr"/>
    </row>
    <row r="6956" ht="15" customHeight="1">
      <c r="A6956" t="inlineStr">
        <is>
          <t>A 35768-2021</t>
        </is>
      </c>
      <c r="B6956" s="1" t="n">
        <v>44386</v>
      </c>
      <c r="C6956" s="1" t="n">
        <v>45212</v>
      </c>
      <c r="D6956" t="inlineStr">
        <is>
          <t>VÄSTRA GÖTALANDS LÄN</t>
        </is>
      </c>
      <c r="E6956" t="inlineStr">
        <is>
          <t>SKARA</t>
        </is>
      </c>
      <c r="G6956" t="n">
        <v>1.1</v>
      </c>
      <c r="H6956" t="n">
        <v>0</v>
      </c>
      <c r="I6956" t="n">
        <v>0</v>
      </c>
      <c r="J6956" t="n">
        <v>0</v>
      </c>
      <c r="K6956" t="n">
        <v>0</v>
      </c>
      <c r="L6956" t="n">
        <v>0</v>
      </c>
      <c r="M6956" t="n">
        <v>0</v>
      </c>
      <c r="N6956" t="n">
        <v>0</v>
      </c>
      <c r="O6956" t="n">
        <v>0</v>
      </c>
      <c r="P6956" t="n">
        <v>0</v>
      </c>
      <c r="Q6956" t="n">
        <v>0</v>
      </c>
      <c r="R6956" s="2" t="inlineStr"/>
    </row>
    <row r="6957" ht="15" customHeight="1">
      <c r="A6957" t="inlineStr">
        <is>
          <t>A 35673-2021</t>
        </is>
      </c>
      <c r="B6957" s="1" t="n">
        <v>44386</v>
      </c>
      <c r="C6957" s="1" t="n">
        <v>45212</v>
      </c>
      <c r="D6957" t="inlineStr">
        <is>
          <t>VÄSTRA GÖTALANDS LÄN</t>
        </is>
      </c>
      <c r="E6957" t="inlineStr">
        <is>
          <t>GULLSPÅNG</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35765-2021</t>
        </is>
      </c>
      <c r="B6958" s="1" t="n">
        <v>44386</v>
      </c>
      <c r="C6958" s="1" t="n">
        <v>45212</v>
      </c>
      <c r="D6958" t="inlineStr">
        <is>
          <t>VÄSTRA GÖTALANDS LÄN</t>
        </is>
      </c>
      <c r="E6958" t="inlineStr">
        <is>
          <t>SKARA</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35810-2021</t>
        </is>
      </c>
      <c r="B6959" s="1" t="n">
        <v>44386</v>
      </c>
      <c r="C6959" s="1" t="n">
        <v>45212</v>
      </c>
      <c r="D6959" t="inlineStr">
        <is>
          <t>VÄSTRA GÖTALANDS LÄN</t>
        </is>
      </c>
      <c r="E6959" t="inlineStr">
        <is>
          <t>ORUST</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36038-2021</t>
        </is>
      </c>
      <c r="B6960" s="1" t="n">
        <v>44386</v>
      </c>
      <c r="C6960" s="1" t="n">
        <v>45212</v>
      </c>
      <c r="D6960" t="inlineStr">
        <is>
          <t>VÄSTRA GÖTALANDS LÄN</t>
        </is>
      </c>
      <c r="E6960" t="inlineStr">
        <is>
          <t>MARIESTAD</t>
        </is>
      </c>
      <c r="G6960" t="n">
        <v>5.1</v>
      </c>
      <c r="H6960" t="n">
        <v>0</v>
      </c>
      <c r="I6960" t="n">
        <v>0</v>
      </c>
      <c r="J6960" t="n">
        <v>0</v>
      </c>
      <c r="K6960" t="n">
        <v>0</v>
      </c>
      <c r="L6960" t="n">
        <v>0</v>
      </c>
      <c r="M6960" t="n">
        <v>0</v>
      </c>
      <c r="N6960" t="n">
        <v>0</v>
      </c>
      <c r="O6960" t="n">
        <v>0</v>
      </c>
      <c r="P6960" t="n">
        <v>0</v>
      </c>
      <c r="Q6960" t="n">
        <v>0</v>
      </c>
      <c r="R6960" s="2" t="inlineStr"/>
    </row>
    <row r="6961" ht="15" customHeight="1">
      <c r="A6961" t="inlineStr">
        <is>
          <t>A 35672-2021</t>
        </is>
      </c>
      <c r="B6961" s="1" t="n">
        <v>44386</v>
      </c>
      <c r="C6961" s="1" t="n">
        <v>45212</v>
      </c>
      <c r="D6961" t="inlineStr">
        <is>
          <t>VÄSTRA GÖTALANDS LÄN</t>
        </is>
      </c>
      <c r="E6961" t="inlineStr">
        <is>
          <t>GULLSPÅNG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35776-2021</t>
        </is>
      </c>
      <c r="B6962" s="1" t="n">
        <v>44386</v>
      </c>
      <c r="C6962" s="1" t="n">
        <v>45212</v>
      </c>
      <c r="D6962" t="inlineStr">
        <is>
          <t>VÄSTRA GÖTALANDS LÄN</t>
        </is>
      </c>
      <c r="E6962" t="inlineStr">
        <is>
          <t>SKÖVDE</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36032-2021</t>
        </is>
      </c>
      <c r="B6963" s="1" t="n">
        <v>44386</v>
      </c>
      <c r="C6963" s="1" t="n">
        <v>45212</v>
      </c>
      <c r="D6963" t="inlineStr">
        <is>
          <t>VÄSTRA GÖTALANDS LÄN</t>
        </is>
      </c>
      <c r="E6963" t="inlineStr">
        <is>
          <t>MARIESTAD</t>
        </is>
      </c>
      <c r="G6963" t="n">
        <v>12.5</v>
      </c>
      <c r="H6963" t="n">
        <v>0</v>
      </c>
      <c r="I6963" t="n">
        <v>0</v>
      </c>
      <c r="J6963" t="n">
        <v>0</v>
      </c>
      <c r="K6963" t="n">
        <v>0</v>
      </c>
      <c r="L6963" t="n">
        <v>0</v>
      </c>
      <c r="M6963" t="n">
        <v>0</v>
      </c>
      <c r="N6963" t="n">
        <v>0</v>
      </c>
      <c r="O6963" t="n">
        <v>0</v>
      </c>
      <c r="P6963" t="n">
        <v>0</v>
      </c>
      <c r="Q6963" t="n">
        <v>0</v>
      </c>
      <c r="R6963" s="2" t="inlineStr"/>
    </row>
    <row r="6964" ht="15" customHeight="1">
      <c r="A6964" t="inlineStr">
        <is>
          <t>A 35771-2021</t>
        </is>
      </c>
      <c r="B6964" s="1" t="n">
        <v>44386</v>
      </c>
      <c r="C6964" s="1" t="n">
        <v>45212</v>
      </c>
      <c r="D6964" t="inlineStr">
        <is>
          <t>VÄSTRA GÖTALANDS LÄN</t>
        </is>
      </c>
      <c r="E6964" t="inlineStr">
        <is>
          <t>HJO</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36167-2021</t>
        </is>
      </c>
      <c r="B6965" s="1" t="n">
        <v>44386</v>
      </c>
      <c r="C6965" s="1" t="n">
        <v>45212</v>
      </c>
      <c r="D6965" t="inlineStr">
        <is>
          <t>VÄSTRA GÖTALANDS LÄN</t>
        </is>
      </c>
      <c r="E6965" t="inlineStr">
        <is>
          <t>DALS-ED</t>
        </is>
      </c>
      <c r="F6965" t="inlineStr">
        <is>
          <t>Kyrkan</t>
        </is>
      </c>
      <c r="G6965" t="n">
        <v>5.4</v>
      </c>
      <c r="H6965" t="n">
        <v>0</v>
      </c>
      <c r="I6965" t="n">
        <v>0</v>
      </c>
      <c r="J6965" t="n">
        <v>0</v>
      </c>
      <c r="K6965" t="n">
        <v>0</v>
      </c>
      <c r="L6965" t="n">
        <v>0</v>
      </c>
      <c r="M6965" t="n">
        <v>0</v>
      </c>
      <c r="N6965" t="n">
        <v>0</v>
      </c>
      <c r="O6965" t="n">
        <v>0</v>
      </c>
      <c r="P6965" t="n">
        <v>0</v>
      </c>
      <c r="Q6965" t="n">
        <v>0</v>
      </c>
      <c r="R6965" s="2" t="inlineStr"/>
    </row>
    <row r="6966" ht="15" customHeight="1">
      <c r="A6966" t="inlineStr">
        <is>
          <t>A 35897-2021</t>
        </is>
      </c>
      <c r="B6966" s="1" t="n">
        <v>44387</v>
      </c>
      <c r="C6966" s="1" t="n">
        <v>45212</v>
      </c>
      <c r="D6966" t="inlineStr">
        <is>
          <t>VÄSTRA GÖTALANDS LÄN</t>
        </is>
      </c>
      <c r="E6966" t="inlineStr">
        <is>
          <t>FÄRGELANDA</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36158-2021</t>
        </is>
      </c>
      <c r="B6967" s="1" t="n">
        <v>44387</v>
      </c>
      <c r="C6967" s="1" t="n">
        <v>45212</v>
      </c>
      <c r="D6967" t="inlineStr">
        <is>
          <t>VÄSTRA GÖTALANDS LÄN</t>
        </is>
      </c>
      <c r="E6967" t="inlineStr">
        <is>
          <t>TIDAHOLM</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35948-2021</t>
        </is>
      </c>
      <c r="B6968" s="1" t="n">
        <v>44388</v>
      </c>
      <c r="C6968" s="1" t="n">
        <v>45212</v>
      </c>
      <c r="D6968" t="inlineStr">
        <is>
          <t>VÄSTRA GÖTALANDS LÄN</t>
        </is>
      </c>
      <c r="E6968" t="inlineStr">
        <is>
          <t>DALS-ED</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36096-2021</t>
        </is>
      </c>
      <c r="B6969" s="1" t="n">
        <v>44389</v>
      </c>
      <c r="C6969" s="1" t="n">
        <v>45212</v>
      </c>
      <c r="D6969" t="inlineStr">
        <is>
          <t>VÄSTRA GÖTALANDS LÄN</t>
        </is>
      </c>
      <c r="E6969" t="inlineStr">
        <is>
          <t>MELLERUD</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36106-2021</t>
        </is>
      </c>
      <c r="B6970" s="1" t="n">
        <v>44389</v>
      </c>
      <c r="C6970" s="1" t="n">
        <v>45212</v>
      </c>
      <c r="D6970" t="inlineStr">
        <is>
          <t>VÄSTRA GÖTALANDS LÄN</t>
        </is>
      </c>
      <c r="E6970" t="inlineStr">
        <is>
          <t>ALINGSÅS</t>
        </is>
      </c>
      <c r="F6970" t="inlineStr">
        <is>
          <t>Allmännings- och besparingsskogar</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36164-2021</t>
        </is>
      </c>
      <c r="B6971" s="1" t="n">
        <v>44389</v>
      </c>
      <c r="C6971" s="1" t="n">
        <v>45212</v>
      </c>
      <c r="D6971" t="inlineStr">
        <is>
          <t>VÄSTRA GÖTALANDS LÄN</t>
        </is>
      </c>
      <c r="E6971" t="inlineStr">
        <is>
          <t>MELLERUD</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36120-2021</t>
        </is>
      </c>
      <c r="B6972" s="1" t="n">
        <v>44389</v>
      </c>
      <c r="C6972" s="1" t="n">
        <v>45212</v>
      </c>
      <c r="D6972" t="inlineStr">
        <is>
          <t>VÄSTRA GÖTALANDS LÄN</t>
        </is>
      </c>
      <c r="E6972" t="inlineStr">
        <is>
          <t>ALINGSÅS</t>
        </is>
      </c>
      <c r="F6972" t="inlineStr">
        <is>
          <t>Allmännings- och besparingsskogar</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36224-2021</t>
        </is>
      </c>
      <c r="B6973" s="1" t="n">
        <v>44389</v>
      </c>
      <c r="C6973" s="1" t="n">
        <v>45212</v>
      </c>
      <c r="D6973" t="inlineStr">
        <is>
          <t>VÄSTRA GÖTALANDS LÄN</t>
        </is>
      </c>
      <c r="E6973" t="inlineStr">
        <is>
          <t>BORÅS</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36394-2021</t>
        </is>
      </c>
      <c r="B6974" s="1" t="n">
        <v>44389</v>
      </c>
      <c r="C6974" s="1" t="n">
        <v>45212</v>
      </c>
      <c r="D6974" t="inlineStr">
        <is>
          <t>VÄSTRA GÖTALANDS LÄN</t>
        </is>
      </c>
      <c r="E6974" t="inlineStr">
        <is>
          <t>ALE</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36076-2021</t>
        </is>
      </c>
      <c r="B6975" s="1" t="n">
        <v>44389</v>
      </c>
      <c r="C6975" s="1" t="n">
        <v>45212</v>
      </c>
      <c r="D6975" t="inlineStr">
        <is>
          <t>VÄSTRA GÖTALANDS LÄN</t>
        </is>
      </c>
      <c r="E6975" t="inlineStr">
        <is>
          <t>MELLERUD</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35968-2021</t>
        </is>
      </c>
      <c r="B6976" s="1" t="n">
        <v>44389</v>
      </c>
      <c r="C6976" s="1" t="n">
        <v>45212</v>
      </c>
      <c r="D6976" t="inlineStr">
        <is>
          <t>VÄSTRA GÖTALANDS LÄN</t>
        </is>
      </c>
      <c r="E6976" t="inlineStr">
        <is>
          <t>TANUM</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36075-2021</t>
        </is>
      </c>
      <c r="B6977" s="1" t="n">
        <v>44389</v>
      </c>
      <c r="C6977" s="1" t="n">
        <v>45212</v>
      </c>
      <c r="D6977" t="inlineStr">
        <is>
          <t>VÄSTRA GÖTALANDS LÄN</t>
        </is>
      </c>
      <c r="E6977" t="inlineStr">
        <is>
          <t>MELLERUD</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36299-2021</t>
        </is>
      </c>
      <c r="B6978" s="1" t="n">
        <v>44390</v>
      </c>
      <c r="C6978" s="1" t="n">
        <v>45212</v>
      </c>
      <c r="D6978" t="inlineStr">
        <is>
          <t>VÄSTRA GÖTALANDS LÄN</t>
        </is>
      </c>
      <c r="E6978" t="inlineStr">
        <is>
          <t>TRANEMO</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36495-2021</t>
        </is>
      </c>
      <c r="B6979" s="1" t="n">
        <v>44390</v>
      </c>
      <c r="C6979" s="1" t="n">
        <v>45212</v>
      </c>
      <c r="D6979" t="inlineStr">
        <is>
          <t>VÄSTRA GÖTALANDS LÄN</t>
        </is>
      </c>
      <c r="E6979" t="inlineStr">
        <is>
          <t>TÖREBODA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36623-2021</t>
        </is>
      </c>
      <c r="B6980" s="1" t="n">
        <v>44391</v>
      </c>
      <c r="C6980" s="1" t="n">
        <v>45212</v>
      </c>
      <c r="D6980" t="inlineStr">
        <is>
          <t>VÄSTRA GÖTALANDS LÄN</t>
        </is>
      </c>
      <c r="E6980" t="inlineStr">
        <is>
          <t>ULRICEHAMN</t>
        </is>
      </c>
      <c r="G6980" t="n">
        <v>0.4</v>
      </c>
      <c r="H6980" t="n">
        <v>0</v>
      </c>
      <c r="I6980" t="n">
        <v>0</v>
      </c>
      <c r="J6980" t="n">
        <v>0</v>
      </c>
      <c r="K6980" t="n">
        <v>0</v>
      </c>
      <c r="L6980" t="n">
        <v>0</v>
      </c>
      <c r="M6980" t="n">
        <v>0</v>
      </c>
      <c r="N6980" t="n">
        <v>0</v>
      </c>
      <c r="O6980" t="n">
        <v>0</v>
      </c>
      <c r="P6980" t="n">
        <v>0</v>
      </c>
      <c r="Q6980" t="n">
        <v>0</v>
      </c>
      <c r="R6980" s="2" t="inlineStr"/>
    </row>
    <row r="6981" ht="15" customHeight="1">
      <c r="A6981" t="inlineStr">
        <is>
          <t>A 36511-2021</t>
        </is>
      </c>
      <c r="B6981" s="1" t="n">
        <v>44391</v>
      </c>
      <c r="C6981" s="1" t="n">
        <v>45212</v>
      </c>
      <c r="D6981" t="inlineStr">
        <is>
          <t>VÄSTRA GÖTALANDS LÄN</t>
        </is>
      </c>
      <c r="E6981" t="inlineStr">
        <is>
          <t>TANUM</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36560-2021</t>
        </is>
      </c>
      <c r="B6982" s="1" t="n">
        <v>44391</v>
      </c>
      <c r="C6982" s="1" t="n">
        <v>45212</v>
      </c>
      <c r="D6982" t="inlineStr">
        <is>
          <t>VÄSTRA GÖTALANDS LÄN</t>
        </is>
      </c>
      <c r="E6982" t="inlineStr">
        <is>
          <t>ULRICEHAMN</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36598-2021</t>
        </is>
      </c>
      <c r="B6983" s="1" t="n">
        <v>44391</v>
      </c>
      <c r="C6983" s="1" t="n">
        <v>45212</v>
      </c>
      <c r="D6983" t="inlineStr">
        <is>
          <t>VÄSTRA GÖTALANDS LÄN</t>
        </is>
      </c>
      <c r="E6983" t="inlineStr">
        <is>
          <t>SKÖVDE</t>
        </is>
      </c>
      <c r="G6983" t="n">
        <v>1.8</v>
      </c>
      <c r="H6983" t="n">
        <v>0</v>
      </c>
      <c r="I6983" t="n">
        <v>0</v>
      </c>
      <c r="J6983" t="n">
        <v>0</v>
      </c>
      <c r="K6983" t="n">
        <v>0</v>
      </c>
      <c r="L6983" t="n">
        <v>0</v>
      </c>
      <c r="M6983" t="n">
        <v>0</v>
      </c>
      <c r="N6983" t="n">
        <v>0</v>
      </c>
      <c r="O6983" t="n">
        <v>0</v>
      </c>
      <c r="P6983" t="n">
        <v>0</v>
      </c>
      <c r="Q6983" t="n">
        <v>0</v>
      </c>
      <c r="R6983" s="2" t="inlineStr"/>
    </row>
    <row r="6984" ht="15" customHeight="1">
      <c r="A6984" t="inlineStr">
        <is>
          <t>A 36606-2021</t>
        </is>
      </c>
      <c r="B6984" s="1" t="n">
        <v>44391</v>
      </c>
      <c r="C6984" s="1" t="n">
        <v>45212</v>
      </c>
      <c r="D6984" t="inlineStr">
        <is>
          <t>VÄSTRA GÖTALANDS LÄN</t>
        </is>
      </c>
      <c r="E6984" t="inlineStr">
        <is>
          <t>SVENLJUNGA</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36741-2021</t>
        </is>
      </c>
      <c r="B6985" s="1" t="n">
        <v>44392</v>
      </c>
      <c r="C6985" s="1" t="n">
        <v>45212</v>
      </c>
      <c r="D6985" t="inlineStr">
        <is>
          <t>VÄSTRA GÖTALANDS LÄN</t>
        </is>
      </c>
      <c r="E6985" t="inlineStr">
        <is>
          <t>HÄRRYDA</t>
        </is>
      </c>
      <c r="G6985" t="n">
        <v>1.7</v>
      </c>
      <c r="H6985" t="n">
        <v>0</v>
      </c>
      <c r="I6985" t="n">
        <v>0</v>
      </c>
      <c r="J6985" t="n">
        <v>0</v>
      </c>
      <c r="K6985" t="n">
        <v>0</v>
      </c>
      <c r="L6985" t="n">
        <v>0</v>
      </c>
      <c r="M6985" t="n">
        <v>0</v>
      </c>
      <c r="N6985" t="n">
        <v>0</v>
      </c>
      <c r="O6985" t="n">
        <v>0</v>
      </c>
      <c r="P6985" t="n">
        <v>0</v>
      </c>
      <c r="Q6985" t="n">
        <v>0</v>
      </c>
      <c r="R6985" s="2" t="inlineStr"/>
    </row>
    <row r="6986" ht="15" customHeight="1">
      <c r="A6986" t="inlineStr">
        <is>
          <t>A 36685-2021</t>
        </is>
      </c>
      <c r="B6986" s="1" t="n">
        <v>44392</v>
      </c>
      <c r="C6986" s="1" t="n">
        <v>45212</v>
      </c>
      <c r="D6986" t="inlineStr">
        <is>
          <t>VÄSTRA GÖTALANDS LÄN</t>
        </is>
      </c>
      <c r="E6986" t="inlineStr">
        <is>
          <t>TIDAHOLM</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36708-2021</t>
        </is>
      </c>
      <c r="B6987" s="1" t="n">
        <v>44392</v>
      </c>
      <c r="C6987" s="1" t="n">
        <v>45212</v>
      </c>
      <c r="D6987" t="inlineStr">
        <is>
          <t>VÄSTRA GÖTALANDS LÄN</t>
        </is>
      </c>
      <c r="E6987" t="inlineStr">
        <is>
          <t>TIDAHOLM</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36887-2021</t>
        </is>
      </c>
      <c r="B6988" s="1" t="n">
        <v>44393</v>
      </c>
      <c r="C6988" s="1" t="n">
        <v>45212</v>
      </c>
      <c r="D6988" t="inlineStr">
        <is>
          <t>VÄSTRA GÖTALANDS LÄN</t>
        </is>
      </c>
      <c r="E6988" t="inlineStr">
        <is>
          <t>ULRICEHAMN</t>
        </is>
      </c>
      <c r="G6988" t="n">
        <v>3</v>
      </c>
      <c r="H6988" t="n">
        <v>0</v>
      </c>
      <c r="I6988" t="n">
        <v>0</v>
      </c>
      <c r="J6988" t="n">
        <v>0</v>
      </c>
      <c r="K6988" t="n">
        <v>0</v>
      </c>
      <c r="L6988" t="n">
        <v>0</v>
      </c>
      <c r="M6988" t="n">
        <v>0</v>
      </c>
      <c r="N6988" t="n">
        <v>0</v>
      </c>
      <c r="O6988" t="n">
        <v>0</v>
      </c>
      <c r="P6988" t="n">
        <v>0</v>
      </c>
      <c r="Q6988" t="n">
        <v>0</v>
      </c>
      <c r="R6988" s="2" t="inlineStr"/>
    </row>
    <row r="6989" ht="15" customHeight="1">
      <c r="A6989" t="inlineStr">
        <is>
          <t>A 36881-2021</t>
        </is>
      </c>
      <c r="B6989" s="1" t="n">
        <v>44393</v>
      </c>
      <c r="C6989" s="1" t="n">
        <v>45212</v>
      </c>
      <c r="D6989" t="inlineStr">
        <is>
          <t>VÄSTRA GÖTALANDS LÄN</t>
        </is>
      </c>
      <c r="E6989" t="inlineStr">
        <is>
          <t>ULRICEHAMN</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37039-2021</t>
        </is>
      </c>
      <c r="B6990" s="1" t="n">
        <v>44393</v>
      </c>
      <c r="C6990" s="1" t="n">
        <v>45212</v>
      </c>
      <c r="D6990" t="inlineStr">
        <is>
          <t>VÄSTRA GÖTALANDS LÄN</t>
        </is>
      </c>
      <c r="E6990" t="inlineStr">
        <is>
          <t>TRANEMO</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36888-2021</t>
        </is>
      </c>
      <c r="B6991" s="1" t="n">
        <v>44393</v>
      </c>
      <c r="C6991" s="1" t="n">
        <v>45212</v>
      </c>
      <c r="D6991" t="inlineStr">
        <is>
          <t>VÄSTRA GÖTALANDS LÄN</t>
        </is>
      </c>
      <c r="E6991" t="inlineStr">
        <is>
          <t>ULRICEHAMN</t>
        </is>
      </c>
      <c r="G6991" t="n">
        <v>2.1</v>
      </c>
      <c r="H6991" t="n">
        <v>0</v>
      </c>
      <c r="I6991" t="n">
        <v>0</v>
      </c>
      <c r="J6991" t="n">
        <v>0</v>
      </c>
      <c r="K6991" t="n">
        <v>0</v>
      </c>
      <c r="L6991" t="n">
        <v>0</v>
      </c>
      <c r="M6991" t="n">
        <v>0</v>
      </c>
      <c r="N6991" t="n">
        <v>0</v>
      </c>
      <c r="O6991" t="n">
        <v>0</v>
      </c>
      <c r="P6991" t="n">
        <v>0</v>
      </c>
      <c r="Q6991" t="n">
        <v>0</v>
      </c>
      <c r="R6991" s="2" t="inlineStr"/>
    </row>
    <row r="6992" ht="15" customHeight="1">
      <c r="A6992" t="inlineStr">
        <is>
          <t>A 36934-2021</t>
        </is>
      </c>
      <c r="B6992" s="1" t="n">
        <v>44393</v>
      </c>
      <c r="C6992" s="1" t="n">
        <v>45212</v>
      </c>
      <c r="D6992" t="inlineStr">
        <is>
          <t>VÄSTRA GÖTALANDS LÄN</t>
        </is>
      </c>
      <c r="E6992" t="inlineStr">
        <is>
          <t>BORÅS</t>
        </is>
      </c>
      <c r="G6992" t="n">
        <v>6.6</v>
      </c>
      <c r="H6992" t="n">
        <v>0</v>
      </c>
      <c r="I6992" t="n">
        <v>0</v>
      </c>
      <c r="J6992" t="n">
        <v>0</v>
      </c>
      <c r="K6992" t="n">
        <v>0</v>
      </c>
      <c r="L6992" t="n">
        <v>0</v>
      </c>
      <c r="M6992" t="n">
        <v>0</v>
      </c>
      <c r="N6992" t="n">
        <v>0</v>
      </c>
      <c r="O6992" t="n">
        <v>0</v>
      </c>
      <c r="P6992" t="n">
        <v>0</v>
      </c>
      <c r="Q6992" t="n">
        <v>0</v>
      </c>
      <c r="R6992" s="2" t="inlineStr"/>
    </row>
    <row r="6993" ht="15" customHeight="1">
      <c r="A6993" t="inlineStr">
        <is>
          <t>A 37038-2021</t>
        </is>
      </c>
      <c r="B6993" s="1" t="n">
        <v>44393</v>
      </c>
      <c r="C6993" s="1" t="n">
        <v>45212</v>
      </c>
      <c r="D6993" t="inlineStr">
        <is>
          <t>VÄSTRA GÖTALANDS LÄN</t>
        </is>
      </c>
      <c r="E6993" t="inlineStr">
        <is>
          <t>TRANEMO</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37130-2021</t>
        </is>
      </c>
      <c r="B6994" s="1" t="n">
        <v>44395</v>
      </c>
      <c r="C6994" s="1" t="n">
        <v>45212</v>
      </c>
      <c r="D6994" t="inlineStr">
        <is>
          <t>VÄSTRA GÖTALANDS LÄN</t>
        </is>
      </c>
      <c r="E6994" t="inlineStr">
        <is>
          <t>TANUM</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37137-2021</t>
        </is>
      </c>
      <c r="B6995" s="1" t="n">
        <v>44395</v>
      </c>
      <c r="C6995" s="1" t="n">
        <v>45212</v>
      </c>
      <c r="D6995" t="inlineStr">
        <is>
          <t>VÄSTRA GÖTALANDS LÄN</t>
        </is>
      </c>
      <c r="E6995" t="inlineStr">
        <is>
          <t>TANUM</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37152-2021</t>
        </is>
      </c>
      <c r="B6996" s="1" t="n">
        <v>44396</v>
      </c>
      <c r="C6996" s="1" t="n">
        <v>45212</v>
      </c>
      <c r="D6996" t="inlineStr">
        <is>
          <t>VÄSTRA GÖTALANDS LÄN</t>
        </is>
      </c>
      <c r="E6996" t="inlineStr">
        <is>
          <t>HERRLJUNGA</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37240-2021</t>
        </is>
      </c>
      <c r="B6997" s="1" t="n">
        <v>44396</v>
      </c>
      <c r="C6997" s="1" t="n">
        <v>45212</v>
      </c>
      <c r="D6997" t="inlineStr">
        <is>
          <t>VÄSTRA GÖTALANDS LÄN</t>
        </is>
      </c>
      <c r="E6997" t="inlineStr">
        <is>
          <t>TRANEMO</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37243-2021</t>
        </is>
      </c>
      <c r="B6998" s="1" t="n">
        <v>44396</v>
      </c>
      <c r="C6998" s="1" t="n">
        <v>45212</v>
      </c>
      <c r="D6998" t="inlineStr">
        <is>
          <t>VÄSTRA GÖTALANDS LÄN</t>
        </is>
      </c>
      <c r="E6998" t="inlineStr">
        <is>
          <t>TIBRO</t>
        </is>
      </c>
      <c r="G6998" t="n">
        <v>4.9</v>
      </c>
      <c r="H6998" t="n">
        <v>0</v>
      </c>
      <c r="I6998" t="n">
        <v>0</v>
      </c>
      <c r="J6998" t="n">
        <v>0</v>
      </c>
      <c r="K6998" t="n">
        <v>0</v>
      </c>
      <c r="L6998" t="n">
        <v>0</v>
      </c>
      <c r="M6998" t="n">
        <v>0</v>
      </c>
      <c r="N6998" t="n">
        <v>0</v>
      </c>
      <c r="O6998" t="n">
        <v>0</v>
      </c>
      <c r="P6998" t="n">
        <v>0</v>
      </c>
      <c r="Q6998" t="n">
        <v>0</v>
      </c>
      <c r="R6998" s="2" t="inlineStr"/>
    </row>
    <row r="6999" ht="15" customHeight="1">
      <c r="A6999" t="inlineStr">
        <is>
          <t>A 37242-2021</t>
        </is>
      </c>
      <c r="B6999" s="1" t="n">
        <v>44396</v>
      </c>
      <c r="C6999" s="1" t="n">
        <v>45212</v>
      </c>
      <c r="D6999" t="inlineStr">
        <is>
          <t>VÄSTRA GÖTALANDS LÄN</t>
        </is>
      </c>
      <c r="E6999" t="inlineStr">
        <is>
          <t>TIBRO</t>
        </is>
      </c>
      <c r="G6999" t="n">
        <v>10.3</v>
      </c>
      <c r="H6999" t="n">
        <v>0</v>
      </c>
      <c r="I6999" t="n">
        <v>0</v>
      </c>
      <c r="J6999" t="n">
        <v>0</v>
      </c>
      <c r="K6999" t="n">
        <v>0</v>
      </c>
      <c r="L6999" t="n">
        <v>0</v>
      </c>
      <c r="M6999" t="n">
        <v>0</v>
      </c>
      <c r="N6999" t="n">
        <v>0</v>
      </c>
      <c r="O6999" t="n">
        <v>0</v>
      </c>
      <c r="P6999" t="n">
        <v>0</v>
      </c>
      <c r="Q6999" t="n">
        <v>0</v>
      </c>
      <c r="R6999" s="2" t="inlineStr"/>
    </row>
    <row r="7000" ht="15" customHeight="1">
      <c r="A7000" t="inlineStr">
        <is>
          <t>A 37241-2021</t>
        </is>
      </c>
      <c r="B7000" s="1" t="n">
        <v>44396</v>
      </c>
      <c r="C7000" s="1" t="n">
        <v>45212</v>
      </c>
      <c r="D7000" t="inlineStr">
        <is>
          <t>VÄSTRA GÖTALANDS LÄN</t>
        </is>
      </c>
      <c r="E7000" t="inlineStr">
        <is>
          <t>TIBRO</t>
        </is>
      </c>
      <c r="G7000" t="n">
        <v>5</v>
      </c>
      <c r="H7000" t="n">
        <v>0</v>
      </c>
      <c r="I7000" t="n">
        <v>0</v>
      </c>
      <c r="J7000" t="n">
        <v>0</v>
      </c>
      <c r="K7000" t="n">
        <v>0</v>
      </c>
      <c r="L7000" t="n">
        <v>0</v>
      </c>
      <c r="M7000" t="n">
        <v>0</v>
      </c>
      <c r="N7000" t="n">
        <v>0</v>
      </c>
      <c r="O7000" t="n">
        <v>0</v>
      </c>
      <c r="P7000" t="n">
        <v>0</v>
      </c>
      <c r="Q7000" t="n">
        <v>0</v>
      </c>
      <c r="R7000" s="2" t="inlineStr"/>
    </row>
    <row r="7001" ht="15" customHeight="1">
      <c r="A7001" t="inlineStr">
        <is>
          <t>A 37322-2021</t>
        </is>
      </c>
      <c r="B7001" s="1" t="n">
        <v>44397</v>
      </c>
      <c r="C7001" s="1" t="n">
        <v>45212</v>
      </c>
      <c r="D7001" t="inlineStr">
        <is>
          <t>VÄSTRA GÖTALANDS LÄN</t>
        </is>
      </c>
      <c r="E7001" t="inlineStr">
        <is>
          <t>LILLA EDET</t>
        </is>
      </c>
      <c r="G7001" t="n">
        <v>9.800000000000001</v>
      </c>
      <c r="H7001" t="n">
        <v>0</v>
      </c>
      <c r="I7001" t="n">
        <v>0</v>
      </c>
      <c r="J7001" t="n">
        <v>0</v>
      </c>
      <c r="K7001" t="n">
        <v>0</v>
      </c>
      <c r="L7001" t="n">
        <v>0</v>
      </c>
      <c r="M7001" t="n">
        <v>0</v>
      </c>
      <c r="N7001" t="n">
        <v>0</v>
      </c>
      <c r="O7001" t="n">
        <v>0</v>
      </c>
      <c r="P7001" t="n">
        <v>0</v>
      </c>
      <c r="Q7001" t="n">
        <v>0</v>
      </c>
      <c r="R7001" s="2" t="inlineStr"/>
    </row>
    <row r="7002" ht="15" customHeight="1">
      <c r="A7002" t="inlineStr">
        <is>
          <t>A 37492-2021</t>
        </is>
      </c>
      <c r="B7002" s="1" t="n">
        <v>44398</v>
      </c>
      <c r="C7002" s="1" t="n">
        <v>45212</v>
      </c>
      <c r="D7002" t="inlineStr">
        <is>
          <t>VÄSTRA GÖTALANDS LÄN</t>
        </is>
      </c>
      <c r="E7002" t="inlineStr">
        <is>
          <t>GULLSPÅNG</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37412-2021</t>
        </is>
      </c>
      <c r="B7003" s="1" t="n">
        <v>44398</v>
      </c>
      <c r="C7003" s="1" t="n">
        <v>45212</v>
      </c>
      <c r="D7003" t="inlineStr">
        <is>
          <t>VÄSTRA GÖTALANDS LÄN</t>
        </is>
      </c>
      <c r="E7003" t="inlineStr">
        <is>
          <t>ESSUNGA</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37398-2021</t>
        </is>
      </c>
      <c r="B7004" s="1" t="n">
        <v>44398</v>
      </c>
      <c r="C7004" s="1" t="n">
        <v>45212</v>
      </c>
      <c r="D7004" t="inlineStr">
        <is>
          <t>VÄSTRA GÖTALANDS LÄN</t>
        </is>
      </c>
      <c r="E7004" t="inlineStr">
        <is>
          <t>TIDAHOLM</t>
        </is>
      </c>
      <c r="G7004" t="n">
        <v>4.6</v>
      </c>
      <c r="H7004" t="n">
        <v>0</v>
      </c>
      <c r="I7004" t="n">
        <v>0</v>
      </c>
      <c r="J7004" t="n">
        <v>0</v>
      </c>
      <c r="K7004" t="n">
        <v>0</v>
      </c>
      <c r="L7004" t="n">
        <v>0</v>
      </c>
      <c r="M7004" t="n">
        <v>0</v>
      </c>
      <c r="N7004" t="n">
        <v>0</v>
      </c>
      <c r="O7004" t="n">
        <v>0</v>
      </c>
      <c r="P7004" t="n">
        <v>0</v>
      </c>
      <c r="Q7004" t="n">
        <v>0</v>
      </c>
      <c r="R7004" s="2" t="inlineStr"/>
    </row>
    <row r="7005" ht="15" customHeight="1">
      <c r="A7005" t="inlineStr">
        <is>
          <t>A 37542-2021</t>
        </is>
      </c>
      <c r="B7005" s="1" t="n">
        <v>44399</v>
      </c>
      <c r="C7005" s="1" t="n">
        <v>45212</v>
      </c>
      <c r="D7005" t="inlineStr">
        <is>
          <t>VÄSTRA GÖTALANDS LÄN</t>
        </is>
      </c>
      <c r="E7005" t="inlineStr">
        <is>
          <t>TANUM</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37700-2021</t>
        </is>
      </c>
      <c r="B7006" s="1" t="n">
        <v>44400</v>
      </c>
      <c r="C7006" s="1" t="n">
        <v>45212</v>
      </c>
      <c r="D7006" t="inlineStr">
        <is>
          <t>VÄSTRA GÖTALANDS LÄN</t>
        </is>
      </c>
      <c r="E7006" t="inlineStr">
        <is>
          <t>GULLSPÅNG</t>
        </is>
      </c>
      <c r="G7006" t="n">
        <v>5.5</v>
      </c>
      <c r="H7006" t="n">
        <v>0</v>
      </c>
      <c r="I7006" t="n">
        <v>0</v>
      </c>
      <c r="J7006" t="n">
        <v>0</v>
      </c>
      <c r="K7006" t="n">
        <v>0</v>
      </c>
      <c r="L7006" t="n">
        <v>0</v>
      </c>
      <c r="M7006" t="n">
        <v>0</v>
      </c>
      <c r="N7006" t="n">
        <v>0</v>
      </c>
      <c r="O7006" t="n">
        <v>0</v>
      </c>
      <c r="P7006" t="n">
        <v>0</v>
      </c>
      <c r="Q7006" t="n">
        <v>0</v>
      </c>
      <c r="R7006" s="2" t="inlineStr"/>
    </row>
    <row r="7007" ht="15" customHeight="1">
      <c r="A7007" t="inlineStr">
        <is>
          <t>A 37677-2021</t>
        </is>
      </c>
      <c r="B7007" s="1" t="n">
        <v>44400</v>
      </c>
      <c r="C7007" s="1" t="n">
        <v>45212</v>
      </c>
      <c r="D7007" t="inlineStr">
        <is>
          <t>VÄSTRA GÖTALANDS LÄN</t>
        </is>
      </c>
      <c r="E7007" t="inlineStr">
        <is>
          <t>GRÄSTORP</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37721-2021</t>
        </is>
      </c>
      <c r="B7008" s="1" t="n">
        <v>44400</v>
      </c>
      <c r="C7008" s="1" t="n">
        <v>45212</v>
      </c>
      <c r="D7008" t="inlineStr">
        <is>
          <t>VÄSTRA GÖTALANDS LÄN</t>
        </is>
      </c>
      <c r="E7008" t="inlineStr">
        <is>
          <t>TANUM</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37755-2021</t>
        </is>
      </c>
      <c r="B7009" s="1" t="n">
        <v>44400</v>
      </c>
      <c r="C7009" s="1" t="n">
        <v>45212</v>
      </c>
      <c r="D7009" t="inlineStr">
        <is>
          <t>VÄSTRA GÖTALANDS LÄN</t>
        </is>
      </c>
      <c r="E7009" t="inlineStr">
        <is>
          <t>MARK</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37787-2021</t>
        </is>
      </c>
      <c r="B7010" s="1" t="n">
        <v>44401</v>
      </c>
      <c r="C7010" s="1" t="n">
        <v>45212</v>
      </c>
      <c r="D7010" t="inlineStr">
        <is>
          <t>VÄSTRA GÖTALANDS LÄN</t>
        </is>
      </c>
      <c r="E7010" t="inlineStr">
        <is>
          <t>ÅMÅL</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37804-2021</t>
        </is>
      </c>
      <c r="B7011" s="1" t="n">
        <v>44402</v>
      </c>
      <c r="C7011" s="1" t="n">
        <v>45212</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37812-2021</t>
        </is>
      </c>
      <c r="B7012" s="1" t="n">
        <v>44402</v>
      </c>
      <c r="C7012" s="1" t="n">
        <v>45212</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37813-2021</t>
        </is>
      </c>
      <c r="B7013" s="1" t="n">
        <v>44402</v>
      </c>
      <c r="C7013" s="1" t="n">
        <v>45212</v>
      </c>
      <c r="D7013" t="inlineStr">
        <is>
          <t>VÄSTRA GÖTALANDS LÄN</t>
        </is>
      </c>
      <c r="E7013" t="inlineStr">
        <is>
          <t>ÅMÅL</t>
        </is>
      </c>
      <c r="G7013" t="n">
        <v>0.2</v>
      </c>
      <c r="H7013" t="n">
        <v>0</v>
      </c>
      <c r="I7013" t="n">
        <v>0</v>
      </c>
      <c r="J7013" t="n">
        <v>0</v>
      </c>
      <c r="K7013" t="n">
        <v>0</v>
      </c>
      <c r="L7013" t="n">
        <v>0</v>
      </c>
      <c r="M7013" t="n">
        <v>0</v>
      </c>
      <c r="N7013" t="n">
        <v>0</v>
      </c>
      <c r="O7013" t="n">
        <v>0</v>
      </c>
      <c r="P7013" t="n">
        <v>0</v>
      </c>
      <c r="Q7013" t="n">
        <v>0</v>
      </c>
      <c r="R7013" s="2" t="inlineStr"/>
    </row>
    <row r="7014" ht="15" customHeight="1">
      <c r="A7014" t="inlineStr">
        <is>
          <t>A 37814-2021</t>
        </is>
      </c>
      <c r="B7014" s="1" t="n">
        <v>44402</v>
      </c>
      <c r="C7014" s="1" t="n">
        <v>45212</v>
      </c>
      <c r="D7014" t="inlineStr">
        <is>
          <t>VÄSTRA GÖTALANDS LÄN</t>
        </is>
      </c>
      <c r="E7014" t="inlineStr">
        <is>
          <t>ÅMÅL</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37857-2021</t>
        </is>
      </c>
      <c r="B7015" s="1" t="n">
        <v>44403</v>
      </c>
      <c r="C7015" s="1" t="n">
        <v>45212</v>
      </c>
      <c r="D7015" t="inlineStr">
        <is>
          <t>VÄSTRA GÖTALANDS LÄN</t>
        </is>
      </c>
      <c r="E7015" t="inlineStr">
        <is>
          <t>BENGTSFORS</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38054-2021</t>
        </is>
      </c>
      <c r="B7016" s="1" t="n">
        <v>44404</v>
      </c>
      <c r="C7016" s="1" t="n">
        <v>45212</v>
      </c>
      <c r="D7016" t="inlineStr">
        <is>
          <t>VÄSTRA GÖTALANDS LÄN</t>
        </is>
      </c>
      <c r="E7016" t="inlineStr">
        <is>
          <t>MARIESTAD</t>
        </is>
      </c>
      <c r="G7016" t="n">
        <v>1.8</v>
      </c>
      <c r="H7016" t="n">
        <v>0</v>
      </c>
      <c r="I7016" t="n">
        <v>0</v>
      </c>
      <c r="J7016" t="n">
        <v>0</v>
      </c>
      <c r="K7016" t="n">
        <v>0</v>
      </c>
      <c r="L7016" t="n">
        <v>0</v>
      </c>
      <c r="M7016" t="n">
        <v>0</v>
      </c>
      <c r="N7016" t="n">
        <v>0</v>
      </c>
      <c r="O7016" t="n">
        <v>0</v>
      </c>
      <c r="P7016" t="n">
        <v>0</v>
      </c>
      <c r="Q7016" t="n">
        <v>0</v>
      </c>
      <c r="R7016" s="2" t="inlineStr"/>
    </row>
    <row r="7017" ht="15" customHeight="1">
      <c r="A7017" t="inlineStr">
        <is>
          <t>A 38123-2021</t>
        </is>
      </c>
      <c r="B7017" s="1" t="n">
        <v>44404</v>
      </c>
      <c r="C7017" s="1" t="n">
        <v>45212</v>
      </c>
      <c r="D7017" t="inlineStr">
        <is>
          <t>VÄSTRA GÖTALANDS LÄN</t>
        </is>
      </c>
      <c r="E7017" t="inlineStr">
        <is>
          <t>MUNKEDAL</t>
        </is>
      </c>
      <c r="F7017" t="inlineStr">
        <is>
          <t>Övriga Aktiebolag</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38135-2021</t>
        </is>
      </c>
      <c r="B7018" s="1" t="n">
        <v>44404</v>
      </c>
      <c r="C7018" s="1" t="n">
        <v>45212</v>
      </c>
      <c r="D7018" t="inlineStr">
        <is>
          <t>VÄSTRA GÖTALANDS LÄN</t>
        </is>
      </c>
      <c r="E7018" t="inlineStr">
        <is>
          <t>MUNKEDAL</t>
        </is>
      </c>
      <c r="F7018" t="inlineStr">
        <is>
          <t>Övriga Aktiebolag</t>
        </is>
      </c>
      <c r="G7018" t="n">
        <v>8</v>
      </c>
      <c r="H7018" t="n">
        <v>0</v>
      </c>
      <c r="I7018" t="n">
        <v>0</v>
      </c>
      <c r="J7018" t="n">
        <v>0</v>
      </c>
      <c r="K7018" t="n">
        <v>0</v>
      </c>
      <c r="L7018" t="n">
        <v>0</v>
      </c>
      <c r="M7018" t="n">
        <v>0</v>
      </c>
      <c r="N7018" t="n">
        <v>0</v>
      </c>
      <c r="O7018" t="n">
        <v>0</v>
      </c>
      <c r="P7018" t="n">
        <v>0</v>
      </c>
      <c r="Q7018" t="n">
        <v>0</v>
      </c>
      <c r="R7018" s="2" t="inlineStr"/>
    </row>
    <row r="7019" ht="15" customHeight="1">
      <c r="A7019" t="inlineStr">
        <is>
          <t>A 38252-2021</t>
        </is>
      </c>
      <c r="B7019" s="1" t="n">
        <v>44405</v>
      </c>
      <c r="C7019" s="1" t="n">
        <v>45212</v>
      </c>
      <c r="D7019" t="inlineStr">
        <is>
          <t>VÄSTRA GÖTALANDS LÄN</t>
        </is>
      </c>
      <c r="E7019" t="inlineStr">
        <is>
          <t>GÖTENE</t>
        </is>
      </c>
      <c r="G7019" t="n">
        <v>2.5</v>
      </c>
      <c r="H7019" t="n">
        <v>0</v>
      </c>
      <c r="I7019" t="n">
        <v>0</v>
      </c>
      <c r="J7019" t="n">
        <v>0</v>
      </c>
      <c r="K7019" t="n">
        <v>0</v>
      </c>
      <c r="L7019" t="n">
        <v>0</v>
      </c>
      <c r="M7019" t="n">
        <v>0</v>
      </c>
      <c r="N7019" t="n">
        <v>0</v>
      </c>
      <c r="O7019" t="n">
        <v>0</v>
      </c>
      <c r="P7019" t="n">
        <v>0</v>
      </c>
      <c r="Q7019" t="n">
        <v>0</v>
      </c>
      <c r="R7019" s="2" t="inlineStr"/>
    </row>
    <row r="7020" ht="15" customHeight="1">
      <c r="A7020" t="inlineStr">
        <is>
          <t>A 38251-2021</t>
        </is>
      </c>
      <c r="B7020" s="1" t="n">
        <v>44405</v>
      </c>
      <c r="C7020" s="1" t="n">
        <v>45212</v>
      </c>
      <c r="D7020" t="inlineStr">
        <is>
          <t>VÄSTRA GÖTALANDS LÄN</t>
        </is>
      </c>
      <c r="E7020" t="inlineStr">
        <is>
          <t>GÖTENE</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38497-2021</t>
        </is>
      </c>
      <c r="B7021" s="1" t="n">
        <v>44407</v>
      </c>
      <c r="C7021" s="1" t="n">
        <v>45212</v>
      </c>
      <c r="D7021" t="inlineStr">
        <is>
          <t>VÄSTRA GÖTALANDS LÄN</t>
        </is>
      </c>
      <c r="E7021" t="inlineStr">
        <is>
          <t>MARK</t>
        </is>
      </c>
      <c r="G7021" t="n">
        <v>0.3</v>
      </c>
      <c r="H7021" t="n">
        <v>0</v>
      </c>
      <c r="I7021" t="n">
        <v>0</v>
      </c>
      <c r="J7021" t="n">
        <v>0</v>
      </c>
      <c r="K7021" t="n">
        <v>0</v>
      </c>
      <c r="L7021" t="n">
        <v>0</v>
      </c>
      <c r="M7021" t="n">
        <v>0</v>
      </c>
      <c r="N7021" t="n">
        <v>0</v>
      </c>
      <c r="O7021" t="n">
        <v>0</v>
      </c>
      <c r="P7021" t="n">
        <v>0</v>
      </c>
      <c r="Q7021" t="n">
        <v>0</v>
      </c>
      <c r="R7021" s="2" t="inlineStr"/>
    </row>
    <row r="7022" ht="15" customHeight="1">
      <c r="A7022" t="inlineStr">
        <is>
          <t>A 38551-2021</t>
        </is>
      </c>
      <c r="B7022" s="1" t="n">
        <v>44407</v>
      </c>
      <c r="C7022" s="1" t="n">
        <v>45212</v>
      </c>
      <c r="D7022" t="inlineStr">
        <is>
          <t>VÄSTRA GÖTALANDS LÄN</t>
        </is>
      </c>
      <c r="E7022" t="inlineStr">
        <is>
          <t>GULLSPÅNG</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38843-2021</t>
        </is>
      </c>
      <c r="B7023" s="1" t="n">
        <v>44411</v>
      </c>
      <c r="C7023" s="1" t="n">
        <v>45212</v>
      </c>
      <c r="D7023" t="inlineStr">
        <is>
          <t>VÄSTRA GÖTALANDS LÄN</t>
        </is>
      </c>
      <c r="E7023" t="inlineStr">
        <is>
          <t>MARK</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38991-2021</t>
        </is>
      </c>
      <c r="B7024" s="1" t="n">
        <v>44411</v>
      </c>
      <c r="C7024" s="1" t="n">
        <v>45212</v>
      </c>
      <c r="D7024" t="inlineStr">
        <is>
          <t>VÄSTRA GÖTALANDS LÄN</t>
        </is>
      </c>
      <c r="E7024" t="inlineStr">
        <is>
          <t>MUNKEDAL</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39065-2021</t>
        </is>
      </c>
      <c r="B7025" s="1" t="n">
        <v>44411</v>
      </c>
      <c r="C7025" s="1" t="n">
        <v>45212</v>
      </c>
      <c r="D7025" t="inlineStr">
        <is>
          <t>VÄSTRA GÖTALANDS LÄN</t>
        </is>
      </c>
      <c r="E7025" t="inlineStr">
        <is>
          <t>LYSEKIL</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38992-2021</t>
        </is>
      </c>
      <c r="B7026" s="1" t="n">
        <v>44411</v>
      </c>
      <c r="C7026" s="1" t="n">
        <v>45212</v>
      </c>
      <c r="D7026" t="inlineStr">
        <is>
          <t>VÄSTRA GÖTALANDS LÄN</t>
        </is>
      </c>
      <c r="E7026" t="inlineStr">
        <is>
          <t>MUNKEDAL</t>
        </is>
      </c>
      <c r="G7026" t="n">
        <v>2.3</v>
      </c>
      <c r="H7026" t="n">
        <v>0</v>
      </c>
      <c r="I7026" t="n">
        <v>0</v>
      </c>
      <c r="J7026" t="n">
        <v>0</v>
      </c>
      <c r="K7026" t="n">
        <v>0</v>
      </c>
      <c r="L7026" t="n">
        <v>0</v>
      </c>
      <c r="M7026" t="n">
        <v>0</v>
      </c>
      <c r="N7026" t="n">
        <v>0</v>
      </c>
      <c r="O7026" t="n">
        <v>0</v>
      </c>
      <c r="P7026" t="n">
        <v>0</v>
      </c>
      <c r="Q7026" t="n">
        <v>0</v>
      </c>
      <c r="R7026" s="2" t="inlineStr"/>
    </row>
    <row r="7027" ht="15" customHeight="1">
      <c r="A7027" t="inlineStr">
        <is>
          <t>A 39084-2021</t>
        </is>
      </c>
      <c r="B7027" s="1" t="n">
        <v>44412</v>
      </c>
      <c r="C7027" s="1" t="n">
        <v>45212</v>
      </c>
      <c r="D7027" t="inlineStr">
        <is>
          <t>VÄSTRA GÖTALANDS LÄN</t>
        </is>
      </c>
      <c r="E7027" t="inlineStr">
        <is>
          <t>BENGTSFORS</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39112-2021</t>
        </is>
      </c>
      <c r="B7028" s="1" t="n">
        <v>44412</v>
      </c>
      <c r="C7028" s="1" t="n">
        <v>45212</v>
      </c>
      <c r="D7028" t="inlineStr">
        <is>
          <t>VÄSTRA GÖTALANDS LÄN</t>
        </is>
      </c>
      <c r="E7028" t="inlineStr">
        <is>
          <t>MUNKEDAL</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38995-2021</t>
        </is>
      </c>
      <c r="B7029" s="1" t="n">
        <v>44412</v>
      </c>
      <c r="C7029" s="1" t="n">
        <v>45212</v>
      </c>
      <c r="D7029" t="inlineStr">
        <is>
          <t>VÄSTRA GÖTALANDS LÄN</t>
        </is>
      </c>
      <c r="E7029" t="inlineStr">
        <is>
          <t>BENGTSFORS</t>
        </is>
      </c>
      <c r="G7029" t="n">
        <v>1</v>
      </c>
      <c r="H7029" t="n">
        <v>0</v>
      </c>
      <c r="I7029" t="n">
        <v>0</v>
      </c>
      <c r="J7029" t="n">
        <v>0</v>
      </c>
      <c r="K7029" t="n">
        <v>0</v>
      </c>
      <c r="L7029" t="n">
        <v>0</v>
      </c>
      <c r="M7029" t="n">
        <v>0</v>
      </c>
      <c r="N7029" t="n">
        <v>0</v>
      </c>
      <c r="O7029" t="n">
        <v>0</v>
      </c>
      <c r="P7029" t="n">
        <v>0</v>
      </c>
      <c r="Q7029" t="n">
        <v>0</v>
      </c>
      <c r="R7029" s="2" t="inlineStr"/>
    </row>
    <row r="7030" ht="15" customHeight="1">
      <c r="A7030" t="inlineStr">
        <is>
          <t>A 39055-2021</t>
        </is>
      </c>
      <c r="B7030" s="1" t="n">
        <v>44412</v>
      </c>
      <c r="C7030" s="1" t="n">
        <v>45212</v>
      </c>
      <c r="D7030" t="inlineStr">
        <is>
          <t>VÄSTRA GÖTALANDS LÄN</t>
        </is>
      </c>
      <c r="E7030" t="inlineStr">
        <is>
          <t>MARIESTAD</t>
        </is>
      </c>
      <c r="F7030" t="inlineStr">
        <is>
          <t>Sveaskog</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39105-2021</t>
        </is>
      </c>
      <c r="B7031" s="1" t="n">
        <v>44412</v>
      </c>
      <c r="C7031" s="1" t="n">
        <v>45212</v>
      </c>
      <c r="D7031" t="inlineStr">
        <is>
          <t>VÄSTRA GÖTALANDS LÄN</t>
        </is>
      </c>
      <c r="E7031" t="inlineStr">
        <is>
          <t>BENGTSFORS</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39093-2021</t>
        </is>
      </c>
      <c r="B7032" s="1" t="n">
        <v>44412</v>
      </c>
      <c r="C7032" s="1" t="n">
        <v>45212</v>
      </c>
      <c r="D7032" t="inlineStr">
        <is>
          <t>VÄSTRA GÖTALANDS LÄN</t>
        </is>
      </c>
      <c r="E7032" t="inlineStr">
        <is>
          <t>DALS-ED</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39016-2021</t>
        </is>
      </c>
      <c r="B7033" s="1" t="n">
        <v>44412</v>
      </c>
      <c r="C7033" s="1" t="n">
        <v>45212</v>
      </c>
      <c r="D7033" t="inlineStr">
        <is>
          <t>VÄSTRA GÖTALANDS LÄN</t>
        </is>
      </c>
      <c r="E7033" t="inlineStr">
        <is>
          <t>DALS-ED</t>
        </is>
      </c>
      <c r="G7033" t="n">
        <v>12.3</v>
      </c>
      <c r="H7033" t="n">
        <v>0</v>
      </c>
      <c r="I7033" t="n">
        <v>0</v>
      </c>
      <c r="J7033" t="n">
        <v>0</v>
      </c>
      <c r="K7033" t="n">
        <v>0</v>
      </c>
      <c r="L7033" t="n">
        <v>0</v>
      </c>
      <c r="M7033" t="n">
        <v>0</v>
      </c>
      <c r="N7033" t="n">
        <v>0</v>
      </c>
      <c r="O7033" t="n">
        <v>0</v>
      </c>
      <c r="P7033" t="n">
        <v>0</v>
      </c>
      <c r="Q7033" t="n">
        <v>0</v>
      </c>
      <c r="R7033" s="2" t="inlineStr"/>
    </row>
    <row r="7034" ht="15" customHeight="1">
      <c r="A7034" t="inlineStr">
        <is>
          <t>A 39228-2021</t>
        </is>
      </c>
      <c r="B7034" s="1" t="n">
        <v>44413</v>
      </c>
      <c r="C7034" s="1" t="n">
        <v>45212</v>
      </c>
      <c r="D7034" t="inlineStr">
        <is>
          <t>VÄSTRA GÖTALANDS LÄN</t>
        </is>
      </c>
      <c r="E7034" t="inlineStr">
        <is>
          <t>SKÖVDE</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39352-2021</t>
        </is>
      </c>
      <c r="B7035" s="1" t="n">
        <v>44414</v>
      </c>
      <c r="C7035" s="1" t="n">
        <v>45212</v>
      </c>
      <c r="D7035" t="inlineStr">
        <is>
          <t>VÄSTRA GÖTALANDS LÄN</t>
        </is>
      </c>
      <c r="E7035" t="inlineStr">
        <is>
          <t>MARIESTAD</t>
        </is>
      </c>
      <c r="F7035" t="inlineStr">
        <is>
          <t>Sveaskog</t>
        </is>
      </c>
      <c r="G7035" t="n">
        <v>1.4</v>
      </c>
      <c r="H7035" t="n">
        <v>0</v>
      </c>
      <c r="I7035" t="n">
        <v>0</v>
      </c>
      <c r="J7035" t="n">
        <v>0</v>
      </c>
      <c r="K7035" t="n">
        <v>0</v>
      </c>
      <c r="L7035" t="n">
        <v>0</v>
      </c>
      <c r="M7035" t="n">
        <v>0</v>
      </c>
      <c r="N7035" t="n">
        <v>0</v>
      </c>
      <c r="O7035" t="n">
        <v>0</v>
      </c>
      <c r="P7035" t="n">
        <v>0</v>
      </c>
      <c r="Q7035" t="n">
        <v>0</v>
      </c>
      <c r="R7035" s="2" t="inlineStr"/>
    </row>
    <row r="7036" ht="15" customHeight="1">
      <c r="A7036" t="inlineStr">
        <is>
          <t>A 39477-2021</t>
        </is>
      </c>
      <c r="B7036" s="1" t="n">
        <v>44414</v>
      </c>
      <c r="C7036" s="1" t="n">
        <v>45212</v>
      </c>
      <c r="D7036" t="inlineStr">
        <is>
          <t>VÄSTRA GÖTALANDS LÄN</t>
        </is>
      </c>
      <c r="E7036" t="inlineStr">
        <is>
          <t>MELLERUD</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39441-2021</t>
        </is>
      </c>
      <c r="B7037" s="1" t="n">
        <v>44414</v>
      </c>
      <c r="C7037" s="1" t="n">
        <v>45212</v>
      </c>
      <c r="D7037" t="inlineStr">
        <is>
          <t>VÄSTRA GÖTALANDS LÄN</t>
        </is>
      </c>
      <c r="E7037" t="inlineStr">
        <is>
          <t>MUNKEDAL</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39570-2021</t>
        </is>
      </c>
      <c r="B7038" s="1" t="n">
        <v>44416</v>
      </c>
      <c r="C7038" s="1" t="n">
        <v>45212</v>
      </c>
      <c r="D7038" t="inlineStr">
        <is>
          <t>VÄSTRA GÖTALANDS LÄN</t>
        </is>
      </c>
      <c r="E7038" t="inlineStr">
        <is>
          <t>MARK</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39724-2021</t>
        </is>
      </c>
      <c r="B7039" s="1" t="n">
        <v>44417</v>
      </c>
      <c r="C7039" s="1" t="n">
        <v>45212</v>
      </c>
      <c r="D7039" t="inlineStr">
        <is>
          <t>VÄSTRA GÖTALANDS LÄN</t>
        </is>
      </c>
      <c r="E7039" t="inlineStr">
        <is>
          <t>HERRLJUNGA</t>
        </is>
      </c>
      <c r="G7039" t="n">
        <v>1.1</v>
      </c>
      <c r="H7039" t="n">
        <v>0</v>
      </c>
      <c r="I7039" t="n">
        <v>0</v>
      </c>
      <c r="J7039" t="n">
        <v>0</v>
      </c>
      <c r="K7039" t="n">
        <v>0</v>
      </c>
      <c r="L7039" t="n">
        <v>0</v>
      </c>
      <c r="M7039" t="n">
        <v>0</v>
      </c>
      <c r="N7039" t="n">
        <v>0</v>
      </c>
      <c r="O7039" t="n">
        <v>0</v>
      </c>
      <c r="P7039" t="n">
        <v>0</v>
      </c>
      <c r="Q7039" t="n">
        <v>0</v>
      </c>
      <c r="R7039" s="2" t="inlineStr"/>
    </row>
    <row r="7040" ht="15" customHeight="1">
      <c r="A7040" t="inlineStr">
        <is>
          <t>A 39847-2021</t>
        </is>
      </c>
      <c r="B7040" s="1" t="n">
        <v>44417</v>
      </c>
      <c r="C7040" s="1" t="n">
        <v>45212</v>
      </c>
      <c r="D7040" t="inlineStr">
        <is>
          <t>VÄSTRA GÖTALANDS LÄN</t>
        </is>
      </c>
      <c r="E7040" t="inlineStr">
        <is>
          <t>ÅMÅL</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39883-2021</t>
        </is>
      </c>
      <c r="B7041" s="1" t="n">
        <v>44417</v>
      </c>
      <c r="C7041" s="1" t="n">
        <v>45212</v>
      </c>
      <c r="D7041" t="inlineStr">
        <is>
          <t>VÄSTRA GÖTALANDS LÄN</t>
        </is>
      </c>
      <c r="E7041" t="inlineStr">
        <is>
          <t>SKÖVDE</t>
        </is>
      </c>
      <c r="G7041" t="n">
        <v>8.1</v>
      </c>
      <c r="H7041" t="n">
        <v>0</v>
      </c>
      <c r="I7041" t="n">
        <v>0</v>
      </c>
      <c r="J7041" t="n">
        <v>0</v>
      </c>
      <c r="K7041" t="n">
        <v>0</v>
      </c>
      <c r="L7041" t="n">
        <v>0</v>
      </c>
      <c r="M7041" t="n">
        <v>0</v>
      </c>
      <c r="N7041" t="n">
        <v>0</v>
      </c>
      <c r="O7041" t="n">
        <v>0</v>
      </c>
      <c r="P7041" t="n">
        <v>0</v>
      </c>
      <c r="Q7041" t="n">
        <v>0</v>
      </c>
      <c r="R7041" s="2" t="inlineStr"/>
    </row>
    <row r="7042" ht="15" customHeight="1">
      <c r="A7042" t="inlineStr">
        <is>
          <t>A 39962-2021</t>
        </is>
      </c>
      <c r="B7042" s="1" t="n">
        <v>44417</v>
      </c>
      <c r="C7042" s="1" t="n">
        <v>45212</v>
      </c>
      <c r="D7042" t="inlineStr">
        <is>
          <t>VÄSTRA GÖTALANDS LÄN</t>
        </is>
      </c>
      <c r="E7042" t="inlineStr">
        <is>
          <t>TANUM</t>
        </is>
      </c>
      <c r="G7042" t="n">
        <v>5.1</v>
      </c>
      <c r="H7042" t="n">
        <v>0</v>
      </c>
      <c r="I7042" t="n">
        <v>0</v>
      </c>
      <c r="J7042" t="n">
        <v>0</v>
      </c>
      <c r="K7042" t="n">
        <v>0</v>
      </c>
      <c r="L7042" t="n">
        <v>0</v>
      </c>
      <c r="M7042" t="n">
        <v>0</v>
      </c>
      <c r="N7042" t="n">
        <v>0</v>
      </c>
      <c r="O7042" t="n">
        <v>0</v>
      </c>
      <c r="P7042" t="n">
        <v>0</v>
      </c>
      <c r="Q7042" t="n">
        <v>0</v>
      </c>
      <c r="R7042" s="2" t="inlineStr"/>
    </row>
    <row r="7043" ht="15" customHeight="1">
      <c r="A7043" t="inlineStr">
        <is>
          <t>A 39725-2021</t>
        </is>
      </c>
      <c r="B7043" s="1" t="n">
        <v>44417</v>
      </c>
      <c r="C7043" s="1" t="n">
        <v>45212</v>
      </c>
      <c r="D7043" t="inlineStr">
        <is>
          <t>VÄSTRA GÖTALANDS LÄN</t>
        </is>
      </c>
      <c r="E7043" t="inlineStr">
        <is>
          <t>HERRLJUNGA</t>
        </is>
      </c>
      <c r="G7043" t="n">
        <v>0.9</v>
      </c>
      <c r="H7043" t="n">
        <v>0</v>
      </c>
      <c r="I7043" t="n">
        <v>0</v>
      </c>
      <c r="J7043" t="n">
        <v>0</v>
      </c>
      <c r="K7043" t="n">
        <v>0</v>
      </c>
      <c r="L7043" t="n">
        <v>0</v>
      </c>
      <c r="M7043" t="n">
        <v>0</v>
      </c>
      <c r="N7043" t="n">
        <v>0</v>
      </c>
      <c r="O7043" t="n">
        <v>0</v>
      </c>
      <c r="P7043" t="n">
        <v>0</v>
      </c>
      <c r="Q7043" t="n">
        <v>0</v>
      </c>
      <c r="R7043" s="2" t="inlineStr"/>
    </row>
    <row r="7044" ht="15" customHeight="1">
      <c r="A7044" t="inlineStr">
        <is>
          <t>A 39917-2021</t>
        </is>
      </c>
      <c r="B7044" s="1" t="n">
        <v>44417</v>
      </c>
      <c r="C7044" s="1" t="n">
        <v>45212</v>
      </c>
      <c r="D7044" t="inlineStr">
        <is>
          <t>VÄSTRA GÖTALANDS LÄN</t>
        </is>
      </c>
      <c r="E7044" t="inlineStr">
        <is>
          <t>BENGTSFORS</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39754-2021</t>
        </is>
      </c>
      <c r="B7045" s="1" t="n">
        <v>44417</v>
      </c>
      <c r="C7045" s="1" t="n">
        <v>45212</v>
      </c>
      <c r="D7045" t="inlineStr">
        <is>
          <t>VÄSTRA GÖTALANDS LÄN</t>
        </is>
      </c>
      <c r="E7045" t="inlineStr">
        <is>
          <t>SVENLJUNGA</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39795-2021</t>
        </is>
      </c>
      <c r="B7046" s="1" t="n">
        <v>44417</v>
      </c>
      <c r="C7046" s="1" t="n">
        <v>45212</v>
      </c>
      <c r="D7046" t="inlineStr">
        <is>
          <t>VÄSTRA GÖTALANDS LÄN</t>
        </is>
      </c>
      <c r="E7046" t="inlineStr">
        <is>
          <t>BENGTSFORS</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39818-2021</t>
        </is>
      </c>
      <c r="B7047" s="1" t="n">
        <v>44417</v>
      </c>
      <c r="C7047" s="1" t="n">
        <v>45212</v>
      </c>
      <c r="D7047" t="inlineStr">
        <is>
          <t>VÄSTRA GÖTALANDS LÄN</t>
        </is>
      </c>
      <c r="E7047" t="inlineStr">
        <is>
          <t>BENGTSFORS</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39840-2021</t>
        </is>
      </c>
      <c r="B7048" s="1" t="n">
        <v>44417</v>
      </c>
      <c r="C7048" s="1" t="n">
        <v>45212</v>
      </c>
      <c r="D7048" t="inlineStr">
        <is>
          <t>VÄSTRA GÖTALANDS LÄN</t>
        </is>
      </c>
      <c r="E7048" t="inlineStr">
        <is>
          <t>ÅMÅL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39959-2021</t>
        </is>
      </c>
      <c r="B7049" s="1" t="n">
        <v>44417</v>
      </c>
      <c r="C7049" s="1" t="n">
        <v>45212</v>
      </c>
      <c r="D7049" t="inlineStr">
        <is>
          <t>VÄSTRA GÖTALANDS LÄN</t>
        </is>
      </c>
      <c r="E7049" t="inlineStr">
        <is>
          <t>TANUM</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40037-2021</t>
        </is>
      </c>
      <c r="B7050" s="1" t="n">
        <v>44418</v>
      </c>
      <c r="C7050" s="1" t="n">
        <v>45212</v>
      </c>
      <c r="D7050" t="inlineStr">
        <is>
          <t>VÄSTRA GÖTALANDS LÄN</t>
        </is>
      </c>
      <c r="E7050" t="inlineStr">
        <is>
          <t>UDDEVALLA</t>
        </is>
      </c>
      <c r="G7050" t="n">
        <v>10.3</v>
      </c>
      <c r="H7050" t="n">
        <v>0</v>
      </c>
      <c r="I7050" t="n">
        <v>0</v>
      </c>
      <c r="J7050" t="n">
        <v>0</v>
      </c>
      <c r="K7050" t="n">
        <v>0</v>
      </c>
      <c r="L7050" t="n">
        <v>0</v>
      </c>
      <c r="M7050" t="n">
        <v>0</v>
      </c>
      <c r="N7050" t="n">
        <v>0</v>
      </c>
      <c r="O7050" t="n">
        <v>0</v>
      </c>
      <c r="P7050" t="n">
        <v>0</v>
      </c>
      <c r="Q7050" t="n">
        <v>0</v>
      </c>
      <c r="R7050" s="2" t="inlineStr"/>
    </row>
    <row r="7051" ht="15" customHeight="1">
      <c r="A7051" t="inlineStr">
        <is>
          <t>A 40065-2021</t>
        </is>
      </c>
      <c r="B7051" s="1" t="n">
        <v>44418</v>
      </c>
      <c r="C7051" s="1" t="n">
        <v>45212</v>
      </c>
      <c r="D7051" t="inlineStr">
        <is>
          <t>VÄSTRA GÖTALANDS LÄN</t>
        </is>
      </c>
      <c r="E7051" t="inlineStr">
        <is>
          <t>FALKÖPING</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40115-2021</t>
        </is>
      </c>
      <c r="B7052" s="1" t="n">
        <v>44418</v>
      </c>
      <c r="C7052" s="1" t="n">
        <v>45212</v>
      </c>
      <c r="D7052" t="inlineStr">
        <is>
          <t>VÄSTRA GÖTALANDS LÄN</t>
        </is>
      </c>
      <c r="E7052" t="inlineStr">
        <is>
          <t>ULRICEHAMN</t>
        </is>
      </c>
      <c r="G7052" t="n">
        <v>7.8</v>
      </c>
      <c r="H7052" t="n">
        <v>0</v>
      </c>
      <c r="I7052" t="n">
        <v>0</v>
      </c>
      <c r="J7052" t="n">
        <v>0</v>
      </c>
      <c r="K7052" t="n">
        <v>0</v>
      </c>
      <c r="L7052" t="n">
        <v>0</v>
      </c>
      <c r="M7052" t="n">
        <v>0</v>
      </c>
      <c r="N7052" t="n">
        <v>0</v>
      </c>
      <c r="O7052" t="n">
        <v>0</v>
      </c>
      <c r="P7052" t="n">
        <v>0</v>
      </c>
      <c r="Q7052" t="n">
        <v>0</v>
      </c>
      <c r="R7052" s="2" t="inlineStr"/>
    </row>
    <row r="7053" ht="15" customHeight="1">
      <c r="A7053" t="inlineStr">
        <is>
          <t>A 40127-2021</t>
        </is>
      </c>
      <c r="B7053" s="1" t="n">
        <v>44418</v>
      </c>
      <c r="C7053" s="1" t="n">
        <v>45212</v>
      </c>
      <c r="D7053" t="inlineStr">
        <is>
          <t>VÄSTRA GÖTALANDS LÄN</t>
        </is>
      </c>
      <c r="E7053" t="inlineStr">
        <is>
          <t>TÖREBODA</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40201-2021</t>
        </is>
      </c>
      <c r="B7054" s="1" t="n">
        <v>44418</v>
      </c>
      <c r="C7054" s="1" t="n">
        <v>45212</v>
      </c>
      <c r="D7054" t="inlineStr">
        <is>
          <t>VÄSTRA GÖTALANDS LÄN</t>
        </is>
      </c>
      <c r="E7054" t="inlineStr">
        <is>
          <t>BOLLEBYGD</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40096-2021</t>
        </is>
      </c>
      <c r="B7055" s="1" t="n">
        <v>44418</v>
      </c>
      <c r="C7055" s="1" t="n">
        <v>45212</v>
      </c>
      <c r="D7055" t="inlineStr">
        <is>
          <t>VÄSTRA GÖTALANDS LÄN</t>
        </is>
      </c>
      <c r="E7055" t="inlineStr">
        <is>
          <t>GÖTENE</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40110-2021</t>
        </is>
      </c>
      <c r="B7056" s="1" t="n">
        <v>44418</v>
      </c>
      <c r="C7056" s="1" t="n">
        <v>45212</v>
      </c>
      <c r="D7056" t="inlineStr">
        <is>
          <t>VÄSTRA GÖTALANDS LÄN</t>
        </is>
      </c>
      <c r="E7056" t="inlineStr">
        <is>
          <t>UDDEVALLA</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40054-2021</t>
        </is>
      </c>
      <c r="B7057" s="1" t="n">
        <v>44418</v>
      </c>
      <c r="C7057" s="1" t="n">
        <v>45212</v>
      </c>
      <c r="D7057" t="inlineStr">
        <is>
          <t>VÄSTRA GÖTALANDS LÄN</t>
        </is>
      </c>
      <c r="E7057" t="inlineStr">
        <is>
          <t>SVENLJUNGA</t>
        </is>
      </c>
      <c r="G7057" t="n">
        <v>7.4</v>
      </c>
      <c r="H7057" t="n">
        <v>0</v>
      </c>
      <c r="I7057" t="n">
        <v>0</v>
      </c>
      <c r="J7057" t="n">
        <v>0</v>
      </c>
      <c r="K7057" t="n">
        <v>0</v>
      </c>
      <c r="L7057" t="n">
        <v>0</v>
      </c>
      <c r="M7057" t="n">
        <v>0</v>
      </c>
      <c r="N7057" t="n">
        <v>0</v>
      </c>
      <c r="O7057" t="n">
        <v>0</v>
      </c>
      <c r="P7057" t="n">
        <v>0</v>
      </c>
      <c r="Q7057" t="n">
        <v>0</v>
      </c>
      <c r="R7057" s="2" t="inlineStr"/>
    </row>
    <row r="7058" ht="15" customHeight="1">
      <c r="A7058" t="inlineStr">
        <is>
          <t>A 40105-2021</t>
        </is>
      </c>
      <c r="B7058" s="1" t="n">
        <v>44418</v>
      </c>
      <c r="C7058" s="1" t="n">
        <v>45212</v>
      </c>
      <c r="D7058" t="inlineStr">
        <is>
          <t>VÄSTRA GÖTALANDS LÄN</t>
        </is>
      </c>
      <c r="E7058" t="inlineStr">
        <is>
          <t>SKÖVDE</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40145-2021</t>
        </is>
      </c>
      <c r="B7059" s="1" t="n">
        <v>44418</v>
      </c>
      <c r="C7059" s="1" t="n">
        <v>45212</v>
      </c>
      <c r="D7059" t="inlineStr">
        <is>
          <t>VÄSTRA GÖTALANDS LÄN</t>
        </is>
      </c>
      <c r="E7059" t="inlineStr">
        <is>
          <t>TANUM</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40202-2021</t>
        </is>
      </c>
      <c r="B7060" s="1" t="n">
        <v>44418</v>
      </c>
      <c r="C7060" s="1" t="n">
        <v>45212</v>
      </c>
      <c r="D7060" t="inlineStr">
        <is>
          <t>VÄSTRA GÖTALANDS LÄN</t>
        </is>
      </c>
      <c r="E7060" t="inlineStr">
        <is>
          <t>BOLLEBYGD</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40226-2021</t>
        </is>
      </c>
      <c r="B7061" s="1" t="n">
        <v>44419</v>
      </c>
      <c r="C7061" s="1" t="n">
        <v>45212</v>
      </c>
      <c r="D7061" t="inlineStr">
        <is>
          <t>VÄSTRA GÖTALANDS LÄN</t>
        </is>
      </c>
      <c r="E7061" t="inlineStr">
        <is>
          <t>VÄNERSBORG</t>
        </is>
      </c>
      <c r="F7061" t="inlineStr">
        <is>
          <t>Sveaskog</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40224-2021</t>
        </is>
      </c>
      <c r="B7062" s="1" t="n">
        <v>44419</v>
      </c>
      <c r="C7062" s="1" t="n">
        <v>45212</v>
      </c>
      <c r="D7062" t="inlineStr">
        <is>
          <t>VÄSTRA GÖTALANDS LÄN</t>
        </is>
      </c>
      <c r="E7062" t="inlineStr">
        <is>
          <t>VÄNERSBORG</t>
        </is>
      </c>
      <c r="F7062" t="inlineStr">
        <is>
          <t>Sveaskog</t>
        </is>
      </c>
      <c r="G7062" t="n">
        <v>1.9</v>
      </c>
      <c r="H7062" t="n">
        <v>0</v>
      </c>
      <c r="I7062" t="n">
        <v>0</v>
      </c>
      <c r="J7062" t="n">
        <v>0</v>
      </c>
      <c r="K7062" t="n">
        <v>0</v>
      </c>
      <c r="L7062" t="n">
        <v>0</v>
      </c>
      <c r="M7062" t="n">
        <v>0</v>
      </c>
      <c r="N7062" t="n">
        <v>0</v>
      </c>
      <c r="O7062" t="n">
        <v>0</v>
      </c>
      <c r="P7062" t="n">
        <v>0</v>
      </c>
      <c r="Q7062" t="n">
        <v>0</v>
      </c>
      <c r="R7062" s="2" t="inlineStr"/>
    </row>
    <row r="7063" ht="15" customHeight="1">
      <c r="A7063" t="inlineStr">
        <is>
          <t>A 40275-2021</t>
        </is>
      </c>
      <c r="B7063" s="1" t="n">
        <v>44419</v>
      </c>
      <c r="C7063" s="1" t="n">
        <v>45212</v>
      </c>
      <c r="D7063" t="inlineStr">
        <is>
          <t>VÄSTRA GÖTALANDS LÄN</t>
        </is>
      </c>
      <c r="E7063" t="inlineStr">
        <is>
          <t>GULLSPÅNG</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40223-2021</t>
        </is>
      </c>
      <c r="B7064" s="1" t="n">
        <v>44419</v>
      </c>
      <c r="C7064" s="1" t="n">
        <v>45212</v>
      </c>
      <c r="D7064" t="inlineStr">
        <is>
          <t>VÄSTRA GÖTALANDS LÄN</t>
        </is>
      </c>
      <c r="E7064" t="inlineStr">
        <is>
          <t>VÄNERSBORG</t>
        </is>
      </c>
      <c r="F7064" t="inlineStr">
        <is>
          <t>Sveaskog</t>
        </is>
      </c>
      <c r="G7064" t="n">
        <v>7.5</v>
      </c>
      <c r="H7064" t="n">
        <v>0</v>
      </c>
      <c r="I7064" t="n">
        <v>0</v>
      </c>
      <c r="J7064" t="n">
        <v>0</v>
      </c>
      <c r="K7064" t="n">
        <v>0</v>
      </c>
      <c r="L7064" t="n">
        <v>0</v>
      </c>
      <c r="M7064" t="n">
        <v>0</v>
      </c>
      <c r="N7064" t="n">
        <v>0</v>
      </c>
      <c r="O7064" t="n">
        <v>0</v>
      </c>
      <c r="P7064" t="n">
        <v>0</v>
      </c>
      <c r="Q7064" t="n">
        <v>0</v>
      </c>
      <c r="R7064" s="2" t="inlineStr"/>
    </row>
    <row r="7065" ht="15" customHeight="1">
      <c r="A7065" t="inlineStr">
        <is>
          <t>A 40444-2021</t>
        </is>
      </c>
      <c r="B7065" s="1" t="n">
        <v>44419</v>
      </c>
      <c r="C7065" s="1" t="n">
        <v>45212</v>
      </c>
      <c r="D7065" t="inlineStr">
        <is>
          <t>VÄSTRA GÖTALANDS LÄN</t>
        </is>
      </c>
      <c r="E7065" t="inlineStr">
        <is>
          <t>ULRICEHAMN</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40627-2021</t>
        </is>
      </c>
      <c r="B7066" s="1" t="n">
        <v>44420</v>
      </c>
      <c r="C7066" s="1" t="n">
        <v>45212</v>
      </c>
      <c r="D7066" t="inlineStr">
        <is>
          <t>VÄSTRA GÖTALANDS LÄN</t>
        </is>
      </c>
      <c r="E7066" t="inlineStr">
        <is>
          <t>TIDAHOLM</t>
        </is>
      </c>
      <c r="F7066" t="inlineStr">
        <is>
          <t>Sveaskog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40714-2021</t>
        </is>
      </c>
      <c r="B7067" s="1" t="n">
        <v>44420</v>
      </c>
      <c r="C7067" s="1" t="n">
        <v>45212</v>
      </c>
      <c r="D7067" t="inlineStr">
        <is>
          <t>VÄSTRA GÖTALANDS LÄN</t>
        </is>
      </c>
      <c r="E7067" t="inlineStr">
        <is>
          <t>FALKÖPING</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40701-2021</t>
        </is>
      </c>
      <c r="B7068" s="1" t="n">
        <v>44420</v>
      </c>
      <c r="C7068" s="1" t="n">
        <v>45212</v>
      </c>
      <c r="D7068" t="inlineStr">
        <is>
          <t>VÄSTRA GÖTALANDS LÄN</t>
        </is>
      </c>
      <c r="E7068" t="inlineStr">
        <is>
          <t>LIDKÖPING</t>
        </is>
      </c>
      <c r="G7068" t="n">
        <v>0.7</v>
      </c>
      <c r="H7068" t="n">
        <v>0</v>
      </c>
      <c r="I7068" t="n">
        <v>0</v>
      </c>
      <c r="J7068" t="n">
        <v>0</v>
      </c>
      <c r="K7068" t="n">
        <v>0</v>
      </c>
      <c r="L7068" t="n">
        <v>0</v>
      </c>
      <c r="M7068" t="n">
        <v>0</v>
      </c>
      <c r="N7068" t="n">
        <v>0</v>
      </c>
      <c r="O7068" t="n">
        <v>0</v>
      </c>
      <c r="P7068" t="n">
        <v>0</v>
      </c>
      <c r="Q7068" t="n">
        <v>0</v>
      </c>
      <c r="R7068" s="2" t="inlineStr"/>
    </row>
    <row r="7069" ht="15" customHeight="1">
      <c r="A7069" t="inlineStr">
        <is>
          <t>A 40712-2021</t>
        </is>
      </c>
      <c r="B7069" s="1" t="n">
        <v>44420</v>
      </c>
      <c r="C7069" s="1" t="n">
        <v>45212</v>
      </c>
      <c r="D7069" t="inlineStr">
        <is>
          <t>VÄSTRA GÖTALANDS LÄN</t>
        </is>
      </c>
      <c r="E7069" t="inlineStr">
        <is>
          <t>SKÖVDE</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40928-2021</t>
        </is>
      </c>
      <c r="B7070" s="1" t="n">
        <v>44421</v>
      </c>
      <c r="C7070" s="1" t="n">
        <v>45212</v>
      </c>
      <c r="D7070" t="inlineStr">
        <is>
          <t>VÄSTRA GÖTALANDS LÄN</t>
        </is>
      </c>
      <c r="E7070" t="inlineStr">
        <is>
          <t>GULLSPÅNG</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41155-2021</t>
        </is>
      </c>
      <c r="B7071" s="1" t="n">
        <v>44421</v>
      </c>
      <c r="C7071" s="1" t="n">
        <v>45212</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40807-2021</t>
        </is>
      </c>
      <c r="B7072" s="1" t="n">
        <v>44421</v>
      </c>
      <c r="C7072" s="1" t="n">
        <v>45212</v>
      </c>
      <c r="D7072" t="inlineStr">
        <is>
          <t>VÄSTRA GÖTALANDS LÄN</t>
        </is>
      </c>
      <c r="E7072" t="inlineStr">
        <is>
          <t>TRANEMO</t>
        </is>
      </c>
      <c r="F7072" t="inlineStr">
        <is>
          <t>Kyrkan</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41048-2021</t>
        </is>
      </c>
      <c r="B7073" s="1" t="n">
        <v>44421</v>
      </c>
      <c r="C7073" s="1" t="n">
        <v>45212</v>
      </c>
      <c r="D7073" t="inlineStr">
        <is>
          <t>VÄSTRA GÖTALANDS LÄN</t>
        </is>
      </c>
      <c r="E7073" t="inlineStr">
        <is>
          <t>HERRLJUNGA</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41156-2021</t>
        </is>
      </c>
      <c r="B7074" s="1" t="n">
        <v>44421</v>
      </c>
      <c r="C7074" s="1" t="n">
        <v>45212</v>
      </c>
      <c r="D7074" t="inlineStr">
        <is>
          <t>VÄSTRA GÖTALANDS LÄN</t>
        </is>
      </c>
      <c r="E7074" t="inlineStr">
        <is>
          <t>SKÖVDE</t>
        </is>
      </c>
      <c r="G7074" t="n">
        <v>4</v>
      </c>
      <c r="H7074" t="n">
        <v>0</v>
      </c>
      <c r="I7074" t="n">
        <v>0</v>
      </c>
      <c r="J7074" t="n">
        <v>0</v>
      </c>
      <c r="K7074" t="n">
        <v>0</v>
      </c>
      <c r="L7074" t="n">
        <v>0</v>
      </c>
      <c r="M7074" t="n">
        <v>0</v>
      </c>
      <c r="N7074" t="n">
        <v>0</v>
      </c>
      <c r="O7074" t="n">
        <v>0</v>
      </c>
      <c r="P7074" t="n">
        <v>0</v>
      </c>
      <c r="Q7074" t="n">
        <v>0</v>
      </c>
      <c r="R7074" s="2" t="inlineStr"/>
    </row>
    <row r="7075" ht="15" customHeight="1">
      <c r="A7075" t="inlineStr">
        <is>
          <t>A 40935-2021</t>
        </is>
      </c>
      <c r="B7075" s="1" t="n">
        <v>44421</v>
      </c>
      <c r="C7075" s="1" t="n">
        <v>45212</v>
      </c>
      <c r="D7075" t="inlineStr">
        <is>
          <t>VÄSTRA GÖTALANDS LÄN</t>
        </is>
      </c>
      <c r="E7075" t="inlineStr">
        <is>
          <t>GULLSPÅNG</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40982-2021</t>
        </is>
      </c>
      <c r="B7076" s="1" t="n">
        <v>44421</v>
      </c>
      <c r="C7076" s="1" t="n">
        <v>45212</v>
      </c>
      <c r="D7076" t="inlineStr">
        <is>
          <t>VÄSTRA GÖTALANDS LÄN</t>
        </is>
      </c>
      <c r="E7076" t="inlineStr">
        <is>
          <t>GULLSPÅNG</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40864-2021</t>
        </is>
      </c>
      <c r="B7077" s="1" t="n">
        <v>44421</v>
      </c>
      <c r="C7077" s="1" t="n">
        <v>45212</v>
      </c>
      <c r="D7077" t="inlineStr">
        <is>
          <t>VÄSTRA GÖTALANDS LÄN</t>
        </is>
      </c>
      <c r="E7077" t="inlineStr">
        <is>
          <t>TROLLHÄTTAN</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41075-2021</t>
        </is>
      </c>
      <c r="B7078" s="1" t="n">
        <v>44422</v>
      </c>
      <c r="C7078" s="1" t="n">
        <v>45212</v>
      </c>
      <c r="D7078" t="inlineStr">
        <is>
          <t>VÄSTRA GÖTALANDS LÄN</t>
        </is>
      </c>
      <c r="E7078" t="inlineStr">
        <is>
          <t>TROLLHÄTTAN</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41765-2021</t>
        </is>
      </c>
      <c r="B7079" s="1" t="n">
        <v>44425</v>
      </c>
      <c r="C7079" s="1" t="n">
        <v>45212</v>
      </c>
      <c r="D7079" t="inlineStr">
        <is>
          <t>VÄSTRA GÖTALANDS LÄN</t>
        </is>
      </c>
      <c r="E7079" t="inlineStr">
        <is>
          <t>KUNGÄLV</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41771-2021</t>
        </is>
      </c>
      <c r="B7080" s="1" t="n">
        <v>44425</v>
      </c>
      <c r="C7080" s="1" t="n">
        <v>45212</v>
      </c>
      <c r="D7080" t="inlineStr">
        <is>
          <t>VÄSTRA GÖTALANDS LÄN</t>
        </is>
      </c>
      <c r="E7080" t="inlineStr">
        <is>
          <t>KUNGÄLV</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41942-2021</t>
        </is>
      </c>
      <c r="B7081" s="1" t="n">
        <v>44425</v>
      </c>
      <c r="C7081" s="1" t="n">
        <v>45212</v>
      </c>
      <c r="D7081" t="inlineStr">
        <is>
          <t>VÄSTRA GÖTALANDS LÄN</t>
        </is>
      </c>
      <c r="E7081" t="inlineStr">
        <is>
          <t>SKÖVDE</t>
        </is>
      </c>
      <c r="G7081" t="n">
        <v>5</v>
      </c>
      <c r="H7081" t="n">
        <v>0</v>
      </c>
      <c r="I7081" t="n">
        <v>0</v>
      </c>
      <c r="J7081" t="n">
        <v>0</v>
      </c>
      <c r="K7081" t="n">
        <v>0</v>
      </c>
      <c r="L7081" t="n">
        <v>0</v>
      </c>
      <c r="M7081" t="n">
        <v>0</v>
      </c>
      <c r="N7081" t="n">
        <v>0</v>
      </c>
      <c r="O7081" t="n">
        <v>0</v>
      </c>
      <c r="P7081" t="n">
        <v>0</v>
      </c>
      <c r="Q7081" t="n">
        <v>0</v>
      </c>
      <c r="R7081" s="2" t="inlineStr"/>
    </row>
    <row r="7082" ht="15" customHeight="1">
      <c r="A7082" t="inlineStr">
        <is>
          <t>A 41557-2021</t>
        </is>
      </c>
      <c r="B7082" s="1" t="n">
        <v>44425</v>
      </c>
      <c r="C7082" s="1" t="n">
        <v>45212</v>
      </c>
      <c r="D7082" t="inlineStr">
        <is>
          <t>VÄSTRA GÖTALANDS LÄN</t>
        </is>
      </c>
      <c r="E7082" t="inlineStr">
        <is>
          <t>TÖREBODA</t>
        </is>
      </c>
      <c r="F7082" t="inlineStr">
        <is>
          <t>Sveaskog</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41751-2021</t>
        </is>
      </c>
      <c r="B7083" s="1" t="n">
        <v>44425</v>
      </c>
      <c r="C7083" s="1" t="n">
        <v>45212</v>
      </c>
      <c r="D7083" t="inlineStr">
        <is>
          <t>VÄSTRA GÖTALANDS LÄN</t>
        </is>
      </c>
      <c r="E7083" t="inlineStr">
        <is>
          <t>KUNGÄLV</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41813-2021</t>
        </is>
      </c>
      <c r="B7084" s="1" t="n">
        <v>44425</v>
      </c>
      <c r="C7084" s="1" t="n">
        <v>45212</v>
      </c>
      <c r="D7084" t="inlineStr">
        <is>
          <t>VÄSTRA GÖTALANDS LÄN</t>
        </is>
      </c>
      <c r="E7084" t="inlineStr">
        <is>
          <t>MARK</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41964-2021</t>
        </is>
      </c>
      <c r="B7085" s="1" t="n">
        <v>44426</v>
      </c>
      <c r="C7085" s="1" t="n">
        <v>45212</v>
      </c>
      <c r="D7085" t="inlineStr">
        <is>
          <t>VÄSTRA GÖTALANDS LÄN</t>
        </is>
      </c>
      <c r="E7085" t="inlineStr">
        <is>
          <t>ÅMÅL</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42048-2021</t>
        </is>
      </c>
      <c r="B7086" s="1" t="n">
        <v>44426</v>
      </c>
      <c r="C7086" s="1" t="n">
        <v>45212</v>
      </c>
      <c r="D7086" t="inlineStr">
        <is>
          <t>VÄSTRA GÖTALANDS LÄN</t>
        </is>
      </c>
      <c r="E7086" t="inlineStr">
        <is>
          <t>TIBRO</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42080-2021</t>
        </is>
      </c>
      <c r="B7087" s="1" t="n">
        <v>44426</v>
      </c>
      <c r="C7087" s="1" t="n">
        <v>45212</v>
      </c>
      <c r="D7087" t="inlineStr">
        <is>
          <t>VÄSTRA GÖTALANDS LÄN</t>
        </is>
      </c>
      <c r="E7087" t="inlineStr">
        <is>
          <t>TANUM</t>
        </is>
      </c>
      <c r="F7087" t="inlineStr">
        <is>
          <t>Kyrkan</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41954-2021</t>
        </is>
      </c>
      <c r="B7088" s="1" t="n">
        <v>44426</v>
      </c>
      <c r="C7088" s="1" t="n">
        <v>45212</v>
      </c>
      <c r="D7088" t="inlineStr">
        <is>
          <t>VÄSTRA GÖTALANDS LÄN</t>
        </is>
      </c>
      <c r="E7088" t="inlineStr">
        <is>
          <t>KARLSBORG</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42215-2021</t>
        </is>
      </c>
      <c r="B7089" s="1" t="n">
        <v>44426</v>
      </c>
      <c r="C7089" s="1" t="n">
        <v>45212</v>
      </c>
      <c r="D7089" t="inlineStr">
        <is>
          <t>VÄSTRA GÖTALANDS LÄN</t>
        </is>
      </c>
      <c r="E7089" t="inlineStr">
        <is>
          <t>TÖREBODA</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41977-2021</t>
        </is>
      </c>
      <c r="B7090" s="1" t="n">
        <v>44426</v>
      </c>
      <c r="C7090" s="1" t="n">
        <v>45212</v>
      </c>
      <c r="D7090" t="inlineStr">
        <is>
          <t>VÄSTRA GÖTALANDS LÄN</t>
        </is>
      </c>
      <c r="E7090" t="inlineStr">
        <is>
          <t>GÖTENE</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41886-2021</t>
        </is>
      </c>
      <c r="B7091" s="1" t="n">
        <v>44426</v>
      </c>
      <c r="C7091" s="1" t="n">
        <v>45212</v>
      </c>
      <c r="D7091" t="inlineStr">
        <is>
          <t>VÄSTRA GÖTALANDS LÄN</t>
        </is>
      </c>
      <c r="E7091" t="inlineStr">
        <is>
          <t>TIBRO</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41921-2021</t>
        </is>
      </c>
      <c r="B7092" s="1" t="n">
        <v>44426</v>
      </c>
      <c r="C7092" s="1" t="n">
        <v>45212</v>
      </c>
      <c r="D7092" t="inlineStr">
        <is>
          <t>VÄSTRA GÖTALANDS LÄN</t>
        </is>
      </c>
      <c r="E7092" t="inlineStr">
        <is>
          <t>MUNKEDAL</t>
        </is>
      </c>
      <c r="G7092" t="n">
        <v>6.5</v>
      </c>
      <c r="H7092" t="n">
        <v>0</v>
      </c>
      <c r="I7092" t="n">
        <v>0</v>
      </c>
      <c r="J7092" t="n">
        <v>0</v>
      </c>
      <c r="K7092" t="n">
        <v>0</v>
      </c>
      <c r="L7092" t="n">
        <v>0</v>
      </c>
      <c r="M7092" t="n">
        <v>0</v>
      </c>
      <c r="N7092" t="n">
        <v>0</v>
      </c>
      <c r="O7092" t="n">
        <v>0</v>
      </c>
      <c r="P7092" t="n">
        <v>0</v>
      </c>
      <c r="Q7092" t="n">
        <v>0</v>
      </c>
      <c r="R7092" s="2" t="inlineStr"/>
    </row>
    <row r="7093" ht="15" customHeight="1">
      <c r="A7093" t="inlineStr">
        <is>
          <t>A 42097-2021</t>
        </is>
      </c>
      <c r="B7093" s="1" t="n">
        <v>44426</v>
      </c>
      <c r="C7093" s="1" t="n">
        <v>45212</v>
      </c>
      <c r="D7093" t="inlineStr">
        <is>
          <t>VÄSTRA GÖTALANDS LÄN</t>
        </is>
      </c>
      <c r="E7093" t="inlineStr">
        <is>
          <t>TANUM</t>
        </is>
      </c>
      <c r="F7093" t="inlineStr">
        <is>
          <t>Kyrkan</t>
        </is>
      </c>
      <c r="G7093" t="n">
        <v>1.9</v>
      </c>
      <c r="H7093" t="n">
        <v>0</v>
      </c>
      <c r="I7093" t="n">
        <v>0</v>
      </c>
      <c r="J7093" t="n">
        <v>0</v>
      </c>
      <c r="K7093" t="n">
        <v>0</v>
      </c>
      <c r="L7093" t="n">
        <v>0</v>
      </c>
      <c r="M7093" t="n">
        <v>0</v>
      </c>
      <c r="N7093" t="n">
        <v>0</v>
      </c>
      <c r="O7093" t="n">
        <v>0</v>
      </c>
      <c r="P7093" t="n">
        <v>0</v>
      </c>
      <c r="Q7093" t="n">
        <v>0</v>
      </c>
      <c r="R7093" s="2" t="inlineStr"/>
    </row>
    <row r="7094" ht="15" customHeight="1">
      <c r="A7094" t="inlineStr">
        <is>
          <t>A 42161-2021</t>
        </is>
      </c>
      <c r="B7094" s="1" t="n">
        <v>44426</v>
      </c>
      <c r="C7094" s="1" t="n">
        <v>45212</v>
      </c>
      <c r="D7094" t="inlineStr">
        <is>
          <t>VÄSTRA GÖTALANDS LÄN</t>
        </is>
      </c>
      <c r="E7094" t="inlineStr">
        <is>
          <t>MARIESTAD</t>
        </is>
      </c>
      <c r="G7094" t="n">
        <v>3.6</v>
      </c>
      <c r="H7094" t="n">
        <v>0</v>
      </c>
      <c r="I7094" t="n">
        <v>0</v>
      </c>
      <c r="J7094" t="n">
        <v>0</v>
      </c>
      <c r="K7094" t="n">
        <v>0</v>
      </c>
      <c r="L7094" t="n">
        <v>0</v>
      </c>
      <c r="M7094" t="n">
        <v>0</v>
      </c>
      <c r="N7094" t="n">
        <v>0</v>
      </c>
      <c r="O7094" t="n">
        <v>0</v>
      </c>
      <c r="P7094" t="n">
        <v>0</v>
      </c>
      <c r="Q7094" t="n">
        <v>0</v>
      </c>
      <c r="R7094" s="2" t="inlineStr"/>
    </row>
    <row r="7095" ht="15" customHeight="1">
      <c r="A7095" t="inlineStr">
        <is>
          <t>A 42451-2021</t>
        </is>
      </c>
      <c r="B7095" s="1" t="n">
        <v>44427</v>
      </c>
      <c r="C7095" s="1" t="n">
        <v>45212</v>
      </c>
      <c r="D7095" t="inlineStr">
        <is>
          <t>VÄSTRA GÖTALANDS LÄN</t>
        </is>
      </c>
      <c r="E7095" t="inlineStr">
        <is>
          <t>ALINGSÅS</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42486-2021</t>
        </is>
      </c>
      <c r="B7096" s="1" t="n">
        <v>44427</v>
      </c>
      <c r="C7096" s="1" t="n">
        <v>45212</v>
      </c>
      <c r="D7096" t="inlineStr">
        <is>
          <t>VÄSTRA GÖTALANDS LÄN</t>
        </is>
      </c>
      <c r="E7096" t="inlineStr">
        <is>
          <t>VARA</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42350-2021</t>
        </is>
      </c>
      <c r="B7097" s="1" t="n">
        <v>44427</v>
      </c>
      <c r="C7097" s="1" t="n">
        <v>45212</v>
      </c>
      <c r="D7097" t="inlineStr">
        <is>
          <t>VÄSTRA GÖTALANDS LÄN</t>
        </is>
      </c>
      <c r="E7097" t="inlineStr">
        <is>
          <t>TÖREBODA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42501-2021</t>
        </is>
      </c>
      <c r="B7098" s="1" t="n">
        <v>44427</v>
      </c>
      <c r="C7098" s="1" t="n">
        <v>45212</v>
      </c>
      <c r="D7098" t="inlineStr">
        <is>
          <t>VÄSTRA GÖTALANDS LÄN</t>
        </is>
      </c>
      <c r="E7098" t="inlineStr">
        <is>
          <t>KARLSBORG</t>
        </is>
      </c>
      <c r="F7098" t="inlineStr">
        <is>
          <t>Övriga Aktiebolag</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42341-2021</t>
        </is>
      </c>
      <c r="B7099" s="1" t="n">
        <v>44427</v>
      </c>
      <c r="C7099" s="1" t="n">
        <v>45212</v>
      </c>
      <c r="D7099" t="inlineStr">
        <is>
          <t>VÄSTRA GÖTALANDS LÄN</t>
        </is>
      </c>
      <c r="E7099" t="inlineStr">
        <is>
          <t>DALS-ED</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42588-2021</t>
        </is>
      </c>
      <c r="B7100" s="1" t="n">
        <v>44428</v>
      </c>
      <c r="C7100" s="1" t="n">
        <v>45212</v>
      </c>
      <c r="D7100" t="inlineStr">
        <is>
          <t>VÄSTRA GÖTALANDS LÄN</t>
        </is>
      </c>
      <c r="E7100" t="inlineStr">
        <is>
          <t>DALS-ED</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42869-2021</t>
        </is>
      </c>
      <c r="B7101" s="1" t="n">
        <v>44428</v>
      </c>
      <c r="C7101" s="1" t="n">
        <v>45212</v>
      </c>
      <c r="D7101" t="inlineStr">
        <is>
          <t>VÄSTRA GÖTALANDS LÄN</t>
        </is>
      </c>
      <c r="E7101" t="inlineStr">
        <is>
          <t>BENGTSFORS</t>
        </is>
      </c>
      <c r="F7101" t="inlineStr">
        <is>
          <t>Kyrkan</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42886-2021</t>
        </is>
      </c>
      <c r="B7102" s="1" t="n">
        <v>44428</v>
      </c>
      <c r="C7102" s="1" t="n">
        <v>45212</v>
      </c>
      <c r="D7102" t="inlineStr">
        <is>
          <t>VÄSTRA GÖTALANDS LÄN</t>
        </is>
      </c>
      <c r="E7102" t="inlineStr">
        <is>
          <t>FALKÖPING</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42661-2021</t>
        </is>
      </c>
      <c r="B7103" s="1" t="n">
        <v>44428</v>
      </c>
      <c r="C7103" s="1" t="n">
        <v>45212</v>
      </c>
      <c r="D7103" t="inlineStr">
        <is>
          <t>VÄSTRA GÖTALANDS LÄN</t>
        </is>
      </c>
      <c r="E7103" t="inlineStr">
        <is>
          <t>KARLSBORG</t>
        </is>
      </c>
      <c r="F7103" t="inlineStr">
        <is>
          <t>Kyrkan</t>
        </is>
      </c>
      <c r="G7103" t="n">
        <v>0.5</v>
      </c>
      <c r="H7103" t="n">
        <v>0</v>
      </c>
      <c r="I7103" t="n">
        <v>0</v>
      </c>
      <c r="J7103" t="n">
        <v>0</v>
      </c>
      <c r="K7103" t="n">
        <v>0</v>
      </c>
      <c r="L7103" t="n">
        <v>0</v>
      </c>
      <c r="M7103" t="n">
        <v>0</v>
      </c>
      <c r="N7103" t="n">
        <v>0</v>
      </c>
      <c r="O7103" t="n">
        <v>0</v>
      </c>
      <c r="P7103" t="n">
        <v>0</v>
      </c>
      <c r="Q7103" t="n">
        <v>0</v>
      </c>
      <c r="R7103" s="2" t="inlineStr"/>
    </row>
    <row r="7104" ht="15" customHeight="1">
      <c r="A7104" t="inlineStr">
        <is>
          <t>A 42900-2021</t>
        </is>
      </c>
      <c r="B7104" s="1" t="n">
        <v>44428</v>
      </c>
      <c r="C7104" s="1" t="n">
        <v>45212</v>
      </c>
      <c r="D7104" t="inlineStr">
        <is>
          <t>VÄSTRA GÖTALANDS LÄN</t>
        </is>
      </c>
      <c r="E7104" t="inlineStr">
        <is>
          <t>FALKÖPING</t>
        </is>
      </c>
      <c r="G7104" t="n">
        <v>8.699999999999999</v>
      </c>
      <c r="H7104" t="n">
        <v>0</v>
      </c>
      <c r="I7104" t="n">
        <v>0</v>
      </c>
      <c r="J7104" t="n">
        <v>0</v>
      </c>
      <c r="K7104" t="n">
        <v>0</v>
      </c>
      <c r="L7104" t="n">
        <v>0</v>
      </c>
      <c r="M7104" t="n">
        <v>0</v>
      </c>
      <c r="N7104" t="n">
        <v>0</v>
      </c>
      <c r="O7104" t="n">
        <v>0</v>
      </c>
      <c r="P7104" t="n">
        <v>0</v>
      </c>
      <c r="Q7104" t="n">
        <v>0</v>
      </c>
      <c r="R7104" s="2" t="inlineStr"/>
    </row>
    <row r="7105" ht="15" customHeight="1">
      <c r="A7105" t="inlineStr">
        <is>
          <t>A 42622-2021</t>
        </is>
      </c>
      <c r="B7105" s="1" t="n">
        <v>44428</v>
      </c>
      <c r="C7105" s="1" t="n">
        <v>45212</v>
      </c>
      <c r="D7105" t="inlineStr">
        <is>
          <t>VÄSTRA GÖTALANDS LÄN</t>
        </is>
      </c>
      <c r="E7105" t="inlineStr">
        <is>
          <t>MELLERUD</t>
        </is>
      </c>
      <c r="G7105" t="n">
        <v>4.1</v>
      </c>
      <c r="H7105" t="n">
        <v>0</v>
      </c>
      <c r="I7105" t="n">
        <v>0</v>
      </c>
      <c r="J7105" t="n">
        <v>0</v>
      </c>
      <c r="K7105" t="n">
        <v>0</v>
      </c>
      <c r="L7105" t="n">
        <v>0</v>
      </c>
      <c r="M7105" t="n">
        <v>0</v>
      </c>
      <c r="N7105" t="n">
        <v>0</v>
      </c>
      <c r="O7105" t="n">
        <v>0</v>
      </c>
      <c r="P7105" t="n">
        <v>0</v>
      </c>
      <c r="Q7105" t="n">
        <v>0</v>
      </c>
      <c r="R7105" s="2" t="inlineStr"/>
    </row>
    <row r="7106" ht="15" customHeight="1">
      <c r="A7106" t="inlineStr">
        <is>
          <t>A 42919-2021</t>
        </is>
      </c>
      <c r="B7106" s="1" t="n">
        <v>44429</v>
      </c>
      <c r="C7106" s="1" t="n">
        <v>45212</v>
      </c>
      <c r="D7106" t="inlineStr">
        <is>
          <t>VÄSTRA GÖTALANDS LÄN</t>
        </is>
      </c>
      <c r="E7106" t="inlineStr">
        <is>
          <t>FALKÖPING</t>
        </is>
      </c>
      <c r="G7106" t="n">
        <v>3.5</v>
      </c>
      <c r="H7106" t="n">
        <v>0</v>
      </c>
      <c r="I7106" t="n">
        <v>0</v>
      </c>
      <c r="J7106" t="n">
        <v>0</v>
      </c>
      <c r="K7106" t="n">
        <v>0</v>
      </c>
      <c r="L7106" t="n">
        <v>0</v>
      </c>
      <c r="M7106" t="n">
        <v>0</v>
      </c>
      <c r="N7106" t="n">
        <v>0</v>
      </c>
      <c r="O7106" t="n">
        <v>0</v>
      </c>
      <c r="P7106" t="n">
        <v>0</v>
      </c>
      <c r="Q7106" t="n">
        <v>0</v>
      </c>
      <c r="R7106" s="2" t="inlineStr"/>
    </row>
    <row r="7107" ht="15" customHeight="1">
      <c r="A7107" t="inlineStr">
        <is>
          <t>A 42923-2021</t>
        </is>
      </c>
      <c r="B7107" s="1" t="n">
        <v>44429</v>
      </c>
      <c r="C7107" s="1" t="n">
        <v>45212</v>
      </c>
      <c r="D7107" t="inlineStr">
        <is>
          <t>VÄSTRA GÖTALANDS LÄN</t>
        </is>
      </c>
      <c r="E7107" t="inlineStr">
        <is>
          <t>FALKÖPING</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42822-2021</t>
        </is>
      </c>
      <c r="B7108" s="1" t="n">
        <v>44430</v>
      </c>
      <c r="C7108" s="1" t="n">
        <v>45212</v>
      </c>
      <c r="D7108" t="inlineStr">
        <is>
          <t>VÄSTRA GÖTALANDS LÄN</t>
        </is>
      </c>
      <c r="E7108" t="inlineStr">
        <is>
          <t>MARK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42863-2021</t>
        </is>
      </c>
      <c r="B7109" s="1" t="n">
        <v>44430</v>
      </c>
      <c r="C7109" s="1" t="n">
        <v>45212</v>
      </c>
      <c r="D7109" t="inlineStr">
        <is>
          <t>VÄSTRA GÖTALANDS LÄN</t>
        </is>
      </c>
      <c r="E7109" t="inlineStr">
        <is>
          <t>SKÖVDE</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42877-2021</t>
        </is>
      </c>
      <c r="B7110" s="1" t="n">
        <v>44431</v>
      </c>
      <c r="C7110" s="1" t="n">
        <v>45212</v>
      </c>
      <c r="D7110" t="inlineStr">
        <is>
          <t>VÄSTRA GÖTALANDS LÄN</t>
        </is>
      </c>
      <c r="E7110" t="inlineStr">
        <is>
          <t>BOLLEBYGD</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43170-2021</t>
        </is>
      </c>
      <c r="B7111" s="1" t="n">
        <v>44431</v>
      </c>
      <c r="C7111" s="1" t="n">
        <v>45212</v>
      </c>
      <c r="D7111" t="inlineStr">
        <is>
          <t>VÄSTRA GÖTALANDS LÄN</t>
        </is>
      </c>
      <c r="E7111" t="inlineStr">
        <is>
          <t>UDDEVALLA</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43053-2021</t>
        </is>
      </c>
      <c r="B7112" s="1" t="n">
        <v>44431</v>
      </c>
      <c r="C7112" s="1" t="n">
        <v>45212</v>
      </c>
      <c r="D7112" t="inlineStr">
        <is>
          <t>VÄSTRA GÖTALANDS LÄN</t>
        </is>
      </c>
      <c r="E7112" t="inlineStr">
        <is>
          <t>SOTENÄS</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43173-2021</t>
        </is>
      </c>
      <c r="B7113" s="1" t="n">
        <v>44431</v>
      </c>
      <c r="C7113" s="1" t="n">
        <v>45212</v>
      </c>
      <c r="D7113" t="inlineStr">
        <is>
          <t>VÄSTRA GÖTALANDS LÄN</t>
        </is>
      </c>
      <c r="E7113" t="inlineStr">
        <is>
          <t>UDDEVALLA</t>
        </is>
      </c>
      <c r="G7113" t="n">
        <v>6.4</v>
      </c>
      <c r="H7113" t="n">
        <v>0</v>
      </c>
      <c r="I7113" t="n">
        <v>0</v>
      </c>
      <c r="J7113" t="n">
        <v>0</v>
      </c>
      <c r="K7113" t="n">
        <v>0</v>
      </c>
      <c r="L7113" t="n">
        <v>0</v>
      </c>
      <c r="M7113" t="n">
        <v>0</v>
      </c>
      <c r="N7113" t="n">
        <v>0</v>
      </c>
      <c r="O7113" t="n">
        <v>0</v>
      </c>
      <c r="P7113" t="n">
        <v>0</v>
      </c>
      <c r="Q7113" t="n">
        <v>0</v>
      </c>
      <c r="R7113" s="2" t="inlineStr"/>
    </row>
    <row r="7114" ht="15" customHeight="1">
      <c r="A7114" t="inlineStr">
        <is>
          <t>A 43328-2021</t>
        </is>
      </c>
      <c r="B7114" s="1" t="n">
        <v>44431</v>
      </c>
      <c r="C7114" s="1" t="n">
        <v>45212</v>
      </c>
      <c r="D7114" t="inlineStr">
        <is>
          <t>VÄSTRA GÖTALANDS LÄN</t>
        </is>
      </c>
      <c r="E7114" t="inlineStr">
        <is>
          <t>TIDAHOLM</t>
        </is>
      </c>
      <c r="G7114" t="n">
        <v>0.8</v>
      </c>
      <c r="H7114" t="n">
        <v>0</v>
      </c>
      <c r="I7114" t="n">
        <v>0</v>
      </c>
      <c r="J7114" t="n">
        <v>0</v>
      </c>
      <c r="K7114" t="n">
        <v>0</v>
      </c>
      <c r="L7114" t="n">
        <v>0</v>
      </c>
      <c r="M7114" t="n">
        <v>0</v>
      </c>
      <c r="N7114" t="n">
        <v>0</v>
      </c>
      <c r="O7114" t="n">
        <v>0</v>
      </c>
      <c r="P7114" t="n">
        <v>0</v>
      </c>
      <c r="Q7114" t="n">
        <v>0</v>
      </c>
      <c r="R7114" s="2" t="inlineStr"/>
    </row>
    <row r="7115" ht="15" customHeight="1">
      <c r="A7115" t="inlineStr">
        <is>
          <t>A 42986-2021</t>
        </is>
      </c>
      <c r="B7115" s="1" t="n">
        <v>44431</v>
      </c>
      <c r="C7115" s="1" t="n">
        <v>45212</v>
      </c>
      <c r="D7115" t="inlineStr">
        <is>
          <t>VÄSTRA GÖTALANDS LÄN</t>
        </is>
      </c>
      <c r="E7115" t="inlineStr">
        <is>
          <t>HERRLJUNGA</t>
        </is>
      </c>
      <c r="F7115" t="inlineStr">
        <is>
          <t>Kyrkan</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43056-2021</t>
        </is>
      </c>
      <c r="B7116" s="1" t="n">
        <v>44431</v>
      </c>
      <c r="C7116" s="1" t="n">
        <v>45212</v>
      </c>
      <c r="D7116" t="inlineStr">
        <is>
          <t>VÄSTRA GÖTALANDS LÄN</t>
        </is>
      </c>
      <c r="E7116" t="inlineStr">
        <is>
          <t>SOTENÄS</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43116-2021</t>
        </is>
      </c>
      <c r="B7117" s="1" t="n">
        <v>44431</v>
      </c>
      <c r="C7117" s="1" t="n">
        <v>45212</v>
      </c>
      <c r="D7117" t="inlineStr">
        <is>
          <t>VÄSTRA GÖTALANDS LÄN</t>
        </is>
      </c>
      <c r="E7117" t="inlineStr">
        <is>
          <t>FÄRGELANDA</t>
        </is>
      </c>
      <c r="F7117" t="inlineStr">
        <is>
          <t>Övriga Aktiebolag</t>
        </is>
      </c>
      <c r="G7117" t="n">
        <v>9.9</v>
      </c>
      <c r="H7117" t="n">
        <v>0</v>
      </c>
      <c r="I7117" t="n">
        <v>0</v>
      </c>
      <c r="J7117" t="n">
        <v>0</v>
      </c>
      <c r="K7117" t="n">
        <v>0</v>
      </c>
      <c r="L7117" t="n">
        <v>0</v>
      </c>
      <c r="M7117" t="n">
        <v>0</v>
      </c>
      <c r="N7117" t="n">
        <v>0</v>
      </c>
      <c r="O7117" t="n">
        <v>0</v>
      </c>
      <c r="P7117" t="n">
        <v>0</v>
      </c>
      <c r="Q7117" t="n">
        <v>0</v>
      </c>
      <c r="R7117" s="2" t="inlineStr"/>
    </row>
    <row r="7118" ht="15" customHeight="1">
      <c r="A7118" t="inlineStr">
        <is>
          <t>A 43168-2021</t>
        </is>
      </c>
      <c r="B7118" s="1" t="n">
        <v>44431</v>
      </c>
      <c r="C7118" s="1" t="n">
        <v>45212</v>
      </c>
      <c r="D7118" t="inlineStr">
        <is>
          <t>VÄSTRA GÖTALANDS LÄN</t>
        </is>
      </c>
      <c r="E7118" t="inlineStr">
        <is>
          <t>ÅMÅL</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43338-2021</t>
        </is>
      </c>
      <c r="B7119" s="1" t="n">
        <v>44431</v>
      </c>
      <c r="C7119" s="1" t="n">
        <v>45212</v>
      </c>
      <c r="D7119" t="inlineStr">
        <is>
          <t>VÄSTRA GÖTALANDS LÄN</t>
        </is>
      </c>
      <c r="E7119" t="inlineStr">
        <is>
          <t>TIDAHOLM</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43336-2021</t>
        </is>
      </c>
      <c r="B7120" s="1" t="n">
        <v>44432</v>
      </c>
      <c r="C7120" s="1" t="n">
        <v>45212</v>
      </c>
      <c r="D7120" t="inlineStr">
        <is>
          <t>VÄSTRA GÖTALANDS LÄN</t>
        </is>
      </c>
      <c r="E7120" t="inlineStr">
        <is>
          <t>BENGTSFORS</t>
        </is>
      </c>
      <c r="G7120" t="n">
        <v>3.3</v>
      </c>
      <c r="H7120" t="n">
        <v>0</v>
      </c>
      <c r="I7120" t="n">
        <v>0</v>
      </c>
      <c r="J7120" t="n">
        <v>0</v>
      </c>
      <c r="K7120" t="n">
        <v>0</v>
      </c>
      <c r="L7120" t="n">
        <v>0</v>
      </c>
      <c r="M7120" t="n">
        <v>0</v>
      </c>
      <c r="N7120" t="n">
        <v>0</v>
      </c>
      <c r="O7120" t="n">
        <v>0</v>
      </c>
      <c r="P7120" t="n">
        <v>0</v>
      </c>
      <c r="Q7120" t="n">
        <v>0</v>
      </c>
      <c r="R7120" s="2" t="inlineStr"/>
    </row>
    <row r="7121" ht="15" customHeight="1">
      <c r="A7121" t="inlineStr">
        <is>
          <t>A 43350-2021</t>
        </is>
      </c>
      <c r="B7121" s="1" t="n">
        <v>44432</v>
      </c>
      <c r="C7121" s="1" t="n">
        <v>45212</v>
      </c>
      <c r="D7121" t="inlineStr">
        <is>
          <t>VÄSTRA GÖTALANDS LÄN</t>
        </is>
      </c>
      <c r="E7121" t="inlineStr">
        <is>
          <t>MARK</t>
        </is>
      </c>
      <c r="G7121" t="n">
        <v>4.9</v>
      </c>
      <c r="H7121" t="n">
        <v>0</v>
      </c>
      <c r="I7121" t="n">
        <v>0</v>
      </c>
      <c r="J7121" t="n">
        <v>0</v>
      </c>
      <c r="K7121" t="n">
        <v>0</v>
      </c>
      <c r="L7121" t="n">
        <v>0</v>
      </c>
      <c r="M7121" t="n">
        <v>0</v>
      </c>
      <c r="N7121" t="n">
        <v>0</v>
      </c>
      <c r="O7121" t="n">
        <v>0</v>
      </c>
      <c r="P7121" t="n">
        <v>0</v>
      </c>
      <c r="Q7121" t="n">
        <v>0</v>
      </c>
      <c r="R7121" s="2" t="inlineStr"/>
    </row>
    <row r="7122" ht="15" customHeight="1">
      <c r="A7122" t="inlineStr">
        <is>
          <t>A 43356-2021</t>
        </is>
      </c>
      <c r="B7122" s="1" t="n">
        <v>44432</v>
      </c>
      <c r="C7122" s="1" t="n">
        <v>45212</v>
      </c>
      <c r="D7122" t="inlineStr">
        <is>
          <t>VÄSTRA GÖTALANDS LÄN</t>
        </is>
      </c>
      <c r="E7122" t="inlineStr">
        <is>
          <t>VARA</t>
        </is>
      </c>
      <c r="G7122" t="n">
        <v>8.5</v>
      </c>
      <c r="H7122" t="n">
        <v>0</v>
      </c>
      <c r="I7122" t="n">
        <v>0</v>
      </c>
      <c r="J7122" t="n">
        <v>0</v>
      </c>
      <c r="K7122" t="n">
        <v>0</v>
      </c>
      <c r="L7122" t="n">
        <v>0</v>
      </c>
      <c r="M7122" t="n">
        <v>0</v>
      </c>
      <c r="N7122" t="n">
        <v>0</v>
      </c>
      <c r="O7122" t="n">
        <v>0</v>
      </c>
      <c r="P7122" t="n">
        <v>0</v>
      </c>
      <c r="Q7122" t="n">
        <v>0</v>
      </c>
      <c r="R7122" s="2" t="inlineStr"/>
    </row>
    <row r="7123" ht="15" customHeight="1">
      <c r="A7123" t="inlineStr">
        <is>
          <t>A 43432-2021</t>
        </is>
      </c>
      <c r="B7123" s="1" t="n">
        <v>44432</v>
      </c>
      <c r="C7123" s="1" t="n">
        <v>45212</v>
      </c>
      <c r="D7123" t="inlineStr">
        <is>
          <t>VÄSTRA GÖTALANDS LÄN</t>
        </is>
      </c>
      <c r="E7123" t="inlineStr">
        <is>
          <t>SVENLJUNGA</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43374-2021</t>
        </is>
      </c>
      <c r="B7124" s="1" t="n">
        <v>44432</v>
      </c>
      <c r="C7124" s="1" t="n">
        <v>45212</v>
      </c>
      <c r="D7124" t="inlineStr">
        <is>
          <t>VÄSTRA GÖTALANDS LÄN</t>
        </is>
      </c>
      <c r="E7124" t="inlineStr">
        <is>
          <t>TROLLHÄTTAN</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43430-2021</t>
        </is>
      </c>
      <c r="B7125" s="1" t="n">
        <v>44432</v>
      </c>
      <c r="C7125" s="1" t="n">
        <v>45212</v>
      </c>
      <c r="D7125" t="inlineStr">
        <is>
          <t>VÄSTRA GÖTALANDS LÄN</t>
        </is>
      </c>
      <c r="E7125" t="inlineStr">
        <is>
          <t>SVENLJUNGA</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43352-2021</t>
        </is>
      </c>
      <c r="B7126" s="1" t="n">
        <v>44432</v>
      </c>
      <c r="C7126" s="1" t="n">
        <v>45212</v>
      </c>
      <c r="D7126" t="inlineStr">
        <is>
          <t>VÄSTRA GÖTALANDS LÄN</t>
        </is>
      </c>
      <c r="E7126" t="inlineStr">
        <is>
          <t>VARA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43547-2021</t>
        </is>
      </c>
      <c r="B7127" s="1" t="n">
        <v>44432</v>
      </c>
      <c r="C7127" s="1" t="n">
        <v>45212</v>
      </c>
      <c r="D7127" t="inlineStr">
        <is>
          <t>VÄSTRA GÖTALANDS LÄN</t>
        </is>
      </c>
      <c r="E7127" t="inlineStr">
        <is>
          <t>MUNKEDAL</t>
        </is>
      </c>
      <c r="F7127" t="inlineStr">
        <is>
          <t>Övriga Aktiebolag</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43564-2021</t>
        </is>
      </c>
      <c r="B7128" s="1" t="n">
        <v>44433</v>
      </c>
      <c r="C7128" s="1" t="n">
        <v>45212</v>
      </c>
      <c r="D7128" t="inlineStr">
        <is>
          <t>VÄSTRA GÖTALANDS LÄN</t>
        </is>
      </c>
      <c r="E7128" t="inlineStr">
        <is>
          <t>SKARA</t>
        </is>
      </c>
      <c r="G7128" t="n">
        <v>5</v>
      </c>
      <c r="H7128" t="n">
        <v>0</v>
      </c>
      <c r="I7128" t="n">
        <v>0</v>
      </c>
      <c r="J7128" t="n">
        <v>0</v>
      </c>
      <c r="K7128" t="n">
        <v>0</v>
      </c>
      <c r="L7128" t="n">
        <v>0</v>
      </c>
      <c r="M7128" t="n">
        <v>0</v>
      </c>
      <c r="N7128" t="n">
        <v>0</v>
      </c>
      <c r="O7128" t="n">
        <v>0</v>
      </c>
      <c r="P7128" t="n">
        <v>0</v>
      </c>
      <c r="Q7128" t="n">
        <v>0</v>
      </c>
      <c r="R7128" s="2" t="inlineStr"/>
    </row>
    <row r="7129" ht="15" customHeight="1">
      <c r="A7129" t="inlineStr">
        <is>
          <t>A 43621-2021</t>
        </is>
      </c>
      <c r="B7129" s="1" t="n">
        <v>44433</v>
      </c>
      <c r="C7129" s="1" t="n">
        <v>45212</v>
      </c>
      <c r="D7129" t="inlineStr">
        <is>
          <t>VÄSTRA GÖTALANDS LÄN</t>
        </is>
      </c>
      <c r="E7129" t="inlineStr">
        <is>
          <t>VÄNERSBORG</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43733-2021</t>
        </is>
      </c>
      <c r="B7130" s="1" t="n">
        <v>44433</v>
      </c>
      <c r="C7130" s="1" t="n">
        <v>45212</v>
      </c>
      <c r="D7130" t="inlineStr">
        <is>
          <t>VÄSTRA GÖTALANDS LÄN</t>
        </is>
      </c>
      <c r="E7130" t="inlineStr">
        <is>
          <t>FALKÖPING</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43812-2021</t>
        </is>
      </c>
      <c r="B7131" s="1" t="n">
        <v>44433</v>
      </c>
      <c r="C7131" s="1" t="n">
        <v>45212</v>
      </c>
      <c r="D7131" t="inlineStr">
        <is>
          <t>VÄSTRA GÖTALANDS LÄN</t>
        </is>
      </c>
      <c r="E7131" t="inlineStr">
        <is>
          <t>TIDAHOLM</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43599-2021</t>
        </is>
      </c>
      <c r="B7132" s="1" t="n">
        <v>44433</v>
      </c>
      <c r="C7132" s="1" t="n">
        <v>45212</v>
      </c>
      <c r="D7132" t="inlineStr">
        <is>
          <t>VÄSTRA GÖTALANDS LÄN</t>
        </is>
      </c>
      <c r="E7132" t="inlineStr">
        <is>
          <t>MUNKEDAL</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43550-2021</t>
        </is>
      </c>
      <c r="B7133" s="1" t="n">
        <v>44433</v>
      </c>
      <c r="C7133" s="1" t="n">
        <v>45212</v>
      </c>
      <c r="D7133" t="inlineStr">
        <is>
          <t>VÄSTRA GÖTALANDS LÄN</t>
        </is>
      </c>
      <c r="E7133" t="inlineStr">
        <is>
          <t>TRANEMO</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43696-2021</t>
        </is>
      </c>
      <c r="B7134" s="1" t="n">
        <v>44433</v>
      </c>
      <c r="C7134" s="1" t="n">
        <v>45212</v>
      </c>
      <c r="D7134" t="inlineStr">
        <is>
          <t>VÄSTRA GÖTALANDS LÄN</t>
        </is>
      </c>
      <c r="E7134" t="inlineStr">
        <is>
          <t>BENGTSFORS</t>
        </is>
      </c>
      <c r="G7134" t="n">
        <v>15.5</v>
      </c>
      <c r="H7134" t="n">
        <v>0</v>
      </c>
      <c r="I7134" t="n">
        <v>0</v>
      </c>
      <c r="J7134" t="n">
        <v>0</v>
      </c>
      <c r="K7134" t="n">
        <v>0</v>
      </c>
      <c r="L7134" t="n">
        <v>0</v>
      </c>
      <c r="M7134" t="n">
        <v>0</v>
      </c>
      <c r="N7134" t="n">
        <v>0</v>
      </c>
      <c r="O7134" t="n">
        <v>0</v>
      </c>
      <c r="P7134" t="n">
        <v>0</v>
      </c>
      <c r="Q7134" t="n">
        <v>0</v>
      </c>
      <c r="R7134" s="2" t="inlineStr"/>
    </row>
    <row r="7135" ht="15" customHeight="1">
      <c r="A7135" t="inlineStr">
        <is>
          <t>A 43749-2021</t>
        </is>
      </c>
      <c r="B7135" s="1" t="n">
        <v>44433</v>
      </c>
      <c r="C7135" s="1" t="n">
        <v>45212</v>
      </c>
      <c r="D7135" t="inlineStr">
        <is>
          <t>VÄSTRA GÖTALANDS LÄN</t>
        </is>
      </c>
      <c r="E7135" t="inlineStr">
        <is>
          <t>GULLSPÅNG</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43528-2021</t>
        </is>
      </c>
      <c r="B7136" s="1" t="n">
        <v>44433</v>
      </c>
      <c r="C7136" s="1" t="n">
        <v>45212</v>
      </c>
      <c r="D7136" t="inlineStr">
        <is>
          <t>VÄSTRA GÖTALANDS LÄN</t>
        </is>
      </c>
      <c r="E7136" t="inlineStr">
        <is>
          <t>TÖREBODA</t>
        </is>
      </c>
      <c r="F7136" t="inlineStr">
        <is>
          <t>Sveaskog</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43728-2021</t>
        </is>
      </c>
      <c r="B7137" s="1" t="n">
        <v>44433</v>
      </c>
      <c r="C7137" s="1" t="n">
        <v>45212</v>
      </c>
      <c r="D7137" t="inlineStr">
        <is>
          <t>VÄSTRA GÖTALANDS LÄN</t>
        </is>
      </c>
      <c r="E7137" t="inlineStr">
        <is>
          <t>FALKÖPING</t>
        </is>
      </c>
      <c r="G7137" t="n">
        <v>4.9</v>
      </c>
      <c r="H7137" t="n">
        <v>0</v>
      </c>
      <c r="I7137" t="n">
        <v>0</v>
      </c>
      <c r="J7137" t="n">
        <v>0</v>
      </c>
      <c r="K7137" t="n">
        <v>0</v>
      </c>
      <c r="L7137" t="n">
        <v>0</v>
      </c>
      <c r="M7137" t="n">
        <v>0</v>
      </c>
      <c r="N7137" t="n">
        <v>0</v>
      </c>
      <c r="O7137" t="n">
        <v>0</v>
      </c>
      <c r="P7137" t="n">
        <v>0</v>
      </c>
      <c r="Q7137" t="n">
        <v>0</v>
      </c>
      <c r="R7137" s="2" t="inlineStr"/>
    </row>
    <row r="7138" ht="15" customHeight="1">
      <c r="A7138" t="inlineStr">
        <is>
          <t>A 43889-2021</t>
        </is>
      </c>
      <c r="B7138" s="1" t="n">
        <v>44434</v>
      </c>
      <c r="C7138" s="1" t="n">
        <v>45212</v>
      </c>
      <c r="D7138" t="inlineStr">
        <is>
          <t>VÄSTRA GÖTALANDS LÄN</t>
        </is>
      </c>
      <c r="E7138" t="inlineStr">
        <is>
          <t>TANUM</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44055-2021</t>
        </is>
      </c>
      <c r="B7139" s="1" t="n">
        <v>44434</v>
      </c>
      <c r="C7139" s="1" t="n">
        <v>45212</v>
      </c>
      <c r="D7139" t="inlineStr">
        <is>
          <t>VÄSTRA GÖTALANDS LÄN</t>
        </is>
      </c>
      <c r="E7139" t="inlineStr">
        <is>
          <t>GULLSPÅNG</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44133-2021</t>
        </is>
      </c>
      <c r="B7140" s="1" t="n">
        <v>44434</v>
      </c>
      <c r="C7140" s="1" t="n">
        <v>45212</v>
      </c>
      <c r="D7140" t="inlineStr">
        <is>
          <t>VÄSTRA GÖTALANDS LÄN</t>
        </is>
      </c>
      <c r="E7140" t="inlineStr">
        <is>
          <t>TRANEMO</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44147-2021</t>
        </is>
      </c>
      <c r="B7141" s="1" t="n">
        <v>44434</v>
      </c>
      <c r="C7141" s="1" t="n">
        <v>45212</v>
      </c>
      <c r="D7141" t="inlineStr">
        <is>
          <t>VÄSTRA GÖTALANDS LÄN</t>
        </is>
      </c>
      <c r="E7141" t="inlineStr">
        <is>
          <t>SVENLJUNGA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43884-2021</t>
        </is>
      </c>
      <c r="B7142" s="1" t="n">
        <v>44434</v>
      </c>
      <c r="C7142" s="1" t="n">
        <v>45212</v>
      </c>
      <c r="D7142" t="inlineStr">
        <is>
          <t>VÄSTRA GÖTALANDS LÄN</t>
        </is>
      </c>
      <c r="E7142" t="inlineStr">
        <is>
          <t>TANUM</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43997-2021</t>
        </is>
      </c>
      <c r="B7143" s="1" t="n">
        <v>44434</v>
      </c>
      <c r="C7143" s="1" t="n">
        <v>45212</v>
      </c>
      <c r="D7143" t="inlineStr">
        <is>
          <t>VÄSTRA GÖTALANDS LÄN</t>
        </is>
      </c>
      <c r="E7143" t="inlineStr">
        <is>
          <t>FALKÖPING</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44072-2021</t>
        </is>
      </c>
      <c r="B7144" s="1" t="n">
        <v>44434</v>
      </c>
      <c r="C7144" s="1" t="n">
        <v>45212</v>
      </c>
      <c r="D7144" t="inlineStr">
        <is>
          <t>VÄSTRA GÖTALANDS LÄN</t>
        </is>
      </c>
      <c r="E7144" t="inlineStr">
        <is>
          <t>GULLSPÅNG</t>
        </is>
      </c>
      <c r="G7144" t="n">
        <v>5.5</v>
      </c>
      <c r="H7144" t="n">
        <v>0</v>
      </c>
      <c r="I7144" t="n">
        <v>0</v>
      </c>
      <c r="J7144" t="n">
        <v>0</v>
      </c>
      <c r="K7144" t="n">
        <v>0</v>
      </c>
      <c r="L7144" t="n">
        <v>0</v>
      </c>
      <c r="M7144" t="n">
        <v>0</v>
      </c>
      <c r="N7144" t="n">
        <v>0</v>
      </c>
      <c r="O7144" t="n">
        <v>0</v>
      </c>
      <c r="P7144" t="n">
        <v>0</v>
      </c>
      <c r="Q7144" t="n">
        <v>0</v>
      </c>
      <c r="R7144" s="2" t="inlineStr"/>
    </row>
    <row r="7145" ht="15" customHeight="1">
      <c r="A7145" t="inlineStr">
        <is>
          <t>A 44403-2021</t>
        </is>
      </c>
      <c r="B7145" s="1" t="n">
        <v>44435</v>
      </c>
      <c r="C7145" s="1" t="n">
        <v>45212</v>
      </c>
      <c r="D7145" t="inlineStr">
        <is>
          <t>VÄSTRA GÖTALANDS LÄN</t>
        </is>
      </c>
      <c r="E7145" t="inlineStr">
        <is>
          <t>DALS-ED</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44445-2021</t>
        </is>
      </c>
      <c r="B7146" s="1" t="n">
        <v>44435</v>
      </c>
      <c r="C7146" s="1" t="n">
        <v>45212</v>
      </c>
      <c r="D7146" t="inlineStr">
        <is>
          <t>VÄSTRA GÖTALANDS LÄN</t>
        </is>
      </c>
      <c r="E7146" t="inlineStr">
        <is>
          <t>MARK</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44408-2021</t>
        </is>
      </c>
      <c r="B7147" s="1" t="n">
        <v>44435</v>
      </c>
      <c r="C7147" s="1" t="n">
        <v>45212</v>
      </c>
      <c r="D7147" t="inlineStr">
        <is>
          <t>VÄSTRA GÖTALANDS LÄN</t>
        </is>
      </c>
      <c r="E7147" t="inlineStr">
        <is>
          <t>STRÖMSTAD</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44429-2021</t>
        </is>
      </c>
      <c r="B7148" s="1" t="n">
        <v>44435</v>
      </c>
      <c r="C7148" s="1" t="n">
        <v>45212</v>
      </c>
      <c r="D7148" t="inlineStr">
        <is>
          <t>VÄSTRA GÖTALANDS LÄN</t>
        </is>
      </c>
      <c r="E7148" t="inlineStr">
        <is>
          <t>LYSEKIL</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44466-2021</t>
        </is>
      </c>
      <c r="B7149" s="1" t="n">
        <v>44435</v>
      </c>
      <c r="C7149" s="1" t="n">
        <v>45212</v>
      </c>
      <c r="D7149" t="inlineStr">
        <is>
          <t>VÄSTRA GÖTALANDS LÄN</t>
        </is>
      </c>
      <c r="E7149" t="inlineStr">
        <is>
          <t>LYSEKIL</t>
        </is>
      </c>
      <c r="G7149" t="n">
        <v>1.2</v>
      </c>
      <c r="H7149" t="n">
        <v>0</v>
      </c>
      <c r="I7149" t="n">
        <v>0</v>
      </c>
      <c r="J7149" t="n">
        <v>0</v>
      </c>
      <c r="K7149" t="n">
        <v>0</v>
      </c>
      <c r="L7149" t="n">
        <v>0</v>
      </c>
      <c r="M7149" t="n">
        <v>0</v>
      </c>
      <c r="N7149" t="n">
        <v>0</v>
      </c>
      <c r="O7149" t="n">
        <v>0</v>
      </c>
      <c r="P7149" t="n">
        <v>0</v>
      </c>
      <c r="Q7149" t="n">
        <v>0</v>
      </c>
      <c r="R7149" s="2" t="inlineStr"/>
    </row>
    <row r="7150" ht="15" customHeight="1">
      <c r="A7150" t="inlineStr">
        <is>
          <t>A 44620-2021</t>
        </is>
      </c>
      <c r="B7150" s="1" t="n">
        <v>44436</v>
      </c>
      <c r="C7150" s="1" t="n">
        <v>45212</v>
      </c>
      <c r="D7150" t="inlineStr">
        <is>
          <t>VÄSTRA GÖTALANDS LÄN</t>
        </is>
      </c>
      <c r="E7150" t="inlineStr">
        <is>
          <t>MUNKEDAL</t>
        </is>
      </c>
      <c r="G7150" t="n">
        <v>4.7</v>
      </c>
      <c r="H7150" t="n">
        <v>0</v>
      </c>
      <c r="I7150" t="n">
        <v>0</v>
      </c>
      <c r="J7150" t="n">
        <v>0</v>
      </c>
      <c r="K7150" t="n">
        <v>0</v>
      </c>
      <c r="L7150" t="n">
        <v>0</v>
      </c>
      <c r="M7150" t="n">
        <v>0</v>
      </c>
      <c r="N7150" t="n">
        <v>0</v>
      </c>
      <c r="O7150" t="n">
        <v>0</v>
      </c>
      <c r="P7150" t="n">
        <v>0</v>
      </c>
      <c r="Q7150" t="n">
        <v>0</v>
      </c>
      <c r="R7150" s="2" t="inlineStr"/>
    </row>
    <row r="7151" ht="15" customHeight="1">
      <c r="A7151" t="inlineStr">
        <is>
          <t>A 44887-2021</t>
        </is>
      </c>
      <c r="B7151" s="1" t="n">
        <v>44438</v>
      </c>
      <c r="C7151" s="1" t="n">
        <v>45212</v>
      </c>
      <c r="D7151" t="inlineStr">
        <is>
          <t>VÄSTRA GÖTALANDS LÄN</t>
        </is>
      </c>
      <c r="E7151" t="inlineStr">
        <is>
          <t>ÅMÅL</t>
        </is>
      </c>
      <c r="F7151" t="inlineStr">
        <is>
          <t>Bergvik skog väst AB</t>
        </is>
      </c>
      <c r="G7151" t="n">
        <v>3</v>
      </c>
      <c r="H7151" t="n">
        <v>0</v>
      </c>
      <c r="I7151" t="n">
        <v>0</v>
      </c>
      <c r="J7151" t="n">
        <v>0</v>
      </c>
      <c r="K7151" t="n">
        <v>0</v>
      </c>
      <c r="L7151" t="n">
        <v>0</v>
      </c>
      <c r="M7151" t="n">
        <v>0</v>
      </c>
      <c r="N7151" t="n">
        <v>0</v>
      </c>
      <c r="O7151" t="n">
        <v>0</v>
      </c>
      <c r="P7151" t="n">
        <v>0</v>
      </c>
      <c r="Q7151" t="n">
        <v>0</v>
      </c>
      <c r="R7151" s="2" t="inlineStr"/>
    </row>
    <row r="7152" ht="15" customHeight="1">
      <c r="A7152" t="inlineStr">
        <is>
          <t>A 44910-2021</t>
        </is>
      </c>
      <c r="B7152" s="1" t="n">
        <v>44438</v>
      </c>
      <c r="C7152" s="1" t="n">
        <v>45212</v>
      </c>
      <c r="D7152" t="inlineStr">
        <is>
          <t>VÄSTRA GÖTALANDS LÄN</t>
        </is>
      </c>
      <c r="E7152" t="inlineStr">
        <is>
          <t>TROLLHÄTTAN</t>
        </is>
      </c>
      <c r="G7152" t="n">
        <v>1.6</v>
      </c>
      <c r="H7152" t="n">
        <v>0</v>
      </c>
      <c r="I7152" t="n">
        <v>0</v>
      </c>
      <c r="J7152" t="n">
        <v>0</v>
      </c>
      <c r="K7152" t="n">
        <v>0</v>
      </c>
      <c r="L7152" t="n">
        <v>0</v>
      </c>
      <c r="M7152" t="n">
        <v>0</v>
      </c>
      <c r="N7152" t="n">
        <v>0</v>
      </c>
      <c r="O7152" t="n">
        <v>0</v>
      </c>
      <c r="P7152" t="n">
        <v>0</v>
      </c>
      <c r="Q7152" t="n">
        <v>0</v>
      </c>
      <c r="R7152" s="2" t="inlineStr"/>
    </row>
    <row r="7153" ht="15" customHeight="1">
      <c r="A7153" t="inlineStr">
        <is>
          <t>A 44682-2021</t>
        </is>
      </c>
      <c r="B7153" s="1" t="n">
        <v>44438</v>
      </c>
      <c r="C7153" s="1" t="n">
        <v>45212</v>
      </c>
      <c r="D7153" t="inlineStr">
        <is>
          <t>VÄSTRA GÖTALANDS LÄN</t>
        </is>
      </c>
      <c r="E7153" t="inlineStr">
        <is>
          <t>TRANEMO</t>
        </is>
      </c>
      <c r="G7153" t="n">
        <v>2.6</v>
      </c>
      <c r="H7153" t="n">
        <v>0</v>
      </c>
      <c r="I7153" t="n">
        <v>0</v>
      </c>
      <c r="J7153" t="n">
        <v>0</v>
      </c>
      <c r="K7153" t="n">
        <v>0</v>
      </c>
      <c r="L7153" t="n">
        <v>0</v>
      </c>
      <c r="M7153" t="n">
        <v>0</v>
      </c>
      <c r="N7153" t="n">
        <v>0</v>
      </c>
      <c r="O7153" t="n">
        <v>0</v>
      </c>
      <c r="P7153" t="n">
        <v>0</v>
      </c>
      <c r="Q7153" t="n">
        <v>0</v>
      </c>
      <c r="R7153" s="2" t="inlineStr"/>
    </row>
    <row r="7154" ht="15" customHeight="1">
      <c r="A7154" t="inlineStr">
        <is>
          <t>A 44703-2021</t>
        </is>
      </c>
      <c r="B7154" s="1" t="n">
        <v>44438</v>
      </c>
      <c r="C7154" s="1" t="n">
        <v>45212</v>
      </c>
      <c r="D7154" t="inlineStr">
        <is>
          <t>VÄSTRA GÖTALANDS LÄN</t>
        </is>
      </c>
      <c r="E7154" t="inlineStr">
        <is>
          <t>BORÅS</t>
        </is>
      </c>
      <c r="G7154" t="n">
        <v>4.8</v>
      </c>
      <c r="H7154" t="n">
        <v>0</v>
      </c>
      <c r="I7154" t="n">
        <v>0</v>
      </c>
      <c r="J7154" t="n">
        <v>0</v>
      </c>
      <c r="K7154" t="n">
        <v>0</v>
      </c>
      <c r="L7154" t="n">
        <v>0</v>
      </c>
      <c r="M7154" t="n">
        <v>0</v>
      </c>
      <c r="N7154" t="n">
        <v>0</v>
      </c>
      <c r="O7154" t="n">
        <v>0</v>
      </c>
      <c r="P7154" t="n">
        <v>0</v>
      </c>
      <c r="Q7154" t="n">
        <v>0</v>
      </c>
      <c r="R7154" s="2" t="inlineStr"/>
    </row>
    <row r="7155" ht="15" customHeight="1">
      <c r="A7155" t="inlineStr">
        <is>
          <t>A 44725-2021</t>
        </is>
      </c>
      <c r="B7155" s="1" t="n">
        <v>44438</v>
      </c>
      <c r="C7155" s="1" t="n">
        <v>45212</v>
      </c>
      <c r="D7155" t="inlineStr">
        <is>
          <t>VÄSTRA GÖTALANDS LÄN</t>
        </is>
      </c>
      <c r="E7155" t="inlineStr">
        <is>
          <t>TANUM</t>
        </is>
      </c>
      <c r="G7155" t="n">
        <v>3.7</v>
      </c>
      <c r="H7155" t="n">
        <v>0</v>
      </c>
      <c r="I7155" t="n">
        <v>0</v>
      </c>
      <c r="J7155" t="n">
        <v>0</v>
      </c>
      <c r="K7155" t="n">
        <v>0</v>
      </c>
      <c r="L7155" t="n">
        <v>0</v>
      </c>
      <c r="M7155" t="n">
        <v>0</v>
      </c>
      <c r="N7155" t="n">
        <v>0</v>
      </c>
      <c r="O7155" t="n">
        <v>0</v>
      </c>
      <c r="P7155" t="n">
        <v>0</v>
      </c>
      <c r="Q7155" t="n">
        <v>0</v>
      </c>
      <c r="R7155" s="2" t="inlineStr"/>
    </row>
    <row r="7156" ht="15" customHeight="1">
      <c r="A7156" t="inlineStr">
        <is>
          <t>A 44736-2021</t>
        </is>
      </c>
      <c r="B7156" s="1" t="n">
        <v>44438</v>
      </c>
      <c r="C7156" s="1" t="n">
        <v>45212</v>
      </c>
      <c r="D7156" t="inlineStr">
        <is>
          <t>VÄSTRA GÖTALANDS LÄN</t>
        </is>
      </c>
      <c r="E7156" t="inlineStr">
        <is>
          <t>VÄNERSBORG</t>
        </is>
      </c>
      <c r="G7156" t="n">
        <v>6.1</v>
      </c>
      <c r="H7156" t="n">
        <v>0</v>
      </c>
      <c r="I7156" t="n">
        <v>0</v>
      </c>
      <c r="J7156" t="n">
        <v>0</v>
      </c>
      <c r="K7156" t="n">
        <v>0</v>
      </c>
      <c r="L7156" t="n">
        <v>0</v>
      </c>
      <c r="M7156" t="n">
        <v>0</v>
      </c>
      <c r="N7156" t="n">
        <v>0</v>
      </c>
      <c r="O7156" t="n">
        <v>0</v>
      </c>
      <c r="P7156" t="n">
        <v>0</v>
      </c>
      <c r="Q7156" t="n">
        <v>0</v>
      </c>
      <c r="R7156" s="2" t="inlineStr"/>
    </row>
    <row r="7157" ht="15" customHeight="1">
      <c r="A7157" t="inlineStr">
        <is>
          <t>A 44687-2021</t>
        </is>
      </c>
      <c r="B7157" s="1" t="n">
        <v>44438</v>
      </c>
      <c r="C7157" s="1" t="n">
        <v>45212</v>
      </c>
      <c r="D7157" t="inlineStr">
        <is>
          <t>VÄSTRA GÖTALANDS LÄN</t>
        </is>
      </c>
      <c r="E7157" t="inlineStr">
        <is>
          <t>TANUM</t>
        </is>
      </c>
      <c r="G7157" t="n">
        <v>2.8</v>
      </c>
      <c r="H7157" t="n">
        <v>0</v>
      </c>
      <c r="I7157" t="n">
        <v>0</v>
      </c>
      <c r="J7157" t="n">
        <v>0</v>
      </c>
      <c r="K7157" t="n">
        <v>0</v>
      </c>
      <c r="L7157" t="n">
        <v>0</v>
      </c>
      <c r="M7157" t="n">
        <v>0</v>
      </c>
      <c r="N7157" t="n">
        <v>0</v>
      </c>
      <c r="O7157" t="n">
        <v>0</v>
      </c>
      <c r="P7157" t="n">
        <v>0</v>
      </c>
      <c r="Q7157" t="n">
        <v>0</v>
      </c>
      <c r="R7157" s="2" t="inlineStr"/>
    </row>
    <row r="7158" ht="15" customHeight="1">
      <c r="A7158" t="inlineStr">
        <is>
          <t>A 44893-2021</t>
        </is>
      </c>
      <c r="B7158" s="1" t="n">
        <v>44438</v>
      </c>
      <c r="C7158" s="1" t="n">
        <v>45212</v>
      </c>
      <c r="D7158" t="inlineStr">
        <is>
          <t>VÄSTRA GÖTALANDS LÄN</t>
        </is>
      </c>
      <c r="E7158" t="inlineStr">
        <is>
          <t>MUNKEDAL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44812-2021</t>
        </is>
      </c>
      <c r="B7159" s="1" t="n">
        <v>44438</v>
      </c>
      <c r="C7159" s="1" t="n">
        <v>45212</v>
      </c>
      <c r="D7159" t="inlineStr">
        <is>
          <t>VÄSTRA GÖTALANDS LÄN</t>
        </is>
      </c>
      <c r="E7159" t="inlineStr">
        <is>
          <t>TANUM</t>
        </is>
      </c>
      <c r="G7159" t="n">
        <v>3.9</v>
      </c>
      <c r="H7159" t="n">
        <v>0</v>
      </c>
      <c r="I7159" t="n">
        <v>0</v>
      </c>
      <c r="J7159" t="n">
        <v>0</v>
      </c>
      <c r="K7159" t="n">
        <v>0</v>
      </c>
      <c r="L7159" t="n">
        <v>0</v>
      </c>
      <c r="M7159" t="n">
        <v>0</v>
      </c>
      <c r="N7159" t="n">
        <v>0</v>
      </c>
      <c r="O7159" t="n">
        <v>0</v>
      </c>
      <c r="P7159" t="n">
        <v>0</v>
      </c>
      <c r="Q7159" t="n">
        <v>0</v>
      </c>
      <c r="R7159" s="2" t="inlineStr"/>
    </row>
    <row r="7160" ht="15" customHeight="1">
      <c r="A7160" t="inlineStr">
        <is>
          <t>A 44884-2021</t>
        </is>
      </c>
      <c r="B7160" s="1" t="n">
        <v>44438</v>
      </c>
      <c r="C7160" s="1" t="n">
        <v>45212</v>
      </c>
      <c r="D7160" t="inlineStr">
        <is>
          <t>VÄSTRA GÖTALANDS LÄN</t>
        </is>
      </c>
      <c r="E7160" t="inlineStr">
        <is>
          <t>MELLERUD</t>
        </is>
      </c>
      <c r="G7160" t="n">
        <v>5.7</v>
      </c>
      <c r="H7160" t="n">
        <v>0</v>
      </c>
      <c r="I7160" t="n">
        <v>0</v>
      </c>
      <c r="J7160" t="n">
        <v>0</v>
      </c>
      <c r="K7160" t="n">
        <v>0</v>
      </c>
      <c r="L7160" t="n">
        <v>0</v>
      </c>
      <c r="M7160" t="n">
        <v>0</v>
      </c>
      <c r="N7160" t="n">
        <v>0</v>
      </c>
      <c r="O7160" t="n">
        <v>0</v>
      </c>
      <c r="P7160" t="n">
        <v>0</v>
      </c>
      <c r="Q7160" t="n">
        <v>0</v>
      </c>
      <c r="R7160" s="2" t="inlineStr"/>
    </row>
    <row r="7161" ht="15" customHeight="1">
      <c r="A7161" t="inlineStr">
        <is>
          <t>A 44895-2021</t>
        </is>
      </c>
      <c r="B7161" s="1" t="n">
        <v>44438</v>
      </c>
      <c r="C7161" s="1" t="n">
        <v>45212</v>
      </c>
      <c r="D7161" t="inlineStr">
        <is>
          <t>VÄSTRA GÖTALANDS LÄN</t>
        </is>
      </c>
      <c r="E7161" t="inlineStr">
        <is>
          <t>ÅMÅL</t>
        </is>
      </c>
      <c r="F7161" t="inlineStr">
        <is>
          <t>Bergvik skog väst AB</t>
        </is>
      </c>
      <c r="G7161" t="n">
        <v>3.3</v>
      </c>
      <c r="H7161" t="n">
        <v>0</v>
      </c>
      <c r="I7161" t="n">
        <v>0</v>
      </c>
      <c r="J7161" t="n">
        <v>0</v>
      </c>
      <c r="K7161" t="n">
        <v>0</v>
      </c>
      <c r="L7161" t="n">
        <v>0</v>
      </c>
      <c r="M7161" t="n">
        <v>0</v>
      </c>
      <c r="N7161" t="n">
        <v>0</v>
      </c>
      <c r="O7161" t="n">
        <v>0</v>
      </c>
      <c r="P7161" t="n">
        <v>0</v>
      </c>
      <c r="Q7161" t="n">
        <v>0</v>
      </c>
      <c r="R7161" s="2" t="inlineStr"/>
    </row>
    <row r="7162" ht="15" customHeight="1">
      <c r="A7162" t="inlineStr">
        <is>
          <t>A 45045-2021</t>
        </is>
      </c>
      <c r="B7162" s="1" t="n">
        <v>44438</v>
      </c>
      <c r="C7162" s="1" t="n">
        <v>45212</v>
      </c>
      <c r="D7162" t="inlineStr">
        <is>
          <t>VÄSTRA GÖTALANDS LÄN</t>
        </is>
      </c>
      <c r="E7162" t="inlineStr">
        <is>
          <t>TIDAHOLM</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45223-2021</t>
        </is>
      </c>
      <c r="B7163" s="1" t="n">
        <v>44439</v>
      </c>
      <c r="C7163" s="1" t="n">
        <v>45212</v>
      </c>
      <c r="D7163" t="inlineStr">
        <is>
          <t>VÄSTRA GÖTALANDS LÄN</t>
        </is>
      </c>
      <c r="E7163" t="inlineStr">
        <is>
          <t>STRÖMSTAD</t>
        </is>
      </c>
      <c r="G7163" t="n">
        <v>8.1</v>
      </c>
      <c r="H7163" t="n">
        <v>0</v>
      </c>
      <c r="I7163" t="n">
        <v>0</v>
      </c>
      <c r="J7163" t="n">
        <v>0</v>
      </c>
      <c r="K7163" t="n">
        <v>0</v>
      </c>
      <c r="L7163" t="n">
        <v>0</v>
      </c>
      <c r="M7163" t="n">
        <v>0</v>
      </c>
      <c r="N7163" t="n">
        <v>0</v>
      </c>
      <c r="O7163" t="n">
        <v>0</v>
      </c>
      <c r="P7163" t="n">
        <v>0</v>
      </c>
      <c r="Q7163" t="n">
        <v>0</v>
      </c>
      <c r="R7163" s="2" t="inlineStr"/>
    </row>
    <row r="7164" ht="15" customHeight="1">
      <c r="A7164" t="inlineStr">
        <is>
          <t>A 45247-2021</t>
        </is>
      </c>
      <c r="B7164" s="1" t="n">
        <v>44439</v>
      </c>
      <c r="C7164" s="1" t="n">
        <v>45212</v>
      </c>
      <c r="D7164" t="inlineStr">
        <is>
          <t>VÄSTRA GÖTALANDS LÄN</t>
        </is>
      </c>
      <c r="E7164" t="inlineStr">
        <is>
          <t>BORÅS</t>
        </is>
      </c>
      <c r="G7164" t="n">
        <v>7.4</v>
      </c>
      <c r="H7164" t="n">
        <v>0</v>
      </c>
      <c r="I7164" t="n">
        <v>0</v>
      </c>
      <c r="J7164" t="n">
        <v>0</v>
      </c>
      <c r="K7164" t="n">
        <v>0</v>
      </c>
      <c r="L7164" t="n">
        <v>0</v>
      </c>
      <c r="M7164" t="n">
        <v>0</v>
      </c>
      <c r="N7164" t="n">
        <v>0</v>
      </c>
      <c r="O7164" t="n">
        <v>0</v>
      </c>
      <c r="P7164" t="n">
        <v>0</v>
      </c>
      <c r="Q7164" t="n">
        <v>0</v>
      </c>
      <c r="R7164" s="2" t="inlineStr"/>
    </row>
    <row r="7165" ht="15" customHeight="1">
      <c r="A7165" t="inlineStr">
        <is>
          <t>A 45328-2021</t>
        </is>
      </c>
      <c r="B7165" s="1" t="n">
        <v>44439</v>
      </c>
      <c r="C7165" s="1" t="n">
        <v>45212</v>
      </c>
      <c r="D7165" t="inlineStr">
        <is>
          <t>VÄSTRA GÖTALANDS LÄN</t>
        </is>
      </c>
      <c r="E7165" t="inlineStr">
        <is>
          <t>ALINGSÅS</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45048-2021</t>
        </is>
      </c>
      <c r="B7166" s="1" t="n">
        <v>44439</v>
      </c>
      <c r="C7166" s="1" t="n">
        <v>45212</v>
      </c>
      <c r="D7166" t="inlineStr">
        <is>
          <t>VÄSTRA GÖTALANDS LÄN</t>
        </is>
      </c>
      <c r="E7166" t="inlineStr">
        <is>
          <t>SKÖVDE</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45080-2021</t>
        </is>
      </c>
      <c r="B7167" s="1" t="n">
        <v>44439</v>
      </c>
      <c r="C7167" s="1" t="n">
        <v>45212</v>
      </c>
      <c r="D7167" t="inlineStr">
        <is>
          <t>VÄSTRA GÖTALANDS LÄN</t>
        </is>
      </c>
      <c r="E7167" t="inlineStr">
        <is>
          <t>ORUST</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45268-2021</t>
        </is>
      </c>
      <c r="B7168" s="1" t="n">
        <v>44439</v>
      </c>
      <c r="C7168" s="1" t="n">
        <v>45212</v>
      </c>
      <c r="D7168" t="inlineStr">
        <is>
          <t>VÄSTRA GÖTALANDS LÄN</t>
        </is>
      </c>
      <c r="E7168" t="inlineStr">
        <is>
          <t>FÄRGELANDA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45044-2021</t>
        </is>
      </c>
      <c r="B7169" s="1" t="n">
        <v>44439</v>
      </c>
      <c r="C7169" s="1" t="n">
        <v>45212</v>
      </c>
      <c r="D7169" t="inlineStr">
        <is>
          <t>VÄSTRA GÖTALANDS LÄN</t>
        </is>
      </c>
      <c r="E7169" t="inlineStr">
        <is>
          <t>ORUST</t>
        </is>
      </c>
      <c r="G7169" t="n">
        <v>3.1</v>
      </c>
      <c r="H7169" t="n">
        <v>0</v>
      </c>
      <c r="I7169" t="n">
        <v>0</v>
      </c>
      <c r="J7169" t="n">
        <v>0</v>
      </c>
      <c r="K7169" t="n">
        <v>0</v>
      </c>
      <c r="L7169" t="n">
        <v>0</v>
      </c>
      <c r="M7169" t="n">
        <v>0</v>
      </c>
      <c r="N7169" t="n">
        <v>0</v>
      </c>
      <c r="O7169" t="n">
        <v>0</v>
      </c>
      <c r="P7169" t="n">
        <v>0</v>
      </c>
      <c r="Q7169" t="n">
        <v>0</v>
      </c>
      <c r="R7169" s="2" t="inlineStr"/>
    </row>
    <row r="7170" ht="15" customHeight="1">
      <c r="A7170" t="inlineStr">
        <is>
          <t>A 45162-2021</t>
        </is>
      </c>
      <c r="B7170" s="1" t="n">
        <v>44439</v>
      </c>
      <c r="C7170" s="1" t="n">
        <v>45212</v>
      </c>
      <c r="D7170" t="inlineStr">
        <is>
          <t>VÄSTRA GÖTALANDS LÄN</t>
        </is>
      </c>
      <c r="E7170" t="inlineStr">
        <is>
          <t>ULRICEHAMN</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45215-2021</t>
        </is>
      </c>
      <c r="B7171" s="1" t="n">
        <v>44439</v>
      </c>
      <c r="C7171" s="1" t="n">
        <v>45212</v>
      </c>
      <c r="D7171" t="inlineStr">
        <is>
          <t>VÄSTRA GÖTALANDS LÄN</t>
        </is>
      </c>
      <c r="E7171" t="inlineStr">
        <is>
          <t>MUNKEDAL</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45060-2021</t>
        </is>
      </c>
      <c r="B7172" s="1" t="n">
        <v>44439</v>
      </c>
      <c r="C7172" s="1" t="n">
        <v>45212</v>
      </c>
      <c r="D7172" t="inlineStr">
        <is>
          <t>VÄSTRA GÖTALANDS LÄN</t>
        </is>
      </c>
      <c r="E7172" t="inlineStr">
        <is>
          <t>MELLERUD</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45222-2021</t>
        </is>
      </c>
      <c r="B7173" s="1" t="n">
        <v>44439</v>
      </c>
      <c r="C7173" s="1" t="n">
        <v>45212</v>
      </c>
      <c r="D7173" t="inlineStr">
        <is>
          <t>VÄSTRA GÖTALANDS LÄN</t>
        </is>
      </c>
      <c r="E7173" t="inlineStr">
        <is>
          <t>MUNKEDAL</t>
        </is>
      </c>
      <c r="G7173" t="n">
        <v>7.7</v>
      </c>
      <c r="H7173" t="n">
        <v>0</v>
      </c>
      <c r="I7173" t="n">
        <v>0</v>
      </c>
      <c r="J7173" t="n">
        <v>0</v>
      </c>
      <c r="K7173" t="n">
        <v>0</v>
      </c>
      <c r="L7173" t="n">
        <v>0</v>
      </c>
      <c r="M7173" t="n">
        <v>0</v>
      </c>
      <c r="N7173" t="n">
        <v>0</v>
      </c>
      <c r="O7173" t="n">
        <v>0</v>
      </c>
      <c r="P7173" t="n">
        <v>0</v>
      </c>
      <c r="Q7173" t="n">
        <v>0</v>
      </c>
      <c r="R7173" s="2" t="inlineStr"/>
    </row>
    <row r="7174" ht="15" customHeight="1">
      <c r="A7174" t="inlineStr">
        <is>
          <t>A 45465-2021</t>
        </is>
      </c>
      <c r="B7174" s="1" t="n">
        <v>44440</v>
      </c>
      <c r="C7174" s="1" t="n">
        <v>45212</v>
      </c>
      <c r="D7174" t="inlineStr">
        <is>
          <t>VÄSTRA GÖTALANDS LÄN</t>
        </is>
      </c>
      <c r="E7174" t="inlineStr">
        <is>
          <t>MELLERUD</t>
        </is>
      </c>
      <c r="G7174" t="n">
        <v>2.7</v>
      </c>
      <c r="H7174" t="n">
        <v>0</v>
      </c>
      <c r="I7174" t="n">
        <v>0</v>
      </c>
      <c r="J7174" t="n">
        <v>0</v>
      </c>
      <c r="K7174" t="n">
        <v>0</v>
      </c>
      <c r="L7174" t="n">
        <v>0</v>
      </c>
      <c r="M7174" t="n">
        <v>0</v>
      </c>
      <c r="N7174" t="n">
        <v>0</v>
      </c>
      <c r="O7174" t="n">
        <v>0</v>
      </c>
      <c r="P7174" t="n">
        <v>0</v>
      </c>
      <c r="Q7174" t="n">
        <v>0</v>
      </c>
      <c r="R7174" s="2" t="inlineStr"/>
    </row>
    <row r="7175" ht="15" customHeight="1">
      <c r="A7175" t="inlineStr">
        <is>
          <t>A 45612-2021</t>
        </is>
      </c>
      <c r="B7175" s="1" t="n">
        <v>44440</v>
      </c>
      <c r="C7175" s="1" t="n">
        <v>45212</v>
      </c>
      <c r="D7175" t="inlineStr">
        <is>
          <t>VÄSTRA GÖTALANDS LÄN</t>
        </is>
      </c>
      <c r="E7175" t="inlineStr">
        <is>
          <t>GULLSPÅNG</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45520-2021</t>
        </is>
      </c>
      <c r="B7176" s="1" t="n">
        <v>44440</v>
      </c>
      <c r="C7176" s="1" t="n">
        <v>45212</v>
      </c>
      <c r="D7176" t="inlineStr">
        <is>
          <t>VÄSTRA GÖTALANDS LÄN</t>
        </is>
      </c>
      <c r="E7176" t="inlineStr">
        <is>
          <t>MARIESTAD</t>
        </is>
      </c>
      <c r="G7176" t="n">
        <v>5.7</v>
      </c>
      <c r="H7176" t="n">
        <v>0</v>
      </c>
      <c r="I7176" t="n">
        <v>0</v>
      </c>
      <c r="J7176" t="n">
        <v>0</v>
      </c>
      <c r="K7176" t="n">
        <v>0</v>
      </c>
      <c r="L7176" t="n">
        <v>0</v>
      </c>
      <c r="M7176" t="n">
        <v>0</v>
      </c>
      <c r="N7176" t="n">
        <v>0</v>
      </c>
      <c r="O7176" t="n">
        <v>0</v>
      </c>
      <c r="P7176" t="n">
        <v>0</v>
      </c>
      <c r="Q7176" t="n">
        <v>0</v>
      </c>
      <c r="R7176" s="2" t="inlineStr"/>
    </row>
    <row r="7177" ht="15" customHeight="1">
      <c r="A7177" t="inlineStr">
        <is>
          <t>A 45420-2021</t>
        </is>
      </c>
      <c r="B7177" s="1" t="n">
        <v>44440</v>
      </c>
      <c r="C7177" s="1" t="n">
        <v>45212</v>
      </c>
      <c r="D7177" t="inlineStr">
        <is>
          <t>VÄSTRA GÖTALANDS LÄN</t>
        </is>
      </c>
      <c r="E7177" t="inlineStr">
        <is>
          <t>BENGTSFORS</t>
        </is>
      </c>
      <c r="G7177" t="n">
        <v>5.4</v>
      </c>
      <c r="H7177" t="n">
        <v>0</v>
      </c>
      <c r="I7177" t="n">
        <v>0</v>
      </c>
      <c r="J7177" t="n">
        <v>0</v>
      </c>
      <c r="K7177" t="n">
        <v>0</v>
      </c>
      <c r="L7177" t="n">
        <v>0</v>
      </c>
      <c r="M7177" t="n">
        <v>0</v>
      </c>
      <c r="N7177" t="n">
        <v>0</v>
      </c>
      <c r="O7177" t="n">
        <v>0</v>
      </c>
      <c r="P7177" t="n">
        <v>0</v>
      </c>
      <c r="Q7177" t="n">
        <v>0</v>
      </c>
      <c r="R7177" s="2" t="inlineStr"/>
    </row>
    <row r="7178" ht="15" customHeight="1">
      <c r="A7178" t="inlineStr">
        <is>
          <t>A 45480-2021</t>
        </is>
      </c>
      <c r="B7178" s="1" t="n">
        <v>44440</v>
      </c>
      <c r="C7178" s="1" t="n">
        <v>45212</v>
      </c>
      <c r="D7178" t="inlineStr">
        <is>
          <t>VÄSTRA GÖTALANDS LÄN</t>
        </is>
      </c>
      <c r="E7178" t="inlineStr">
        <is>
          <t>SVENLJUNGA</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45747-2021</t>
        </is>
      </c>
      <c r="B7179" s="1" t="n">
        <v>44441</v>
      </c>
      <c r="C7179" s="1" t="n">
        <v>45212</v>
      </c>
      <c r="D7179" t="inlineStr">
        <is>
          <t>VÄSTRA GÖTALANDS LÄN</t>
        </is>
      </c>
      <c r="E7179" t="inlineStr">
        <is>
          <t>TANUM</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45833-2021</t>
        </is>
      </c>
      <c r="B7180" s="1" t="n">
        <v>44441</v>
      </c>
      <c r="C7180" s="1" t="n">
        <v>45212</v>
      </c>
      <c r="D7180" t="inlineStr">
        <is>
          <t>VÄSTRA GÖTALANDS LÄN</t>
        </is>
      </c>
      <c r="E7180" t="inlineStr">
        <is>
          <t>HERRLJUNGA</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45855-2021</t>
        </is>
      </c>
      <c r="B7181" s="1" t="n">
        <v>44441</v>
      </c>
      <c r="C7181" s="1" t="n">
        <v>45212</v>
      </c>
      <c r="D7181" t="inlineStr">
        <is>
          <t>VÄSTRA GÖTALANDS LÄN</t>
        </is>
      </c>
      <c r="E7181" t="inlineStr">
        <is>
          <t>ÅMÅL</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46040-2021</t>
        </is>
      </c>
      <c r="B7182" s="1" t="n">
        <v>44441</v>
      </c>
      <c r="C7182" s="1" t="n">
        <v>45212</v>
      </c>
      <c r="D7182" t="inlineStr">
        <is>
          <t>VÄSTRA GÖTALANDS LÄN</t>
        </is>
      </c>
      <c r="E7182" t="inlineStr">
        <is>
          <t>FÄRGELANDA</t>
        </is>
      </c>
      <c r="G7182" t="n">
        <v>4</v>
      </c>
      <c r="H7182" t="n">
        <v>0</v>
      </c>
      <c r="I7182" t="n">
        <v>0</v>
      </c>
      <c r="J7182" t="n">
        <v>0</v>
      </c>
      <c r="K7182" t="n">
        <v>0</v>
      </c>
      <c r="L7182" t="n">
        <v>0</v>
      </c>
      <c r="M7182" t="n">
        <v>0</v>
      </c>
      <c r="N7182" t="n">
        <v>0</v>
      </c>
      <c r="O7182" t="n">
        <v>0</v>
      </c>
      <c r="P7182" t="n">
        <v>0</v>
      </c>
      <c r="Q7182" t="n">
        <v>0</v>
      </c>
      <c r="R7182" s="2" t="inlineStr"/>
    </row>
    <row r="7183" ht="15" customHeight="1">
      <c r="A7183" t="inlineStr">
        <is>
          <t>A 45729-2021</t>
        </is>
      </c>
      <c r="B7183" s="1" t="n">
        <v>44441</v>
      </c>
      <c r="C7183" s="1" t="n">
        <v>45212</v>
      </c>
      <c r="D7183" t="inlineStr">
        <is>
          <t>VÄSTRA GÖTALANDS LÄN</t>
        </is>
      </c>
      <c r="E7183" t="inlineStr">
        <is>
          <t>ORUST</t>
        </is>
      </c>
      <c r="G7183" t="n">
        <v>3.1</v>
      </c>
      <c r="H7183" t="n">
        <v>0</v>
      </c>
      <c r="I7183" t="n">
        <v>0</v>
      </c>
      <c r="J7183" t="n">
        <v>0</v>
      </c>
      <c r="K7183" t="n">
        <v>0</v>
      </c>
      <c r="L7183" t="n">
        <v>0</v>
      </c>
      <c r="M7183" t="n">
        <v>0</v>
      </c>
      <c r="N7183" t="n">
        <v>0</v>
      </c>
      <c r="O7183" t="n">
        <v>0</v>
      </c>
      <c r="P7183" t="n">
        <v>0</v>
      </c>
      <c r="Q7183" t="n">
        <v>0</v>
      </c>
      <c r="R7183" s="2" t="inlineStr"/>
    </row>
    <row r="7184" ht="15" customHeight="1">
      <c r="A7184" t="inlineStr">
        <is>
          <t>A 45746-2021</t>
        </is>
      </c>
      <c r="B7184" s="1" t="n">
        <v>44441</v>
      </c>
      <c r="C7184" s="1" t="n">
        <v>45212</v>
      </c>
      <c r="D7184" t="inlineStr">
        <is>
          <t>VÄSTRA GÖTALANDS LÄN</t>
        </is>
      </c>
      <c r="E7184" t="inlineStr">
        <is>
          <t>MELLERUD</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45943-2021</t>
        </is>
      </c>
      <c r="B7185" s="1" t="n">
        <v>44441</v>
      </c>
      <c r="C7185" s="1" t="n">
        <v>45212</v>
      </c>
      <c r="D7185" t="inlineStr">
        <is>
          <t>VÄSTRA GÖTALANDS LÄN</t>
        </is>
      </c>
      <c r="E7185" t="inlineStr">
        <is>
          <t>VARA</t>
        </is>
      </c>
      <c r="G7185" t="n">
        <v>1.4</v>
      </c>
      <c r="H7185" t="n">
        <v>0</v>
      </c>
      <c r="I7185" t="n">
        <v>0</v>
      </c>
      <c r="J7185" t="n">
        <v>0</v>
      </c>
      <c r="K7185" t="n">
        <v>0</v>
      </c>
      <c r="L7185" t="n">
        <v>0</v>
      </c>
      <c r="M7185" t="n">
        <v>0</v>
      </c>
      <c r="N7185" t="n">
        <v>0</v>
      </c>
      <c r="O7185" t="n">
        <v>0</v>
      </c>
      <c r="P7185" t="n">
        <v>0</v>
      </c>
      <c r="Q7185" t="n">
        <v>0</v>
      </c>
      <c r="R7185" s="2" t="inlineStr"/>
    </row>
    <row r="7186" ht="15" customHeight="1">
      <c r="A7186" t="inlineStr">
        <is>
          <t>A 45666-2021</t>
        </is>
      </c>
      <c r="B7186" s="1" t="n">
        <v>44441</v>
      </c>
      <c r="C7186" s="1" t="n">
        <v>45212</v>
      </c>
      <c r="D7186" t="inlineStr">
        <is>
          <t>VÄSTRA GÖTALANDS LÄN</t>
        </is>
      </c>
      <c r="E7186" t="inlineStr">
        <is>
          <t>ULRICEHAMN</t>
        </is>
      </c>
      <c r="G7186" t="n">
        <v>6.4</v>
      </c>
      <c r="H7186" t="n">
        <v>0</v>
      </c>
      <c r="I7186" t="n">
        <v>0</v>
      </c>
      <c r="J7186" t="n">
        <v>0</v>
      </c>
      <c r="K7186" t="n">
        <v>0</v>
      </c>
      <c r="L7186" t="n">
        <v>0</v>
      </c>
      <c r="M7186" t="n">
        <v>0</v>
      </c>
      <c r="N7186" t="n">
        <v>0</v>
      </c>
      <c r="O7186" t="n">
        <v>0</v>
      </c>
      <c r="P7186" t="n">
        <v>0</v>
      </c>
      <c r="Q7186" t="n">
        <v>0</v>
      </c>
      <c r="R7186" s="2" t="inlineStr"/>
    </row>
    <row r="7187" ht="15" customHeight="1">
      <c r="A7187" t="inlineStr">
        <is>
          <t>A 45732-2021</t>
        </is>
      </c>
      <c r="B7187" s="1" t="n">
        <v>44441</v>
      </c>
      <c r="C7187" s="1" t="n">
        <v>45212</v>
      </c>
      <c r="D7187" t="inlineStr">
        <is>
          <t>VÄSTRA GÖTALANDS LÄN</t>
        </is>
      </c>
      <c r="E7187" t="inlineStr">
        <is>
          <t>BENGTSFORS</t>
        </is>
      </c>
      <c r="F7187" t="inlineStr">
        <is>
          <t>Kyrkan</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45986-2021</t>
        </is>
      </c>
      <c r="B7188" s="1" t="n">
        <v>44441</v>
      </c>
      <c r="C7188" s="1" t="n">
        <v>45212</v>
      </c>
      <c r="D7188" t="inlineStr">
        <is>
          <t>VÄSTRA GÖTALANDS LÄN</t>
        </is>
      </c>
      <c r="E7188" t="inlineStr">
        <is>
          <t>ALE</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46068-2021</t>
        </is>
      </c>
      <c r="B7189" s="1" t="n">
        <v>44441</v>
      </c>
      <c r="C7189" s="1" t="n">
        <v>45212</v>
      </c>
      <c r="D7189" t="inlineStr">
        <is>
          <t>VÄSTRA GÖTALANDS LÄN</t>
        </is>
      </c>
      <c r="E7189" t="inlineStr">
        <is>
          <t>MUNKEDAL</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45780-2021</t>
        </is>
      </c>
      <c r="B7190" s="1" t="n">
        <v>44441</v>
      </c>
      <c r="C7190" s="1" t="n">
        <v>45212</v>
      </c>
      <c r="D7190" t="inlineStr">
        <is>
          <t>VÄSTRA GÖTALANDS LÄN</t>
        </is>
      </c>
      <c r="E7190" t="inlineStr">
        <is>
          <t>STRÖMSTAD</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45988-2021</t>
        </is>
      </c>
      <c r="B7191" s="1" t="n">
        <v>44441</v>
      </c>
      <c r="C7191" s="1" t="n">
        <v>45212</v>
      </c>
      <c r="D7191" t="inlineStr">
        <is>
          <t>VÄSTRA GÖTALANDS LÄN</t>
        </is>
      </c>
      <c r="E7191" t="inlineStr">
        <is>
          <t>ALE</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46076-2021</t>
        </is>
      </c>
      <c r="B7192" s="1" t="n">
        <v>44442</v>
      </c>
      <c r="C7192" s="1" t="n">
        <v>45212</v>
      </c>
      <c r="D7192" t="inlineStr">
        <is>
          <t>VÄSTRA GÖTALANDS LÄN</t>
        </is>
      </c>
      <c r="E7192" t="inlineStr">
        <is>
          <t>MELLERUD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46261-2021</t>
        </is>
      </c>
      <c r="B7193" s="1" t="n">
        <v>44442</v>
      </c>
      <c r="C7193" s="1" t="n">
        <v>45212</v>
      </c>
      <c r="D7193" t="inlineStr">
        <is>
          <t>VÄSTRA GÖTALANDS LÄN</t>
        </is>
      </c>
      <c r="E7193" t="inlineStr">
        <is>
          <t>TIDAHOLM</t>
        </is>
      </c>
      <c r="F7193" t="inlineStr">
        <is>
          <t>Sveaskog</t>
        </is>
      </c>
      <c r="G7193" t="n">
        <v>6.3</v>
      </c>
      <c r="H7193" t="n">
        <v>0</v>
      </c>
      <c r="I7193" t="n">
        <v>0</v>
      </c>
      <c r="J7193" t="n">
        <v>0</v>
      </c>
      <c r="K7193" t="n">
        <v>0</v>
      </c>
      <c r="L7193" t="n">
        <v>0</v>
      </c>
      <c r="M7193" t="n">
        <v>0</v>
      </c>
      <c r="N7193" t="n">
        <v>0</v>
      </c>
      <c r="O7193" t="n">
        <v>0</v>
      </c>
      <c r="P7193" t="n">
        <v>0</v>
      </c>
      <c r="Q7193" t="n">
        <v>0</v>
      </c>
      <c r="R7193" s="2" t="inlineStr"/>
    </row>
    <row r="7194" ht="15" customHeight="1">
      <c r="A7194" t="inlineStr">
        <is>
          <t>A 46306-2021</t>
        </is>
      </c>
      <c r="B7194" s="1" t="n">
        <v>44442</v>
      </c>
      <c r="C7194" s="1" t="n">
        <v>45212</v>
      </c>
      <c r="D7194" t="inlineStr">
        <is>
          <t>VÄSTRA GÖTALANDS LÄN</t>
        </is>
      </c>
      <c r="E7194" t="inlineStr">
        <is>
          <t>DALS-ED</t>
        </is>
      </c>
      <c r="G7194" t="n">
        <v>0.8</v>
      </c>
      <c r="H7194" t="n">
        <v>0</v>
      </c>
      <c r="I7194" t="n">
        <v>0</v>
      </c>
      <c r="J7194" t="n">
        <v>0</v>
      </c>
      <c r="K7194" t="n">
        <v>0</v>
      </c>
      <c r="L7194" t="n">
        <v>0</v>
      </c>
      <c r="M7194" t="n">
        <v>0</v>
      </c>
      <c r="N7194" t="n">
        <v>0</v>
      </c>
      <c r="O7194" t="n">
        <v>0</v>
      </c>
      <c r="P7194" t="n">
        <v>0</v>
      </c>
      <c r="Q7194" t="n">
        <v>0</v>
      </c>
      <c r="R7194" s="2" t="inlineStr"/>
    </row>
    <row r="7195" ht="15" customHeight="1">
      <c r="A7195" t="inlineStr">
        <is>
          <t>A 46424-2021</t>
        </is>
      </c>
      <c r="B7195" s="1" t="n">
        <v>44442</v>
      </c>
      <c r="C7195" s="1" t="n">
        <v>45212</v>
      </c>
      <c r="D7195" t="inlineStr">
        <is>
          <t>VÄSTRA GÖTALANDS LÄN</t>
        </is>
      </c>
      <c r="E7195" t="inlineStr">
        <is>
          <t>VÄNERSBORG</t>
        </is>
      </c>
      <c r="G7195" t="n">
        <v>4</v>
      </c>
      <c r="H7195" t="n">
        <v>0</v>
      </c>
      <c r="I7195" t="n">
        <v>0</v>
      </c>
      <c r="J7195" t="n">
        <v>0</v>
      </c>
      <c r="K7195" t="n">
        <v>0</v>
      </c>
      <c r="L7195" t="n">
        <v>0</v>
      </c>
      <c r="M7195" t="n">
        <v>0</v>
      </c>
      <c r="N7195" t="n">
        <v>0</v>
      </c>
      <c r="O7195" t="n">
        <v>0</v>
      </c>
      <c r="P7195" t="n">
        <v>0</v>
      </c>
      <c r="Q7195" t="n">
        <v>0</v>
      </c>
      <c r="R7195" s="2" t="inlineStr"/>
    </row>
    <row r="7196" ht="15" customHeight="1">
      <c r="A7196" t="inlineStr">
        <is>
          <t>A 46336-2021</t>
        </is>
      </c>
      <c r="B7196" s="1" t="n">
        <v>44442</v>
      </c>
      <c r="C7196" s="1" t="n">
        <v>45212</v>
      </c>
      <c r="D7196" t="inlineStr">
        <is>
          <t>VÄSTRA GÖTALANDS LÄN</t>
        </is>
      </c>
      <c r="E7196" t="inlineStr">
        <is>
          <t>DALS-ED</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46447-2021</t>
        </is>
      </c>
      <c r="B7197" s="1" t="n">
        <v>44442</v>
      </c>
      <c r="C7197" s="1" t="n">
        <v>45212</v>
      </c>
      <c r="D7197" t="inlineStr">
        <is>
          <t>VÄSTRA GÖTALANDS LÄN</t>
        </is>
      </c>
      <c r="E7197" t="inlineStr">
        <is>
          <t>DALS-ED</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46391-2021</t>
        </is>
      </c>
      <c r="B7198" s="1" t="n">
        <v>44443</v>
      </c>
      <c r="C7198" s="1" t="n">
        <v>45212</v>
      </c>
      <c r="D7198" t="inlineStr">
        <is>
          <t>VÄSTRA GÖTALANDS LÄN</t>
        </is>
      </c>
      <c r="E7198" t="inlineStr">
        <is>
          <t>ALE</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46395-2021</t>
        </is>
      </c>
      <c r="B7199" s="1" t="n">
        <v>44443</v>
      </c>
      <c r="C7199" s="1" t="n">
        <v>45212</v>
      </c>
      <c r="D7199" t="inlineStr">
        <is>
          <t>VÄSTRA GÖTALANDS LÄN</t>
        </is>
      </c>
      <c r="E7199" t="inlineStr">
        <is>
          <t>ULRICEHAMN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46649-2021</t>
        </is>
      </c>
      <c r="B7200" s="1" t="n">
        <v>44445</v>
      </c>
      <c r="C7200" s="1" t="n">
        <v>45212</v>
      </c>
      <c r="D7200" t="inlineStr">
        <is>
          <t>VÄSTRA GÖTALANDS LÄN</t>
        </is>
      </c>
      <c r="E7200" t="inlineStr">
        <is>
          <t>SKÖVDE</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46491-2021</t>
        </is>
      </c>
      <c r="B7201" s="1" t="n">
        <v>44445</v>
      </c>
      <c r="C7201" s="1" t="n">
        <v>45212</v>
      </c>
      <c r="D7201" t="inlineStr">
        <is>
          <t>VÄSTRA GÖTALANDS LÄN</t>
        </is>
      </c>
      <c r="E7201" t="inlineStr">
        <is>
          <t>ALINGSÅS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46548-2021</t>
        </is>
      </c>
      <c r="B7202" s="1" t="n">
        <v>44445</v>
      </c>
      <c r="C7202" s="1" t="n">
        <v>45212</v>
      </c>
      <c r="D7202" t="inlineStr">
        <is>
          <t>VÄSTRA GÖTALANDS LÄN</t>
        </is>
      </c>
      <c r="E7202" t="inlineStr">
        <is>
          <t>UDDEVALLA</t>
        </is>
      </c>
      <c r="G7202" t="n">
        <v>4.2</v>
      </c>
      <c r="H7202" t="n">
        <v>0</v>
      </c>
      <c r="I7202" t="n">
        <v>0</v>
      </c>
      <c r="J7202" t="n">
        <v>0</v>
      </c>
      <c r="K7202" t="n">
        <v>0</v>
      </c>
      <c r="L7202" t="n">
        <v>0</v>
      </c>
      <c r="M7202" t="n">
        <v>0</v>
      </c>
      <c r="N7202" t="n">
        <v>0</v>
      </c>
      <c r="O7202" t="n">
        <v>0</v>
      </c>
      <c r="P7202" t="n">
        <v>0</v>
      </c>
      <c r="Q7202" t="n">
        <v>0</v>
      </c>
      <c r="R7202" s="2" t="inlineStr"/>
    </row>
    <row r="7203" ht="15" customHeight="1">
      <c r="A7203" t="inlineStr">
        <is>
          <t>A 46573-2021</t>
        </is>
      </c>
      <c r="B7203" s="1" t="n">
        <v>44445</v>
      </c>
      <c r="C7203" s="1" t="n">
        <v>45212</v>
      </c>
      <c r="D7203" t="inlineStr">
        <is>
          <t>VÄSTRA GÖTALANDS LÄN</t>
        </is>
      </c>
      <c r="E7203" t="inlineStr">
        <is>
          <t>MARIESTAD</t>
        </is>
      </c>
      <c r="G7203" t="n">
        <v>5.2</v>
      </c>
      <c r="H7203" t="n">
        <v>0</v>
      </c>
      <c r="I7203" t="n">
        <v>0</v>
      </c>
      <c r="J7203" t="n">
        <v>0</v>
      </c>
      <c r="K7203" t="n">
        <v>0</v>
      </c>
      <c r="L7203" t="n">
        <v>0</v>
      </c>
      <c r="M7203" t="n">
        <v>0</v>
      </c>
      <c r="N7203" t="n">
        <v>0</v>
      </c>
      <c r="O7203" t="n">
        <v>0</v>
      </c>
      <c r="P7203" t="n">
        <v>0</v>
      </c>
      <c r="Q7203" t="n">
        <v>0</v>
      </c>
      <c r="R7203" s="2" t="inlineStr"/>
    </row>
    <row r="7204" ht="15" customHeight="1">
      <c r="A7204" t="inlineStr">
        <is>
          <t>A 46629-2021</t>
        </is>
      </c>
      <c r="B7204" s="1" t="n">
        <v>44445</v>
      </c>
      <c r="C7204" s="1" t="n">
        <v>45212</v>
      </c>
      <c r="D7204" t="inlineStr">
        <is>
          <t>VÄSTRA GÖTALANDS LÄN</t>
        </is>
      </c>
      <c r="E7204" t="inlineStr">
        <is>
          <t>ORUST</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46657-2021</t>
        </is>
      </c>
      <c r="B7205" s="1" t="n">
        <v>44445</v>
      </c>
      <c r="C7205" s="1" t="n">
        <v>45212</v>
      </c>
      <c r="D7205" t="inlineStr">
        <is>
          <t>VÄSTRA GÖTALANDS LÄN</t>
        </is>
      </c>
      <c r="E7205" t="inlineStr">
        <is>
          <t>FÄRGELANDA</t>
        </is>
      </c>
      <c r="G7205" t="n">
        <v>8.5</v>
      </c>
      <c r="H7205" t="n">
        <v>0</v>
      </c>
      <c r="I7205" t="n">
        <v>0</v>
      </c>
      <c r="J7205" t="n">
        <v>0</v>
      </c>
      <c r="K7205" t="n">
        <v>0</v>
      </c>
      <c r="L7205" t="n">
        <v>0</v>
      </c>
      <c r="M7205" t="n">
        <v>0</v>
      </c>
      <c r="N7205" t="n">
        <v>0</v>
      </c>
      <c r="O7205" t="n">
        <v>0</v>
      </c>
      <c r="P7205" t="n">
        <v>0</v>
      </c>
      <c r="Q7205" t="n">
        <v>0</v>
      </c>
      <c r="R7205" s="2" t="inlineStr"/>
    </row>
    <row r="7206" ht="15" customHeight="1">
      <c r="A7206" t="inlineStr">
        <is>
          <t>A 46535-2021</t>
        </is>
      </c>
      <c r="B7206" s="1" t="n">
        <v>44445</v>
      </c>
      <c r="C7206" s="1" t="n">
        <v>45212</v>
      </c>
      <c r="D7206" t="inlineStr">
        <is>
          <t>VÄSTRA GÖTALANDS LÄN</t>
        </is>
      </c>
      <c r="E7206" t="inlineStr">
        <is>
          <t>TANUM</t>
        </is>
      </c>
      <c r="G7206" t="n">
        <v>7.4</v>
      </c>
      <c r="H7206" t="n">
        <v>0</v>
      </c>
      <c r="I7206" t="n">
        <v>0</v>
      </c>
      <c r="J7206" t="n">
        <v>0</v>
      </c>
      <c r="K7206" t="n">
        <v>0</v>
      </c>
      <c r="L7206" t="n">
        <v>0</v>
      </c>
      <c r="M7206" t="n">
        <v>0</v>
      </c>
      <c r="N7206" t="n">
        <v>0</v>
      </c>
      <c r="O7206" t="n">
        <v>0</v>
      </c>
      <c r="P7206" t="n">
        <v>0</v>
      </c>
      <c r="Q7206" t="n">
        <v>0</v>
      </c>
      <c r="R7206" s="2" t="inlineStr"/>
    </row>
    <row r="7207" ht="15" customHeight="1">
      <c r="A7207" t="inlineStr">
        <is>
          <t>A 46655-2021</t>
        </is>
      </c>
      <c r="B7207" s="1" t="n">
        <v>44445</v>
      </c>
      <c r="C7207" s="1" t="n">
        <v>45212</v>
      </c>
      <c r="D7207" t="inlineStr">
        <is>
          <t>VÄSTRA GÖTALANDS LÄN</t>
        </is>
      </c>
      <c r="E7207" t="inlineStr">
        <is>
          <t>MARIESTAD</t>
        </is>
      </c>
      <c r="G7207" t="n">
        <v>0.6</v>
      </c>
      <c r="H7207" t="n">
        <v>0</v>
      </c>
      <c r="I7207" t="n">
        <v>0</v>
      </c>
      <c r="J7207" t="n">
        <v>0</v>
      </c>
      <c r="K7207" t="n">
        <v>0</v>
      </c>
      <c r="L7207" t="n">
        <v>0</v>
      </c>
      <c r="M7207" t="n">
        <v>0</v>
      </c>
      <c r="N7207" t="n">
        <v>0</v>
      </c>
      <c r="O7207" t="n">
        <v>0</v>
      </c>
      <c r="P7207" t="n">
        <v>0</v>
      </c>
      <c r="Q7207" t="n">
        <v>0</v>
      </c>
      <c r="R7207" s="2" t="inlineStr"/>
    </row>
    <row r="7208" ht="15" customHeight="1">
      <c r="A7208" t="inlineStr">
        <is>
          <t>A 46835-2021</t>
        </is>
      </c>
      <c r="B7208" s="1" t="n">
        <v>44446</v>
      </c>
      <c r="C7208" s="1" t="n">
        <v>45212</v>
      </c>
      <c r="D7208" t="inlineStr">
        <is>
          <t>VÄSTRA GÖTALANDS LÄN</t>
        </is>
      </c>
      <c r="E7208" t="inlineStr">
        <is>
          <t>MARIESTAD</t>
        </is>
      </c>
      <c r="G7208" t="n">
        <v>3.3</v>
      </c>
      <c r="H7208" t="n">
        <v>0</v>
      </c>
      <c r="I7208" t="n">
        <v>0</v>
      </c>
      <c r="J7208" t="n">
        <v>0</v>
      </c>
      <c r="K7208" t="n">
        <v>0</v>
      </c>
      <c r="L7208" t="n">
        <v>0</v>
      </c>
      <c r="M7208" t="n">
        <v>0</v>
      </c>
      <c r="N7208" t="n">
        <v>0</v>
      </c>
      <c r="O7208" t="n">
        <v>0</v>
      </c>
      <c r="P7208" t="n">
        <v>0</v>
      </c>
      <c r="Q7208" t="n">
        <v>0</v>
      </c>
      <c r="R7208" s="2" t="inlineStr"/>
    </row>
    <row r="7209" ht="15" customHeight="1">
      <c r="A7209" t="inlineStr">
        <is>
          <t>A 46851-2021</t>
        </is>
      </c>
      <c r="B7209" s="1" t="n">
        <v>44446</v>
      </c>
      <c r="C7209" s="1" t="n">
        <v>45212</v>
      </c>
      <c r="D7209" t="inlineStr">
        <is>
          <t>VÄSTRA GÖTALANDS LÄN</t>
        </is>
      </c>
      <c r="E7209" t="inlineStr">
        <is>
          <t>FÄRGELANDA</t>
        </is>
      </c>
      <c r="G7209" t="n">
        <v>3.2</v>
      </c>
      <c r="H7209" t="n">
        <v>0</v>
      </c>
      <c r="I7209" t="n">
        <v>0</v>
      </c>
      <c r="J7209" t="n">
        <v>0</v>
      </c>
      <c r="K7209" t="n">
        <v>0</v>
      </c>
      <c r="L7209" t="n">
        <v>0</v>
      </c>
      <c r="M7209" t="n">
        <v>0</v>
      </c>
      <c r="N7209" t="n">
        <v>0</v>
      </c>
      <c r="O7209" t="n">
        <v>0</v>
      </c>
      <c r="P7209" t="n">
        <v>0</v>
      </c>
      <c r="Q7209" t="n">
        <v>0</v>
      </c>
      <c r="R7209" s="2" t="inlineStr"/>
    </row>
    <row r="7210" ht="15" customHeight="1">
      <c r="A7210" t="inlineStr">
        <is>
          <t>A 47049-2021</t>
        </is>
      </c>
      <c r="B7210" s="1" t="n">
        <v>44446</v>
      </c>
      <c r="C7210" s="1" t="n">
        <v>45212</v>
      </c>
      <c r="D7210" t="inlineStr">
        <is>
          <t>VÄSTRA GÖTALANDS LÄN</t>
        </is>
      </c>
      <c r="E7210" t="inlineStr">
        <is>
          <t>TIBRO</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47076-2021</t>
        </is>
      </c>
      <c r="B7211" s="1" t="n">
        <v>44446</v>
      </c>
      <c r="C7211" s="1" t="n">
        <v>45212</v>
      </c>
      <c r="D7211" t="inlineStr">
        <is>
          <t>VÄSTRA GÖTALANDS LÄN</t>
        </is>
      </c>
      <c r="E7211" t="inlineStr">
        <is>
          <t>MARIESTAD</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46825-2021</t>
        </is>
      </c>
      <c r="B7212" s="1" t="n">
        <v>44446</v>
      </c>
      <c r="C7212" s="1" t="n">
        <v>45212</v>
      </c>
      <c r="D7212" t="inlineStr">
        <is>
          <t>VÄSTRA GÖTALANDS LÄN</t>
        </is>
      </c>
      <c r="E7212" t="inlineStr">
        <is>
          <t>BENGTSFORS</t>
        </is>
      </c>
      <c r="G7212" t="n">
        <v>8.6</v>
      </c>
      <c r="H7212" t="n">
        <v>0</v>
      </c>
      <c r="I7212" t="n">
        <v>0</v>
      </c>
      <c r="J7212" t="n">
        <v>0</v>
      </c>
      <c r="K7212" t="n">
        <v>0</v>
      </c>
      <c r="L7212" t="n">
        <v>0</v>
      </c>
      <c r="M7212" t="n">
        <v>0</v>
      </c>
      <c r="N7212" t="n">
        <v>0</v>
      </c>
      <c r="O7212" t="n">
        <v>0</v>
      </c>
      <c r="P7212" t="n">
        <v>0</v>
      </c>
      <c r="Q7212" t="n">
        <v>0</v>
      </c>
      <c r="R7212" s="2" t="inlineStr"/>
    </row>
    <row r="7213" ht="15" customHeight="1">
      <c r="A7213" t="inlineStr">
        <is>
          <t>A 46883-2021</t>
        </is>
      </c>
      <c r="B7213" s="1" t="n">
        <v>44446</v>
      </c>
      <c r="C7213" s="1" t="n">
        <v>45212</v>
      </c>
      <c r="D7213" t="inlineStr">
        <is>
          <t>VÄSTRA GÖTALANDS LÄN</t>
        </is>
      </c>
      <c r="E7213" t="inlineStr">
        <is>
          <t>ALINGSÅS</t>
        </is>
      </c>
      <c r="G7213" t="n">
        <v>6.3</v>
      </c>
      <c r="H7213" t="n">
        <v>0</v>
      </c>
      <c r="I7213" t="n">
        <v>0</v>
      </c>
      <c r="J7213" t="n">
        <v>0</v>
      </c>
      <c r="K7213" t="n">
        <v>0</v>
      </c>
      <c r="L7213" t="n">
        <v>0</v>
      </c>
      <c r="M7213" t="n">
        <v>0</v>
      </c>
      <c r="N7213" t="n">
        <v>0</v>
      </c>
      <c r="O7213" t="n">
        <v>0</v>
      </c>
      <c r="P7213" t="n">
        <v>0</v>
      </c>
      <c r="Q7213" t="n">
        <v>0</v>
      </c>
      <c r="R7213" s="2" t="inlineStr"/>
    </row>
    <row r="7214" ht="15" customHeight="1">
      <c r="A7214" t="inlineStr">
        <is>
          <t>A 47227-2021</t>
        </is>
      </c>
      <c r="B7214" s="1" t="n">
        <v>44446</v>
      </c>
      <c r="C7214" s="1" t="n">
        <v>45212</v>
      </c>
      <c r="D7214" t="inlineStr">
        <is>
          <t>VÄSTRA GÖTALANDS LÄN</t>
        </is>
      </c>
      <c r="E7214" t="inlineStr">
        <is>
          <t>DALS-ED</t>
        </is>
      </c>
      <c r="G7214" t="n">
        <v>5.5</v>
      </c>
      <c r="H7214" t="n">
        <v>0</v>
      </c>
      <c r="I7214" t="n">
        <v>0</v>
      </c>
      <c r="J7214" t="n">
        <v>0</v>
      </c>
      <c r="K7214" t="n">
        <v>0</v>
      </c>
      <c r="L7214" t="n">
        <v>0</v>
      </c>
      <c r="M7214" t="n">
        <v>0</v>
      </c>
      <c r="N7214" t="n">
        <v>0</v>
      </c>
      <c r="O7214" t="n">
        <v>0</v>
      </c>
      <c r="P7214" t="n">
        <v>0</v>
      </c>
      <c r="Q7214" t="n">
        <v>0</v>
      </c>
      <c r="R7214" s="2" t="inlineStr"/>
    </row>
    <row r="7215" ht="15" customHeight="1">
      <c r="A7215" t="inlineStr">
        <is>
          <t>A 46841-2021</t>
        </is>
      </c>
      <c r="B7215" s="1" t="n">
        <v>44446</v>
      </c>
      <c r="C7215" s="1" t="n">
        <v>45212</v>
      </c>
      <c r="D7215" t="inlineStr">
        <is>
          <t>VÄSTRA GÖTALANDS LÄN</t>
        </is>
      </c>
      <c r="E7215" t="inlineStr">
        <is>
          <t>MARIESTAD</t>
        </is>
      </c>
      <c r="G7215" t="n">
        <v>6.6</v>
      </c>
      <c r="H7215" t="n">
        <v>0</v>
      </c>
      <c r="I7215" t="n">
        <v>0</v>
      </c>
      <c r="J7215" t="n">
        <v>0</v>
      </c>
      <c r="K7215" t="n">
        <v>0</v>
      </c>
      <c r="L7215" t="n">
        <v>0</v>
      </c>
      <c r="M7215" t="n">
        <v>0</v>
      </c>
      <c r="N7215" t="n">
        <v>0</v>
      </c>
      <c r="O7215" t="n">
        <v>0</v>
      </c>
      <c r="P7215" t="n">
        <v>0</v>
      </c>
      <c r="Q7215" t="n">
        <v>0</v>
      </c>
      <c r="R7215" s="2" t="inlineStr"/>
    </row>
    <row r="7216" ht="15" customHeight="1">
      <c r="A7216" t="inlineStr">
        <is>
          <t>A 47048-2021</t>
        </is>
      </c>
      <c r="B7216" s="1" t="n">
        <v>44446</v>
      </c>
      <c r="C7216" s="1" t="n">
        <v>45212</v>
      </c>
      <c r="D7216" t="inlineStr">
        <is>
          <t>VÄSTRA GÖTALANDS LÄN</t>
        </is>
      </c>
      <c r="E7216" t="inlineStr">
        <is>
          <t>LIDKÖPING</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47091-2021</t>
        </is>
      </c>
      <c r="B7217" s="1" t="n">
        <v>44446</v>
      </c>
      <c r="C7217" s="1" t="n">
        <v>45212</v>
      </c>
      <c r="D7217" t="inlineStr">
        <is>
          <t>VÄSTRA GÖTALANDS LÄN</t>
        </is>
      </c>
      <c r="E7217" t="inlineStr">
        <is>
          <t>BENGTSFORS</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46870-2021</t>
        </is>
      </c>
      <c r="B7218" s="1" t="n">
        <v>44446</v>
      </c>
      <c r="C7218" s="1" t="n">
        <v>45212</v>
      </c>
      <c r="D7218" t="inlineStr">
        <is>
          <t>VÄSTRA GÖTALANDS LÄN</t>
        </is>
      </c>
      <c r="E7218" t="inlineStr">
        <is>
          <t>VÄNERSBORG</t>
        </is>
      </c>
      <c r="F7218" t="inlineStr">
        <is>
          <t>Sveaskog</t>
        </is>
      </c>
      <c r="G7218" t="n">
        <v>9</v>
      </c>
      <c r="H7218" t="n">
        <v>0</v>
      </c>
      <c r="I7218" t="n">
        <v>0</v>
      </c>
      <c r="J7218" t="n">
        <v>0</v>
      </c>
      <c r="K7218" t="n">
        <v>0</v>
      </c>
      <c r="L7218" t="n">
        <v>0</v>
      </c>
      <c r="M7218" t="n">
        <v>0</v>
      </c>
      <c r="N7218" t="n">
        <v>0</v>
      </c>
      <c r="O7218" t="n">
        <v>0</v>
      </c>
      <c r="P7218" t="n">
        <v>0</v>
      </c>
      <c r="Q7218" t="n">
        <v>0</v>
      </c>
      <c r="R7218" s="2" t="inlineStr"/>
    </row>
    <row r="7219" ht="15" customHeight="1">
      <c r="A7219" t="inlineStr">
        <is>
          <t>A 46978-2021</t>
        </is>
      </c>
      <c r="B7219" s="1" t="n">
        <v>44446</v>
      </c>
      <c r="C7219" s="1" t="n">
        <v>45212</v>
      </c>
      <c r="D7219" t="inlineStr">
        <is>
          <t>VÄSTRA GÖTALANDS LÄN</t>
        </is>
      </c>
      <c r="E7219" t="inlineStr">
        <is>
          <t>GÖTENE</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47057-2021</t>
        </is>
      </c>
      <c r="B7220" s="1" t="n">
        <v>44446</v>
      </c>
      <c r="C7220" s="1" t="n">
        <v>45212</v>
      </c>
      <c r="D7220" t="inlineStr">
        <is>
          <t>VÄSTRA GÖTALANDS LÄN</t>
        </is>
      </c>
      <c r="E7220" t="inlineStr">
        <is>
          <t>LIDKÖPING</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47168-2021</t>
        </is>
      </c>
      <c r="B7221" s="1" t="n">
        <v>44446</v>
      </c>
      <c r="C7221" s="1" t="n">
        <v>45212</v>
      </c>
      <c r="D7221" t="inlineStr">
        <is>
          <t>VÄSTRA GÖTALANDS LÄN</t>
        </is>
      </c>
      <c r="E7221" t="inlineStr">
        <is>
          <t>TANUM</t>
        </is>
      </c>
      <c r="G7221" t="n">
        <v>0.2</v>
      </c>
      <c r="H7221" t="n">
        <v>0</v>
      </c>
      <c r="I7221" t="n">
        <v>0</v>
      </c>
      <c r="J7221" t="n">
        <v>0</v>
      </c>
      <c r="K7221" t="n">
        <v>0</v>
      </c>
      <c r="L7221" t="n">
        <v>0</v>
      </c>
      <c r="M7221" t="n">
        <v>0</v>
      </c>
      <c r="N7221" t="n">
        <v>0</v>
      </c>
      <c r="O7221" t="n">
        <v>0</v>
      </c>
      <c r="P7221" t="n">
        <v>0</v>
      </c>
      <c r="Q7221" t="n">
        <v>0</v>
      </c>
      <c r="R7221" s="2" t="inlineStr"/>
    </row>
    <row r="7222" ht="15" customHeight="1">
      <c r="A7222" t="inlineStr">
        <is>
          <t>A 47179-2021</t>
        </is>
      </c>
      <c r="B7222" s="1" t="n">
        <v>44446</v>
      </c>
      <c r="C7222" s="1" t="n">
        <v>45212</v>
      </c>
      <c r="D7222" t="inlineStr">
        <is>
          <t>VÄSTRA GÖTALANDS LÄN</t>
        </is>
      </c>
      <c r="E7222" t="inlineStr">
        <is>
          <t>FÄRGELANDA</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47187-2021</t>
        </is>
      </c>
      <c r="B7223" s="1" t="n">
        <v>44447</v>
      </c>
      <c r="C7223" s="1" t="n">
        <v>45212</v>
      </c>
      <c r="D7223" t="inlineStr">
        <is>
          <t>VÄSTRA GÖTALANDS LÄN</t>
        </is>
      </c>
      <c r="E7223" t="inlineStr">
        <is>
          <t>ALINGSÅS</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47378-2021</t>
        </is>
      </c>
      <c r="B7224" s="1" t="n">
        <v>44447</v>
      </c>
      <c r="C7224" s="1" t="n">
        <v>45212</v>
      </c>
      <c r="D7224" t="inlineStr">
        <is>
          <t>VÄSTRA GÖTALANDS LÄN</t>
        </is>
      </c>
      <c r="E7224" t="inlineStr">
        <is>
          <t>MUNKEDAL</t>
        </is>
      </c>
      <c r="F7224" t="inlineStr">
        <is>
          <t>Övriga Aktiebolag</t>
        </is>
      </c>
      <c r="G7224" t="n">
        <v>21.7</v>
      </c>
      <c r="H7224" t="n">
        <v>0</v>
      </c>
      <c r="I7224" t="n">
        <v>0</v>
      </c>
      <c r="J7224" t="n">
        <v>0</v>
      </c>
      <c r="K7224" t="n">
        <v>0</v>
      </c>
      <c r="L7224" t="n">
        <v>0</v>
      </c>
      <c r="M7224" t="n">
        <v>0</v>
      </c>
      <c r="N7224" t="n">
        <v>0</v>
      </c>
      <c r="O7224" t="n">
        <v>0</v>
      </c>
      <c r="P7224" t="n">
        <v>0</v>
      </c>
      <c r="Q7224" t="n">
        <v>0</v>
      </c>
      <c r="R7224" s="2" t="inlineStr"/>
    </row>
    <row r="7225" ht="15" customHeight="1">
      <c r="A7225" t="inlineStr">
        <is>
          <t>A 47424-2021</t>
        </is>
      </c>
      <c r="B7225" s="1" t="n">
        <v>44447</v>
      </c>
      <c r="C7225" s="1" t="n">
        <v>45212</v>
      </c>
      <c r="D7225" t="inlineStr">
        <is>
          <t>VÄSTRA GÖTALANDS LÄN</t>
        </is>
      </c>
      <c r="E7225" t="inlineStr">
        <is>
          <t>TRANEMO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47466-2021</t>
        </is>
      </c>
      <c r="B7226" s="1" t="n">
        <v>44447</v>
      </c>
      <c r="C7226" s="1" t="n">
        <v>45212</v>
      </c>
      <c r="D7226" t="inlineStr">
        <is>
          <t>VÄSTRA GÖTALANDS LÄN</t>
        </is>
      </c>
      <c r="E7226" t="inlineStr">
        <is>
          <t>ULRICEHAMN</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47306-2021</t>
        </is>
      </c>
      <c r="B7227" s="1" t="n">
        <v>44447</v>
      </c>
      <c r="C7227" s="1" t="n">
        <v>45212</v>
      </c>
      <c r="D7227" t="inlineStr">
        <is>
          <t>VÄSTRA GÖTALANDS LÄN</t>
        </is>
      </c>
      <c r="E7227" t="inlineStr">
        <is>
          <t>BORÅS</t>
        </is>
      </c>
      <c r="G7227" t="n">
        <v>3.9</v>
      </c>
      <c r="H7227" t="n">
        <v>0</v>
      </c>
      <c r="I7227" t="n">
        <v>0</v>
      </c>
      <c r="J7227" t="n">
        <v>0</v>
      </c>
      <c r="K7227" t="n">
        <v>0</v>
      </c>
      <c r="L7227" t="n">
        <v>0</v>
      </c>
      <c r="M7227" t="n">
        <v>0</v>
      </c>
      <c r="N7227" t="n">
        <v>0</v>
      </c>
      <c r="O7227" t="n">
        <v>0</v>
      </c>
      <c r="P7227" t="n">
        <v>0</v>
      </c>
      <c r="Q7227" t="n">
        <v>0</v>
      </c>
      <c r="R7227" s="2" t="inlineStr"/>
    </row>
    <row r="7228" ht="15" customHeight="1">
      <c r="A7228" t="inlineStr">
        <is>
          <t>A 47326-2021</t>
        </is>
      </c>
      <c r="B7228" s="1" t="n">
        <v>44447</v>
      </c>
      <c r="C7228" s="1" t="n">
        <v>45212</v>
      </c>
      <c r="D7228" t="inlineStr">
        <is>
          <t>VÄSTRA GÖTALANDS LÄN</t>
        </is>
      </c>
      <c r="E7228" t="inlineStr">
        <is>
          <t>FALKÖPING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47469-2021</t>
        </is>
      </c>
      <c r="B7229" s="1" t="n">
        <v>44447</v>
      </c>
      <c r="C7229" s="1" t="n">
        <v>45212</v>
      </c>
      <c r="D7229" t="inlineStr">
        <is>
          <t>VÄSTRA GÖTALANDS LÄN</t>
        </is>
      </c>
      <c r="E7229" t="inlineStr">
        <is>
          <t>ULRICEHAMN</t>
        </is>
      </c>
      <c r="G7229" t="n">
        <v>3.6</v>
      </c>
      <c r="H7229" t="n">
        <v>0</v>
      </c>
      <c r="I7229" t="n">
        <v>0</v>
      </c>
      <c r="J7229" t="n">
        <v>0</v>
      </c>
      <c r="K7229" t="n">
        <v>0</v>
      </c>
      <c r="L7229" t="n">
        <v>0</v>
      </c>
      <c r="M7229" t="n">
        <v>0</v>
      </c>
      <c r="N7229" t="n">
        <v>0</v>
      </c>
      <c r="O7229" t="n">
        <v>0</v>
      </c>
      <c r="P7229" t="n">
        <v>0</v>
      </c>
      <c r="Q7229" t="n">
        <v>0</v>
      </c>
      <c r="R7229" s="2" t="inlineStr"/>
    </row>
    <row r="7230" ht="15" customHeight="1">
      <c r="A7230" t="inlineStr">
        <is>
          <t>A 47267-2021</t>
        </is>
      </c>
      <c r="B7230" s="1" t="n">
        <v>44447</v>
      </c>
      <c r="C7230" s="1" t="n">
        <v>45212</v>
      </c>
      <c r="D7230" t="inlineStr">
        <is>
          <t>VÄSTRA GÖTALANDS LÄN</t>
        </is>
      </c>
      <c r="E7230" t="inlineStr">
        <is>
          <t>TIDAHOLM</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47284-2021</t>
        </is>
      </c>
      <c r="B7231" s="1" t="n">
        <v>44447</v>
      </c>
      <c r="C7231" s="1" t="n">
        <v>45212</v>
      </c>
      <c r="D7231" t="inlineStr">
        <is>
          <t>VÄSTRA GÖTALANDS LÄN</t>
        </is>
      </c>
      <c r="E7231" t="inlineStr">
        <is>
          <t>HERRLJUNGA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47809-2021</t>
        </is>
      </c>
      <c r="B7232" s="1" t="n">
        <v>44448</v>
      </c>
      <c r="C7232" s="1" t="n">
        <v>45212</v>
      </c>
      <c r="D7232" t="inlineStr">
        <is>
          <t>VÄSTRA GÖTALANDS LÄN</t>
        </is>
      </c>
      <c r="E7232" t="inlineStr">
        <is>
          <t>ULRICEHAMN</t>
        </is>
      </c>
      <c r="G7232" t="n">
        <v>8.199999999999999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47883-2021</t>
        </is>
      </c>
      <c r="B7233" s="1" t="n">
        <v>44448</v>
      </c>
      <c r="C7233" s="1" t="n">
        <v>45212</v>
      </c>
      <c r="D7233" t="inlineStr">
        <is>
          <t>VÄSTRA GÖTALANDS LÄN</t>
        </is>
      </c>
      <c r="E7233" t="inlineStr">
        <is>
          <t>ORUST</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47624-2021</t>
        </is>
      </c>
      <c r="B7234" s="1" t="n">
        <v>44448</v>
      </c>
      <c r="C7234" s="1" t="n">
        <v>45212</v>
      </c>
      <c r="D7234" t="inlineStr">
        <is>
          <t>VÄSTRA GÖTALANDS LÄN</t>
        </is>
      </c>
      <c r="E7234" t="inlineStr">
        <is>
          <t>BORÅS</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47690-2021</t>
        </is>
      </c>
      <c r="B7235" s="1" t="n">
        <v>44448</v>
      </c>
      <c r="C7235" s="1" t="n">
        <v>45212</v>
      </c>
      <c r="D7235" t="inlineStr">
        <is>
          <t>VÄSTRA GÖTALANDS LÄN</t>
        </is>
      </c>
      <c r="E7235" t="inlineStr">
        <is>
          <t>SVENLJUNGA</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47703-2021</t>
        </is>
      </c>
      <c r="B7236" s="1" t="n">
        <v>44448</v>
      </c>
      <c r="C7236" s="1" t="n">
        <v>45212</v>
      </c>
      <c r="D7236" t="inlineStr">
        <is>
          <t>VÄSTRA GÖTALANDS LÄN</t>
        </is>
      </c>
      <c r="E7236" t="inlineStr">
        <is>
          <t>KARLSBORG</t>
        </is>
      </c>
      <c r="G7236" t="n">
        <v>12.9</v>
      </c>
      <c r="H7236" t="n">
        <v>0</v>
      </c>
      <c r="I7236" t="n">
        <v>0</v>
      </c>
      <c r="J7236" t="n">
        <v>0</v>
      </c>
      <c r="K7236" t="n">
        <v>0</v>
      </c>
      <c r="L7236" t="n">
        <v>0</v>
      </c>
      <c r="M7236" t="n">
        <v>0</v>
      </c>
      <c r="N7236" t="n">
        <v>0</v>
      </c>
      <c r="O7236" t="n">
        <v>0</v>
      </c>
      <c r="P7236" t="n">
        <v>0</v>
      </c>
      <c r="Q7236" t="n">
        <v>0</v>
      </c>
      <c r="R7236" s="2" t="inlineStr"/>
    </row>
    <row r="7237" ht="15" customHeight="1">
      <c r="A7237" t="inlineStr">
        <is>
          <t>A 47876-2021</t>
        </is>
      </c>
      <c r="B7237" s="1" t="n">
        <v>44448</v>
      </c>
      <c r="C7237" s="1" t="n">
        <v>45212</v>
      </c>
      <c r="D7237" t="inlineStr">
        <is>
          <t>VÄSTRA GÖTALANDS LÄN</t>
        </is>
      </c>
      <c r="E7237" t="inlineStr">
        <is>
          <t>ORUST</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47885-2021</t>
        </is>
      </c>
      <c r="B7238" s="1" t="n">
        <v>44448</v>
      </c>
      <c r="C7238" s="1" t="n">
        <v>45212</v>
      </c>
      <c r="D7238" t="inlineStr">
        <is>
          <t>VÄSTRA GÖTALANDS LÄN</t>
        </is>
      </c>
      <c r="E7238" t="inlineStr">
        <is>
          <t>ORUST</t>
        </is>
      </c>
      <c r="G7238" t="n">
        <v>3.4</v>
      </c>
      <c r="H7238" t="n">
        <v>0</v>
      </c>
      <c r="I7238" t="n">
        <v>0</v>
      </c>
      <c r="J7238" t="n">
        <v>0</v>
      </c>
      <c r="K7238" t="n">
        <v>0</v>
      </c>
      <c r="L7238" t="n">
        <v>0</v>
      </c>
      <c r="M7238" t="n">
        <v>0</v>
      </c>
      <c r="N7238" t="n">
        <v>0</v>
      </c>
      <c r="O7238" t="n">
        <v>0</v>
      </c>
      <c r="P7238" t="n">
        <v>0</v>
      </c>
      <c r="Q7238" t="n">
        <v>0</v>
      </c>
      <c r="R7238" s="2" t="inlineStr"/>
    </row>
    <row r="7239" ht="15" customHeight="1">
      <c r="A7239" t="inlineStr">
        <is>
          <t>A 47698-2021</t>
        </is>
      </c>
      <c r="B7239" s="1" t="n">
        <v>44448</v>
      </c>
      <c r="C7239" s="1" t="n">
        <v>45212</v>
      </c>
      <c r="D7239" t="inlineStr">
        <is>
          <t>VÄSTRA GÖTALANDS LÄN</t>
        </is>
      </c>
      <c r="E7239" t="inlineStr">
        <is>
          <t>KARLSBORG</t>
        </is>
      </c>
      <c r="G7239" t="n">
        <v>9.699999999999999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47877-2021</t>
        </is>
      </c>
      <c r="B7240" s="1" t="n">
        <v>44448</v>
      </c>
      <c r="C7240" s="1" t="n">
        <v>45212</v>
      </c>
      <c r="D7240" t="inlineStr">
        <is>
          <t>VÄSTRA GÖTALANDS LÄN</t>
        </is>
      </c>
      <c r="E7240" t="inlineStr">
        <is>
          <t>ORUST</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47886-2021</t>
        </is>
      </c>
      <c r="B7241" s="1" t="n">
        <v>44448</v>
      </c>
      <c r="C7241" s="1" t="n">
        <v>45212</v>
      </c>
      <c r="D7241" t="inlineStr">
        <is>
          <t>VÄSTRA GÖTALANDS LÄN</t>
        </is>
      </c>
      <c r="E7241" t="inlineStr">
        <is>
          <t>ORUST</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47896-2021</t>
        </is>
      </c>
      <c r="B7242" s="1" t="n">
        <v>44448</v>
      </c>
      <c r="C7242" s="1" t="n">
        <v>45212</v>
      </c>
      <c r="D7242" t="inlineStr">
        <is>
          <t>VÄSTRA GÖTALANDS LÄN</t>
        </is>
      </c>
      <c r="E7242" t="inlineStr">
        <is>
          <t>VARA</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47605-2021</t>
        </is>
      </c>
      <c r="B7243" s="1" t="n">
        <v>44448</v>
      </c>
      <c r="C7243" s="1" t="n">
        <v>45212</v>
      </c>
      <c r="D7243" t="inlineStr">
        <is>
          <t>VÄSTRA GÖTALANDS LÄN</t>
        </is>
      </c>
      <c r="E7243" t="inlineStr">
        <is>
          <t>ULRICEHAMN</t>
        </is>
      </c>
      <c r="G7243" t="n">
        <v>3.2</v>
      </c>
      <c r="H7243" t="n">
        <v>0</v>
      </c>
      <c r="I7243" t="n">
        <v>0</v>
      </c>
      <c r="J7243" t="n">
        <v>0</v>
      </c>
      <c r="K7243" t="n">
        <v>0</v>
      </c>
      <c r="L7243" t="n">
        <v>0</v>
      </c>
      <c r="M7243" t="n">
        <v>0</v>
      </c>
      <c r="N7243" t="n">
        <v>0</v>
      </c>
      <c r="O7243" t="n">
        <v>0</v>
      </c>
      <c r="P7243" t="n">
        <v>0</v>
      </c>
      <c r="Q7243" t="n">
        <v>0</v>
      </c>
      <c r="R7243" s="2" t="inlineStr"/>
    </row>
    <row r="7244" ht="15" customHeight="1">
      <c r="A7244" t="inlineStr">
        <is>
          <t>A 47692-2021</t>
        </is>
      </c>
      <c r="B7244" s="1" t="n">
        <v>44448</v>
      </c>
      <c r="C7244" s="1" t="n">
        <v>45212</v>
      </c>
      <c r="D7244" t="inlineStr">
        <is>
          <t>VÄSTRA GÖTALANDS LÄN</t>
        </is>
      </c>
      <c r="E7244" t="inlineStr">
        <is>
          <t>KARLSBORG</t>
        </is>
      </c>
      <c r="G7244" t="n">
        <v>2.7</v>
      </c>
      <c r="H7244" t="n">
        <v>0</v>
      </c>
      <c r="I7244" t="n">
        <v>0</v>
      </c>
      <c r="J7244" t="n">
        <v>0</v>
      </c>
      <c r="K7244" t="n">
        <v>0</v>
      </c>
      <c r="L7244" t="n">
        <v>0</v>
      </c>
      <c r="M7244" t="n">
        <v>0</v>
      </c>
      <c r="N7244" t="n">
        <v>0</v>
      </c>
      <c r="O7244" t="n">
        <v>0</v>
      </c>
      <c r="P7244" t="n">
        <v>0</v>
      </c>
      <c r="Q7244" t="n">
        <v>0</v>
      </c>
      <c r="R7244" s="2" t="inlineStr"/>
    </row>
    <row r="7245" ht="15" customHeight="1">
      <c r="A7245" t="inlineStr">
        <is>
          <t>A 47725-2021</t>
        </is>
      </c>
      <c r="B7245" s="1" t="n">
        <v>44448</v>
      </c>
      <c r="C7245" s="1" t="n">
        <v>45212</v>
      </c>
      <c r="D7245" t="inlineStr">
        <is>
          <t>VÄSTRA GÖTALANDS LÄN</t>
        </is>
      </c>
      <c r="E7245" t="inlineStr">
        <is>
          <t>BORÅS</t>
        </is>
      </c>
      <c r="G7245" t="n">
        <v>11.4</v>
      </c>
      <c r="H7245" t="n">
        <v>0</v>
      </c>
      <c r="I7245" t="n">
        <v>0</v>
      </c>
      <c r="J7245" t="n">
        <v>0</v>
      </c>
      <c r="K7245" t="n">
        <v>0</v>
      </c>
      <c r="L7245" t="n">
        <v>0</v>
      </c>
      <c r="M7245" t="n">
        <v>0</v>
      </c>
      <c r="N7245" t="n">
        <v>0</v>
      </c>
      <c r="O7245" t="n">
        <v>0</v>
      </c>
      <c r="P7245" t="n">
        <v>0</v>
      </c>
      <c r="Q7245" t="n">
        <v>0</v>
      </c>
      <c r="R7245" s="2" t="inlineStr"/>
    </row>
    <row r="7246" ht="15" customHeight="1">
      <c r="A7246" t="inlineStr">
        <is>
          <t>A 47826-2021</t>
        </is>
      </c>
      <c r="B7246" s="1" t="n">
        <v>44448</v>
      </c>
      <c r="C7246" s="1" t="n">
        <v>45212</v>
      </c>
      <c r="D7246" t="inlineStr">
        <is>
          <t>VÄSTRA GÖTALANDS LÄN</t>
        </is>
      </c>
      <c r="E7246" t="inlineStr">
        <is>
          <t>MARK</t>
        </is>
      </c>
      <c r="F7246" t="inlineStr">
        <is>
          <t>Kyrkan</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47882-2021</t>
        </is>
      </c>
      <c r="B7247" s="1" t="n">
        <v>44448</v>
      </c>
      <c r="C7247" s="1" t="n">
        <v>45212</v>
      </c>
      <c r="D7247" t="inlineStr">
        <is>
          <t>VÄSTRA GÖTALANDS LÄN</t>
        </is>
      </c>
      <c r="E7247" t="inlineStr">
        <is>
          <t>ORUST</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48088-2021</t>
        </is>
      </c>
      <c r="B7248" s="1" t="n">
        <v>44449</v>
      </c>
      <c r="C7248" s="1" t="n">
        <v>45212</v>
      </c>
      <c r="D7248" t="inlineStr">
        <is>
          <t>VÄSTRA GÖTALANDS LÄN</t>
        </is>
      </c>
      <c r="E7248" t="inlineStr">
        <is>
          <t>UDDEVALLA</t>
        </is>
      </c>
      <c r="F7248" t="inlineStr">
        <is>
          <t>Kyrkan</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48278-2021</t>
        </is>
      </c>
      <c r="B7249" s="1" t="n">
        <v>44449</v>
      </c>
      <c r="C7249" s="1" t="n">
        <v>45212</v>
      </c>
      <c r="D7249" t="inlineStr">
        <is>
          <t>VÄSTRA GÖTALANDS LÄN</t>
        </is>
      </c>
      <c r="E7249" t="inlineStr">
        <is>
          <t>HERRLJUNGA</t>
        </is>
      </c>
      <c r="G7249" t="n">
        <v>2.9</v>
      </c>
      <c r="H7249" t="n">
        <v>0</v>
      </c>
      <c r="I7249" t="n">
        <v>0</v>
      </c>
      <c r="J7249" t="n">
        <v>0</v>
      </c>
      <c r="K7249" t="n">
        <v>0</v>
      </c>
      <c r="L7249" t="n">
        <v>0</v>
      </c>
      <c r="M7249" t="n">
        <v>0</v>
      </c>
      <c r="N7249" t="n">
        <v>0</v>
      </c>
      <c r="O7249" t="n">
        <v>0</v>
      </c>
      <c r="P7249" t="n">
        <v>0</v>
      </c>
      <c r="Q7249" t="n">
        <v>0</v>
      </c>
      <c r="R7249" s="2" t="inlineStr"/>
    </row>
    <row r="7250" ht="15" customHeight="1">
      <c r="A7250" t="inlineStr">
        <is>
          <t>A 48039-2021</t>
        </is>
      </c>
      <c r="B7250" s="1" t="n">
        <v>44449</v>
      </c>
      <c r="C7250" s="1" t="n">
        <v>45212</v>
      </c>
      <c r="D7250" t="inlineStr">
        <is>
          <t>VÄSTRA GÖTALANDS LÄN</t>
        </is>
      </c>
      <c r="E7250" t="inlineStr">
        <is>
          <t>FÄRGELANDA</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48513-2021</t>
        </is>
      </c>
      <c r="B7251" s="1" t="n">
        <v>44449</v>
      </c>
      <c r="C7251" s="1" t="n">
        <v>45212</v>
      </c>
      <c r="D7251" t="inlineStr">
        <is>
          <t>VÄSTRA GÖTALANDS LÄN</t>
        </is>
      </c>
      <c r="E7251" t="inlineStr">
        <is>
          <t>BOLLEBYGD</t>
        </is>
      </c>
      <c r="G7251" t="n">
        <v>3.1</v>
      </c>
      <c r="H7251" t="n">
        <v>0</v>
      </c>
      <c r="I7251" t="n">
        <v>0</v>
      </c>
      <c r="J7251" t="n">
        <v>0</v>
      </c>
      <c r="K7251" t="n">
        <v>0</v>
      </c>
      <c r="L7251" t="n">
        <v>0</v>
      </c>
      <c r="M7251" t="n">
        <v>0</v>
      </c>
      <c r="N7251" t="n">
        <v>0</v>
      </c>
      <c r="O7251" t="n">
        <v>0</v>
      </c>
      <c r="P7251" t="n">
        <v>0</v>
      </c>
      <c r="Q7251" t="n">
        <v>0</v>
      </c>
      <c r="R7251" s="2" t="inlineStr"/>
    </row>
    <row r="7252" ht="15" customHeight="1">
      <c r="A7252" t="inlineStr">
        <is>
          <t>A 48311-2021</t>
        </is>
      </c>
      <c r="B7252" s="1" t="n">
        <v>44450</v>
      </c>
      <c r="C7252" s="1" t="n">
        <v>45212</v>
      </c>
      <c r="D7252" t="inlineStr">
        <is>
          <t>VÄSTRA GÖTALANDS LÄN</t>
        </is>
      </c>
      <c r="E7252" t="inlineStr">
        <is>
          <t>KUNGÄLV</t>
        </is>
      </c>
      <c r="G7252" t="n">
        <v>0.3</v>
      </c>
      <c r="H7252" t="n">
        <v>0</v>
      </c>
      <c r="I7252" t="n">
        <v>0</v>
      </c>
      <c r="J7252" t="n">
        <v>0</v>
      </c>
      <c r="K7252" t="n">
        <v>0</v>
      </c>
      <c r="L7252" t="n">
        <v>0</v>
      </c>
      <c r="M7252" t="n">
        <v>0</v>
      </c>
      <c r="N7252" t="n">
        <v>0</v>
      </c>
      <c r="O7252" t="n">
        <v>0</v>
      </c>
      <c r="P7252" t="n">
        <v>0</v>
      </c>
      <c r="Q7252" t="n">
        <v>0</v>
      </c>
      <c r="R7252" s="2" t="inlineStr"/>
    </row>
    <row r="7253" ht="15" customHeight="1">
      <c r="A7253" t="inlineStr">
        <is>
          <t>A 48345-2021</t>
        </is>
      </c>
      <c r="B7253" s="1" t="n">
        <v>44451</v>
      </c>
      <c r="C7253" s="1" t="n">
        <v>45212</v>
      </c>
      <c r="D7253" t="inlineStr">
        <is>
          <t>VÄSTRA GÖTALANDS LÄN</t>
        </is>
      </c>
      <c r="E7253" t="inlineStr">
        <is>
          <t>KUNGÄLV</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48594-2021</t>
        </is>
      </c>
      <c r="B7254" s="1" t="n">
        <v>44452</v>
      </c>
      <c r="C7254" s="1" t="n">
        <v>45212</v>
      </c>
      <c r="D7254" t="inlineStr">
        <is>
          <t>VÄSTRA GÖTALANDS LÄN</t>
        </is>
      </c>
      <c r="E7254" t="inlineStr">
        <is>
          <t>MARK</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48654-2021</t>
        </is>
      </c>
      <c r="B7255" s="1" t="n">
        <v>44452</v>
      </c>
      <c r="C7255" s="1" t="n">
        <v>45212</v>
      </c>
      <c r="D7255" t="inlineStr">
        <is>
          <t>VÄSTRA GÖTALANDS LÄN</t>
        </is>
      </c>
      <c r="E7255" t="inlineStr">
        <is>
          <t>DALS-ED</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48713-2021</t>
        </is>
      </c>
      <c r="B7256" s="1" t="n">
        <v>44452</v>
      </c>
      <c r="C7256" s="1" t="n">
        <v>45212</v>
      </c>
      <c r="D7256" t="inlineStr">
        <is>
          <t>VÄSTRA GÖTALANDS LÄN</t>
        </is>
      </c>
      <c r="E7256" t="inlineStr">
        <is>
          <t>TANUM</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48658-2021</t>
        </is>
      </c>
      <c r="B7257" s="1" t="n">
        <v>44452</v>
      </c>
      <c r="C7257" s="1" t="n">
        <v>45212</v>
      </c>
      <c r="D7257" t="inlineStr">
        <is>
          <t>VÄSTRA GÖTALANDS LÄN</t>
        </is>
      </c>
      <c r="E7257" t="inlineStr">
        <is>
          <t>DALS-ED</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48893-2021</t>
        </is>
      </c>
      <c r="B7258" s="1" t="n">
        <v>44452</v>
      </c>
      <c r="C7258" s="1" t="n">
        <v>45212</v>
      </c>
      <c r="D7258" t="inlineStr">
        <is>
          <t>VÄSTRA GÖTALANDS LÄN</t>
        </is>
      </c>
      <c r="E7258" t="inlineStr">
        <is>
          <t>HERRLJUNGA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48592-2021</t>
        </is>
      </c>
      <c r="B7259" s="1" t="n">
        <v>44452</v>
      </c>
      <c r="C7259" s="1" t="n">
        <v>45212</v>
      </c>
      <c r="D7259" t="inlineStr">
        <is>
          <t>VÄSTRA GÖTALANDS LÄN</t>
        </is>
      </c>
      <c r="E7259" t="inlineStr">
        <is>
          <t>FÄRGELANDA</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49242-2021</t>
        </is>
      </c>
      <c r="B7260" s="1" t="n">
        <v>44453</v>
      </c>
      <c r="C7260" s="1" t="n">
        <v>45212</v>
      </c>
      <c r="D7260" t="inlineStr">
        <is>
          <t>VÄSTRA GÖTALANDS LÄN</t>
        </is>
      </c>
      <c r="E7260" t="inlineStr">
        <is>
          <t>STRÖMSTAD</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49778-2021</t>
        </is>
      </c>
      <c r="B7261" s="1" t="n">
        <v>44453</v>
      </c>
      <c r="C7261" s="1" t="n">
        <v>45212</v>
      </c>
      <c r="D7261" t="inlineStr">
        <is>
          <t>VÄSTRA GÖTALANDS LÄN</t>
        </is>
      </c>
      <c r="E7261" t="inlineStr">
        <is>
          <t>BENGTSFORS</t>
        </is>
      </c>
      <c r="G7261" t="n">
        <v>8</v>
      </c>
      <c r="H7261" t="n">
        <v>0</v>
      </c>
      <c r="I7261" t="n">
        <v>0</v>
      </c>
      <c r="J7261" t="n">
        <v>0</v>
      </c>
      <c r="K7261" t="n">
        <v>0</v>
      </c>
      <c r="L7261" t="n">
        <v>0</v>
      </c>
      <c r="M7261" t="n">
        <v>0</v>
      </c>
      <c r="N7261" t="n">
        <v>0</v>
      </c>
      <c r="O7261" t="n">
        <v>0</v>
      </c>
      <c r="P7261" t="n">
        <v>0</v>
      </c>
      <c r="Q7261" t="n">
        <v>0</v>
      </c>
      <c r="R7261" s="2" t="inlineStr"/>
    </row>
    <row r="7262" ht="15" customHeight="1">
      <c r="A7262" t="inlineStr">
        <is>
          <t>A 48948-2021</t>
        </is>
      </c>
      <c r="B7262" s="1" t="n">
        <v>44453</v>
      </c>
      <c r="C7262" s="1" t="n">
        <v>45212</v>
      </c>
      <c r="D7262" t="inlineStr">
        <is>
          <t>VÄSTRA GÖTALANDS LÄN</t>
        </is>
      </c>
      <c r="E7262" t="inlineStr">
        <is>
          <t>FÄRGELANDA</t>
        </is>
      </c>
      <c r="G7262" t="n">
        <v>5.3</v>
      </c>
      <c r="H7262" t="n">
        <v>0</v>
      </c>
      <c r="I7262" t="n">
        <v>0</v>
      </c>
      <c r="J7262" t="n">
        <v>0</v>
      </c>
      <c r="K7262" t="n">
        <v>0</v>
      </c>
      <c r="L7262" t="n">
        <v>0</v>
      </c>
      <c r="M7262" t="n">
        <v>0</v>
      </c>
      <c r="N7262" t="n">
        <v>0</v>
      </c>
      <c r="O7262" t="n">
        <v>0</v>
      </c>
      <c r="P7262" t="n">
        <v>0</v>
      </c>
      <c r="Q7262" t="n">
        <v>0</v>
      </c>
      <c r="R7262" s="2" t="inlineStr"/>
    </row>
    <row r="7263" ht="15" customHeight="1">
      <c r="A7263" t="inlineStr">
        <is>
          <t>A 49026-2021</t>
        </is>
      </c>
      <c r="B7263" s="1" t="n">
        <v>44453</v>
      </c>
      <c r="C7263" s="1" t="n">
        <v>45212</v>
      </c>
      <c r="D7263" t="inlineStr">
        <is>
          <t>VÄSTRA GÖTALANDS LÄN</t>
        </is>
      </c>
      <c r="E7263" t="inlineStr">
        <is>
          <t>GULLSPÅNG</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49134-2021</t>
        </is>
      </c>
      <c r="B7264" s="1" t="n">
        <v>44453</v>
      </c>
      <c r="C7264" s="1" t="n">
        <v>45212</v>
      </c>
      <c r="D7264" t="inlineStr">
        <is>
          <t>VÄSTRA GÖTALANDS LÄN</t>
        </is>
      </c>
      <c r="E7264" t="inlineStr">
        <is>
          <t>ORUST</t>
        </is>
      </c>
      <c r="F7264" t="inlineStr">
        <is>
          <t>Kommuner</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49988-2021</t>
        </is>
      </c>
      <c r="B7265" s="1" t="n">
        <v>44453</v>
      </c>
      <c r="C7265" s="1" t="n">
        <v>45212</v>
      </c>
      <c r="D7265" t="inlineStr">
        <is>
          <t>VÄSTRA GÖTALANDS LÄN</t>
        </is>
      </c>
      <c r="E7265" t="inlineStr">
        <is>
          <t>HERRLJUNGA</t>
        </is>
      </c>
      <c r="G7265" t="n">
        <v>12.3</v>
      </c>
      <c r="H7265" t="n">
        <v>0</v>
      </c>
      <c r="I7265" t="n">
        <v>0</v>
      </c>
      <c r="J7265" t="n">
        <v>0</v>
      </c>
      <c r="K7265" t="n">
        <v>0</v>
      </c>
      <c r="L7265" t="n">
        <v>0</v>
      </c>
      <c r="M7265" t="n">
        <v>0</v>
      </c>
      <c r="N7265" t="n">
        <v>0</v>
      </c>
      <c r="O7265" t="n">
        <v>0</v>
      </c>
      <c r="P7265" t="n">
        <v>0</v>
      </c>
      <c r="Q7265" t="n">
        <v>0</v>
      </c>
      <c r="R7265" s="2" t="inlineStr"/>
    </row>
    <row r="7266" ht="15" customHeight="1">
      <c r="A7266" t="inlineStr">
        <is>
          <t>A 48904-2021</t>
        </is>
      </c>
      <c r="B7266" s="1" t="n">
        <v>44453</v>
      </c>
      <c r="C7266" s="1" t="n">
        <v>45212</v>
      </c>
      <c r="D7266" t="inlineStr">
        <is>
          <t>VÄSTRA GÖTALANDS LÄN</t>
        </is>
      </c>
      <c r="E7266" t="inlineStr">
        <is>
          <t>TIBRO</t>
        </is>
      </c>
      <c r="G7266" t="n">
        <v>0.4</v>
      </c>
      <c r="H7266" t="n">
        <v>0</v>
      </c>
      <c r="I7266" t="n">
        <v>0</v>
      </c>
      <c r="J7266" t="n">
        <v>0</v>
      </c>
      <c r="K7266" t="n">
        <v>0</v>
      </c>
      <c r="L7266" t="n">
        <v>0</v>
      </c>
      <c r="M7266" t="n">
        <v>0</v>
      </c>
      <c r="N7266" t="n">
        <v>0</v>
      </c>
      <c r="O7266" t="n">
        <v>0</v>
      </c>
      <c r="P7266" t="n">
        <v>0</v>
      </c>
      <c r="Q7266" t="n">
        <v>0</v>
      </c>
      <c r="R7266" s="2" t="inlineStr"/>
    </row>
    <row r="7267" ht="15" customHeight="1">
      <c r="A7267" t="inlineStr">
        <is>
          <t>A 49196-2021</t>
        </is>
      </c>
      <c r="B7267" s="1" t="n">
        <v>44453</v>
      </c>
      <c r="C7267" s="1" t="n">
        <v>45212</v>
      </c>
      <c r="D7267" t="inlineStr">
        <is>
          <t>VÄSTRA GÖTALANDS LÄN</t>
        </is>
      </c>
      <c r="E7267" t="inlineStr">
        <is>
          <t>MARK</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49747-2021</t>
        </is>
      </c>
      <c r="B7268" s="1" t="n">
        <v>44453</v>
      </c>
      <c r="C7268" s="1" t="n">
        <v>45212</v>
      </c>
      <c r="D7268" t="inlineStr">
        <is>
          <t>VÄSTRA GÖTALANDS LÄN</t>
        </is>
      </c>
      <c r="E7268" t="inlineStr">
        <is>
          <t>BENGTSFORS</t>
        </is>
      </c>
      <c r="G7268" t="n">
        <v>5.1</v>
      </c>
      <c r="H7268" t="n">
        <v>0</v>
      </c>
      <c r="I7268" t="n">
        <v>0</v>
      </c>
      <c r="J7268" t="n">
        <v>0</v>
      </c>
      <c r="K7268" t="n">
        <v>0</v>
      </c>
      <c r="L7268" t="n">
        <v>0</v>
      </c>
      <c r="M7268" t="n">
        <v>0</v>
      </c>
      <c r="N7268" t="n">
        <v>0</v>
      </c>
      <c r="O7268" t="n">
        <v>0</v>
      </c>
      <c r="P7268" t="n">
        <v>0</v>
      </c>
      <c r="Q7268" t="n">
        <v>0</v>
      </c>
      <c r="R7268" s="2" t="inlineStr"/>
    </row>
    <row r="7269" ht="15" customHeight="1">
      <c r="A7269" t="inlineStr">
        <is>
          <t>A 49309-2021</t>
        </is>
      </c>
      <c r="B7269" s="1" t="n">
        <v>44454</v>
      </c>
      <c r="C7269" s="1" t="n">
        <v>45212</v>
      </c>
      <c r="D7269" t="inlineStr">
        <is>
          <t>VÄSTRA GÖTALANDS LÄN</t>
        </is>
      </c>
      <c r="E7269" t="inlineStr">
        <is>
          <t>TIDAHOLM</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49535-2021</t>
        </is>
      </c>
      <c r="B7270" s="1" t="n">
        <v>44454</v>
      </c>
      <c r="C7270" s="1" t="n">
        <v>45212</v>
      </c>
      <c r="D7270" t="inlineStr">
        <is>
          <t>VÄSTRA GÖTALANDS LÄN</t>
        </is>
      </c>
      <c r="E7270" t="inlineStr">
        <is>
          <t>TÖREBODA</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49946-2021</t>
        </is>
      </c>
      <c r="B7271" s="1" t="n">
        <v>44454</v>
      </c>
      <c r="C7271" s="1" t="n">
        <v>45212</v>
      </c>
      <c r="D7271" t="inlineStr">
        <is>
          <t>VÄSTRA GÖTALANDS LÄN</t>
        </is>
      </c>
      <c r="E7271" t="inlineStr">
        <is>
          <t>MUNKEDAL</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49378-2021</t>
        </is>
      </c>
      <c r="B7272" s="1" t="n">
        <v>44454</v>
      </c>
      <c r="C7272" s="1" t="n">
        <v>45212</v>
      </c>
      <c r="D7272" t="inlineStr">
        <is>
          <t>VÄSTRA GÖTALANDS LÄN</t>
        </is>
      </c>
      <c r="E7272" t="inlineStr">
        <is>
          <t>GULLSPÅNG</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49429-2021</t>
        </is>
      </c>
      <c r="B7273" s="1" t="n">
        <v>44454</v>
      </c>
      <c r="C7273" s="1" t="n">
        <v>45212</v>
      </c>
      <c r="D7273" t="inlineStr">
        <is>
          <t>VÄSTRA GÖTALANDS LÄN</t>
        </is>
      </c>
      <c r="E7273" t="inlineStr">
        <is>
          <t>FALKÖPING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49567-2021</t>
        </is>
      </c>
      <c r="B7274" s="1" t="n">
        <v>44454</v>
      </c>
      <c r="C7274" s="1" t="n">
        <v>45212</v>
      </c>
      <c r="D7274" t="inlineStr">
        <is>
          <t>VÄSTRA GÖTALANDS LÄN</t>
        </is>
      </c>
      <c r="E7274" t="inlineStr">
        <is>
          <t>TÖREBODA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49300-2021</t>
        </is>
      </c>
      <c r="B7275" s="1" t="n">
        <v>44454</v>
      </c>
      <c r="C7275" s="1" t="n">
        <v>45212</v>
      </c>
      <c r="D7275" t="inlineStr">
        <is>
          <t>VÄSTRA GÖTALANDS LÄN</t>
        </is>
      </c>
      <c r="E7275" t="inlineStr">
        <is>
          <t>TIDAHOLM</t>
        </is>
      </c>
      <c r="G7275" t="n">
        <v>2</v>
      </c>
      <c r="H7275" t="n">
        <v>0</v>
      </c>
      <c r="I7275" t="n">
        <v>0</v>
      </c>
      <c r="J7275" t="n">
        <v>0</v>
      </c>
      <c r="K7275" t="n">
        <v>0</v>
      </c>
      <c r="L7275" t="n">
        <v>0</v>
      </c>
      <c r="M7275" t="n">
        <v>0</v>
      </c>
      <c r="N7275" t="n">
        <v>0</v>
      </c>
      <c r="O7275" t="n">
        <v>0</v>
      </c>
      <c r="P7275" t="n">
        <v>0</v>
      </c>
      <c r="Q7275" t="n">
        <v>0</v>
      </c>
      <c r="R7275" s="2" t="inlineStr"/>
    </row>
    <row r="7276" ht="15" customHeight="1">
      <c r="A7276" t="inlineStr">
        <is>
          <t>A 49374-2021</t>
        </is>
      </c>
      <c r="B7276" s="1" t="n">
        <v>44454</v>
      </c>
      <c r="C7276" s="1" t="n">
        <v>45212</v>
      </c>
      <c r="D7276" t="inlineStr">
        <is>
          <t>VÄSTRA GÖTALANDS LÄN</t>
        </is>
      </c>
      <c r="E7276" t="inlineStr">
        <is>
          <t>SKARA</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49431-2021</t>
        </is>
      </c>
      <c r="B7277" s="1" t="n">
        <v>44454</v>
      </c>
      <c r="C7277" s="1" t="n">
        <v>45212</v>
      </c>
      <c r="D7277" t="inlineStr">
        <is>
          <t>VÄSTRA GÖTALANDS LÄN</t>
        </is>
      </c>
      <c r="E7277" t="inlineStr">
        <is>
          <t>SKARA</t>
        </is>
      </c>
      <c r="G7277" t="n">
        <v>7.1</v>
      </c>
      <c r="H7277" t="n">
        <v>0</v>
      </c>
      <c r="I7277" t="n">
        <v>0</v>
      </c>
      <c r="J7277" t="n">
        <v>0</v>
      </c>
      <c r="K7277" t="n">
        <v>0</v>
      </c>
      <c r="L7277" t="n">
        <v>0</v>
      </c>
      <c r="M7277" t="n">
        <v>0</v>
      </c>
      <c r="N7277" t="n">
        <v>0</v>
      </c>
      <c r="O7277" t="n">
        <v>0</v>
      </c>
      <c r="P7277" t="n">
        <v>0</v>
      </c>
      <c r="Q7277" t="n">
        <v>0</v>
      </c>
      <c r="R7277" s="2" t="inlineStr"/>
    </row>
    <row r="7278" ht="15" customHeight="1">
      <c r="A7278" t="inlineStr">
        <is>
          <t>A 50521-2021</t>
        </is>
      </c>
      <c r="B7278" s="1" t="n">
        <v>44455</v>
      </c>
      <c r="C7278" s="1" t="n">
        <v>45212</v>
      </c>
      <c r="D7278" t="inlineStr">
        <is>
          <t>VÄSTRA GÖTALANDS LÄN</t>
        </is>
      </c>
      <c r="E7278" t="inlineStr">
        <is>
          <t>ULRICEHAMN</t>
        </is>
      </c>
      <c r="G7278" t="n">
        <v>2.7</v>
      </c>
      <c r="H7278" t="n">
        <v>0</v>
      </c>
      <c r="I7278" t="n">
        <v>0</v>
      </c>
      <c r="J7278" t="n">
        <v>0</v>
      </c>
      <c r="K7278" t="n">
        <v>0</v>
      </c>
      <c r="L7278" t="n">
        <v>0</v>
      </c>
      <c r="M7278" t="n">
        <v>0</v>
      </c>
      <c r="N7278" t="n">
        <v>0</v>
      </c>
      <c r="O7278" t="n">
        <v>0</v>
      </c>
      <c r="P7278" t="n">
        <v>0</v>
      </c>
      <c r="Q7278" t="n">
        <v>0</v>
      </c>
      <c r="R7278" s="2" t="inlineStr"/>
    </row>
    <row r="7279" ht="15" customHeight="1">
      <c r="A7279" t="inlineStr">
        <is>
          <t>A 50561-2021</t>
        </is>
      </c>
      <c r="B7279" s="1" t="n">
        <v>44455</v>
      </c>
      <c r="C7279" s="1" t="n">
        <v>45212</v>
      </c>
      <c r="D7279" t="inlineStr">
        <is>
          <t>VÄSTRA GÖTALANDS LÄN</t>
        </is>
      </c>
      <c r="E7279" t="inlineStr">
        <is>
          <t>ULRICEHAMN</t>
        </is>
      </c>
      <c r="G7279" t="n">
        <v>1.4</v>
      </c>
      <c r="H7279" t="n">
        <v>0</v>
      </c>
      <c r="I7279" t="n">
        <v>0</v>
      </c>
      <c r="J7279" t="n">
        <v>0</v>
      </c>
      <c r="K7279" t="n">
        <v>0</v>
      </c>
      <c r="L7279" t="n">
        <v>0</v>
      </c>
      <c r="M7279" t="n">
        <v>0</v>
      </c>
      <c r="N7279" t="n">
        <v>0</v>
      </c>
      <c r="O7279" t="n">
        <v>0</v>
      </c>
      <c r="P7279" t="n">
        <v>0</v>
      </c>
      <c r="Q7279" t="n">
        <v>0</v>
      </c>
      <c r="R7279" s="2" t="inlineStr"/>
    </row>
    <row r="7280" ht="15" customHeight="1">
      <c r="A7280" t="inlineStr">
        <is>
          <t>A 49746-2021</t>
        </is>
      </c>
      <c r="B7280" s="1" t="n">
        <v>44455</v>
      </c>
      <c r="C7280" s="1" t="n">
        <v>45212</v>
      </c>
      <c r="D7280" t="inlineStr">
        <is>
          <t>VÄSTRA GÖTALANDS LÄN</t>
        </is>
      </c>
      <c r="E7280" t="inlineStr">
        <is>
          <t>TANUM</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49700-2021</t>
        </is>
      </c>
      <c r="B7281" s="1" t="n">
        <v>44455</v>
      </c>
      <c r="C7281" s="1" t="n">
        <v>45212</v>
      </c>
      <c r="D7281" t="inlineStr">
        <is>
          <t>VÄSTRA GÖTALANDS LÄN</t>
        </is>
      </c>
      <c r="E7281" t="inlineStr">
        <is>
          <t>GÖTENE</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58009-2021</t>
        </is>
      </c>
      <c r="B7282" s="1" t="n">
        <v>44456</v>
      </c>
      <c r="C7282" s="1" t="n">
        <v>45212</v>
      </c>
      <c r="D7282" t="inlineStr">
        <is>
          <t>VÄSTRA GÖTALANDS LÄN</t>
        </is>
      </c>
      <c r="E7282" t="inlineStr">
        <is>
          <t>TIDAHOLM</t>
        </is>
      </c>
      <c r="G7282" t="n">
        <v>0.5</v>
      </c>
      <c r="H7282" t="n">
        <v>0</v>
      </c>
      <c r="I7282" t="n">
        <v>0</v>
      </c>
      <c r="J7282" t="n">
        <v>0</v>
      </c>
      <c r="K7282" t="n">
        <v>0</v>
      </c>
      <c r="L7282" t="n">
        <v>0</v>
      </c>
      <c r="M7282" t="n">
        <v>0</v>
      </c>
      <c r="N7282" t="n">
        <v>0</v>
      </c>
      <c r="O7282" t="n">
        <v>0</v>
      </c>
      <c r="P7282" t="n">
        <v>0</v>
      </c>
      <c r="Q7282" t="n">
        <v>0</v>
      </c>
      <c r="R7282" s="2" t="inlineStr"/>
    </row>
    <row r="7283" ht="15" customHeight="1">
      <c r="A7283" t="inlineStr">
        <is>
          <t>A 50405-2021</t>
        </is>
      </c>
      <c r="B7283" s="1" t="n">
        <v>44456</v>
      </c>
      <c r="C7283" s="1" t="n">
        <v>45212</v>
      </c>
      <c r="D7283" t="inlineStr">
        <is>
          <t>VÄSTRA GÖTALANDS LÄN</t>
        </is>
      </c>
      <c r="E7283" t="inlineStr">
        <is>
          <t>MELLERUD</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50728-2021</t>
        </is>
      </c>
      <c r="B7284" s="1" t="n">
        <v>44456</v>
      </c>
      <c r="C7284" s="1" t="n">
        <v>45212</v>
      </c>
      <c r="D7284" t="inlineStr">
        <is>
          <t>VÄSTRA GÖTALANDS LÄN</t>
        </is>
      </c>
      <c r="E7284" t="inlineStr">
        <is>
          <t>TIDAHOLM</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52806-2021</t>
        </is>
      </c>
      <c r="B7285" s="1" t="n">
        <v>44456</v>
      </c>
      <c r="C7285" s="1" t="n">
        <v>45212</v>
      </c>
      <c r="D7285" t="inlineStr">
        <is>
          <t>VÄSTRA GÖTALANDS LÄN</t>
        </is>
      </c>
      <c r="E7285" t="inlineStr">
        <is>
          <t>TIDAHOLM</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49955-2021</t>
        </is>
      </c>
      <c r="B7286" s="1" t="n">
        <v>44456</v>
      </c>
      <c r="C7286" s="1" t="n">
        <v>45212</v>
      </c>
      <c r="D7286" t="inlineStr">
        <is>
          <t>VÄSTRA GÖTALANDS LÄN</t>
        </is>
      </c>
      <c r="E7286" t="inlineStr">
        <is>
          <t>ALE</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50412-2021</t>
        </is>
      </c>
      <c r="B7287" s="1" t="n">
        <v>44456</v>
      </c>
      <c r="C7287" s="1" t="n">
        <v>45212</v>
      </c>
      <c r="D7287" t="inlineStr">
        <is>
          <t>VÄSTRA GÖTALANDS LÄN</t>
        </is>
      </c>
      <c r="E7287" t="inlineStr">
        <is>
          <t>MELLERUD</t>
        </is>
      </c>
      <c r="G7287" t="n">
        <v>3.7</v>
      </c>
      <c r="H7287" t="n">
        <v>0</v>
      </c>
      <c r="I7287" t="n">
        <v>0</v>
      </c>
      <c r="J7287" t="n">
        <v>0</v>
      </c>
      <c r="K7287" t="n">
        <v>0</v>
      </c>
      <c r="L7287" t="n">
        <v>0</v>
      </c>
      <c r="M7287" t="n">
        <v>0</v>
      </c>
      <c r="N7287" t="n">
        <v>0</v>
      </c>
      <c r="O7287" t="n">
        <v>0</v>
      </c>
      <c r="P7287" t="n">
        <v>0</v>
      </c>
      <c r="Q7287" t="n">
        <v>0</v>
      </c>
      <c r="R7287" s="2" t="inlineStr"/>
    </row>
    <row r="7288" ht="15" customHeight="1">
      <c r="A7288" t="inlineStr">
        <is>
          <t>A 50738-2021</t>
        </is>
      </c>
      <c r="B7288" s="1" t="n">
        <v>44456</v>
      </c>
      <c r="C7288" s="1" t="n">
        <v>45212</v>
      </c>
      <c r="D7288" t="inlineStr">
        <is>
          <t>VÄSTRA GÖTALANDS LÄN</t>
        </is>
      </c>
      <c r="E7288" t="inlineStr">
        <is>
          <t>HJO</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50039-2021</t>
        </is>
      </c>
      <c r="B7289" s="1" t="n">
        <v>44456</v>
      </c>
      <c r="C7289" s="1" t="n">
        <v>45212</v>
      </c>
      <c r="D7289" t="inlineStr">
        <is>
          <t>VÄSTRA GÖTALANDS LÄN</t>
        </is>
      </c>
      <c r="E7289" t="inlineStr">
        <is>
          <t>ALINGSÅS</t>
        </is>
      </c>
      <c r="G7289" t="n">
        <v>4.3</v>
      </c>
      <c r="H7289" t="n">
        <v>0</v>
      </c>
      <c r="I7289" t="n">
        <v>0</v>
      </c>
      <c r="J7289" t="n">
        <v>0</v>
      </c>
      <c r="K7289" t="n">
        <v>0</v>
      </c>
      <c r="L7289" t="n">
        <v>0</v>
      </c>
      <c r="M7289" t="n">
        <v>0</v>
      </c>
      <c r="N7289" t="n">
        <v>0</v>
      </c>
      <c r="O7289" t="n">
        <v>0</v>
      </c>
      <c r="P7289" t="n">
        <v>0</v>
      </c>
      <c r="Q7289" t="n">
        <v>0</v>
      </c>
      <c r="R7289" s="2" t="inlineStr"/>
    </row>
    <row r="7290" ht="15" customHeight="1">
      <c r="A7290" t="inlineStr">
        <is>
          <t>A 50370-2021</t>
        </is>
      </c>
      <c r="B7290" s="1" t="n">
        <v>44456</v>
      </c>
      <c r="C7290" s="1" t="n">
        <v>45212</v>
      </c>
      <c r="D7290" t="inlineStr">
        <is>
          <t>VÄSTRA GÖTALANDS LÄN</t>
        </is>
      </c>
      <c r="E7290" t="inlineStr">
        <is>
          <t>MELLERUD</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50724-2021</t>
        </is>
      </c>
      <c r="B7291" s="1" t="n">
        <v>44456</v>
      </c>
      <c r="C7291" s="1" t="n">
        <v>45212</v>
      </c>
      <c r="D7291" t="inlineStr">
        <is>
          <t>VÄSTRA GÖTALANDS LÄN</t>
        </is>
      </c>
      <c r="E7291" t="inlineStr">
        <is>
          <t>TIDAHOLM</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50783-2021</t>
        </is>
      </c>
      <c r="B7292" s="1" t="n">
        <v>44456</v>
      </c>
      <c r="C7292" s="1" t="n">
        <v>45212</v>
      </c>
      <c r="D7292" t="inlineStr">
        <is>
          <t>VÄSTRA GÖTALANDS LÄN</t>
        </is>
      </c>
      <c r="E7292" t="inlineStr">
        <is>
          <t>HJO</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49971-2021</t>
        </is>
      </c>
      <c r="B7293" s="1" t="n">
        <v>44456</v>
      </c>
      <c r="C7293" s="1" t="n">
        <v>45212</v>
      </c>
      <c r="D7293" t="inlineStr">
        <is>
          <t>VÄSTRA GÖTALANDS LÄN</t>
        </is>
      </c>
      <c r="E7293" t="inlineStr">
        <is>
          <t>MARK</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50359-2021</t>
        </is>
      </c>
      <c r="B7294" s="1" t="n">
        <v>44456</v>
      </c>
      <c r="C7294" s="1" t="n">
        <v>45212</v>
      </c>
      <c r="D7294" t="inlineStr">
        <is>
          <t>VÄSTRA GÖTALANDS LÄN</t>
        </is>
      </c>
      <c r="E7294" t="inlineStr">
        <is>
          <t>MELLERUD</t>
        </is>
      </c>
      <c r="G7294" t="n">
        <v>4.1</v>
      </c>
      <c r="H7294" t="n">
        <v>0</v>
      </c>
      <c r="I7294" t="n">
        <v>0</v>
      </c>
      <c r="J7294" t="n">
        <v>0</v>
      </c>
      <c r="K7294" t="n">
        <v>0</v>
      </c>
      <c r="L7294" t="n">
        <v>0</v>
      </c>
      <c r="M7294" t="n">
        <v>0</v>
      </c>
      <c r="N7294" t="n">
        <v>0</v>
      </c>
      <c r="O7294" t="n">
        <v>0</v>
      </c>
      <c r="P7294" t="n">
        <v>0</v>
      </c>
      <c r="Q7294" t="n">
        <v>0</v>
      </c>
      <c r="R7294" s="2" t="inlineStr"/>
    </row>
    <row r="7295" ht="15" customHeight="1">
      <c r="A7295" t="inlineStr">
        <is>
          <t>A 50421-2021</t>
        </is>
      </c>
      <c r="B7295" s="1" t="n">
        <v>44456</v>
      </c>
      <c r="C7295" s="1" t="n">
        <v>45212</v>
      </c>
      <c r="D7295" t="inlineStr">
        <is>
          <t>VÄSTRA GÖTALANDS LÄN</t>
        </is>
      </c>
      <c r="E7295" t="inlineStr">
        <is>
          <t>VARA</t>
        </is>
      </c>
      <c r="G7295" t="n">
        <v>8.300000000000001</v>
      </c>
      <c r="H7295" t="n">
        <v>0</v>
      </c>
      <c r="I7295" t="n">
        <v>0</v>
      </c>
      <c r="J7295" t="n">
        <v>0</v>
      </c>
      <c r="K7295" t="n">
        <v>0</v>
      </c>
      <c r="L7295" t="n">
        <v>0</v>
      </c>
      <c r="M7295" t="n">
        <v>0</v>
      </c>
      <c r="N7295" t="n">
        <v>0</v>
      </c>
      <c r="O7295" t="n">
        <v>0</v>
      </c>
      <c r="P7295" t="n">
        <v>0</v>
      </c>
      <c r="Q7295" t="n">
        <v>0</v>
      </c>
      <c r="R7295" s="2" t="inlineStr"/>
    </row>
    <row r="7296" ht="15" customHeight="1">
      <c r="A7296" t="inlineStr">
        <is>
          <t>A 50768-2021</t>
        </is>
      </c>
      <c r="B7296" s="1" t="n">
        <v>44456</v>
      </c>
      <c r="C7296" s="1" t="n">
        <v>45212</v>
      </c>
      <c r="D7296" t="inlineStr">
        <is>
          <t>VÄSTRA GÖTALANDS LÄN</t>
        </is>
      </c>
      <c r="E7296" t="inlineStr">
        <is>
          <t>TIDAHOLM</t>
        </is>
      </c>
      <c r="G7296" t="n">
        <v>9.199999999999999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50202-2021</t>
        </is>
      </c>
      <c r="B7297" s="1" t="n">
        <v>44457</v>
      </c>
      <c r="C7297" s="1" t="n">
        <v>45212</v>
      </c>
      <c r="D7297" t="inlineStr">
        <is>
          <t>VÄSTRA GÖTALANDS LÄN</t>
        </is>
      </c>
      <c r="E7297" t="inlineStr">
        <is>
          <t>STRÖMSTAD</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50249-2021</t>
        </is>
      </c>
      <c r="B7298" s="1" t="n">
        <v>44458</v>
      </c>
      <c r="C7298" s="1" t="n">
        <v>45212</v>
      </c>
      <c r="D7298" t="inlineStr">
        <is>
          <t>VÄSTRA GÖTALANDS LÄN</t>
        </is>
      </c>
      <c r="E7298" t="inlineStr">
        <is>
          <t>TÖREBODA</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50413-2021</t>
        </is>
      </c>
      <c r="B7299" s="1" t="n">
        <v>44459</v>
      </c>
      <c r="C7299" s="1" t="n">
        <v>45212</v>
      </c>
      <c r="D7299" t="inlineStr">
        <is>
          <t>VÄSTRA GÖTALANDS LÄN</t>
        </is>
      </c>
      <c r="E7299" t="inlineStr">
        <is>
          <t>KUNGÄLV</t>
        </is>
      </c>
      <c r="G7299" t="n">
        <v>3.9</v>
      </c>
      <c r="H7299" t="n">
        <v>0</v>
      </c>
      <c r="I7299" t="n">
        <v>0</v>
      </c>
      <c r="J7299" t="n">
        <v>0</v>
      </c>
      <c r="K7299" t="n">
        <v>0</v>
      </c>
      <c r="L7299" t="n">
        <v>0</v>
      </c>
      <c r="M7299" t="n">
        <v>0</v>
      </c>
      <c r="N7299" t="n">
        <v>0</v>
      </c>
      <c r="O7299" t="n">
        <v>0</v>
      </c>
      <c r="P7299" t="n">
        <v>0</v>
      </c>
      <c r="Q7299" t="n">
        <v>0</v>
      </c>
      <c r="R7299" s="2" t="inlineStr"/>
    </row>
    <row r="7300" ht="15" customHeight="1">
      <c r="A7300" t="inlineStr">
        <is>
          <t>A 50650-2021</t>
        </is>
      </c>
      <c r="B7300" s="1" t="n">
        <v>44459</v>
      </c>
      <c r="C7300" s="1" t="n">
        <v>45212</v>
      </c>
      <c r="D7300" t="inlineStr">
        <is>
          <t>VÄSTRA GÖTALANDS LÄN</t>
        </is>
      </c>
      <c r="E7300" t="inlineStr">
        <is>
          <t>MUNKEDAL</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50410-2021</t>
        </is>
      </c>
      <c r="B7301" s="1" t="n">
        <v>44459</v>
      </c>
      <c r="C7301" s="1" t="n">
        <v>45212</v>
      </c>
      <c r="D7301" t="inlineStr">
        <is>
          <t>VÄSTRA GÖTALANDS LÄN</t>
        </is>
      </c>
      <c r="E7301" t="inlineStr">
        <is>
          <t>KUNGÄLV</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50462-2021</t>
        </is>
      </c>
      <c r="B7302" s="1" t="n">
        <v>44459</v>
      </c>
      <c r="C7302" s="1" t="n">
        <v>45212</v>
      </c>
      <c r="D7302" t="inlineStr">
        <is>
          <t>VÄSTRA GÖTALANDS LÄN</t>
        </is>
      </c>
      <c r="E7302" t="inlineStr">
        <is>
          <t>DALS-ED</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50932-2021</t>
        </is>
      </c>
      <c r="B7303" s="1" t="n">
        <v>44459</v>
      </c>
      <c r="C7303" s="1" t="n">
        <v>45212</v>
      </c>
      <c r="D7303" t="inlineStr">
        <is>
          <t>VÄSTRA GÖTALANDS LÄN</t>
        </is>
      </c>
      <c r="E7303" t="inlineStr">
        <is>
          <t>HERRLJUNGA</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50309-2021</t>
        </is>
      </c>
      <c r="B7304" s="1" t="n">
        <v>44459</v>
      </c>
      <c r="C7304" s="1" t="n">
        <v>45212</v>
      </c>
      <c r="D7304" t="inlineStr">
        <is>
          <t>VÄSTRA GÖTALANDS LÄN</t>
        </is>
      </c>
      <c r="E7304" t="inlineStr">
        <is>
          <t>STENUNGSUND</t>
        </is>
      </c>
      <c r="G7304" t="n">
        <v>0.2</v>
      </c>
      <c r="H7304" t="n">
        <v>0</v>
      </c>
      <c r="I7304" t="n">
        <v>0</v>
      </c>
      <c r="J7304" t="n">
        <v>0</v>
      </c>
      <c r="K7304" t="n">
        <v>0</v>
      </c>
      <c r="L7304" t="n">
        <v>0</v>
      </c>
      <c r="M7304" t="n">
        <v>0</v>
      </c>
      <c r="N7304" t="n">
        <v>0</v>
      </c>
      <c r="O7304" t="n">
        <v>0</v>
      </c>
      <c r="P7304" t="n">
        <v>0</v>
      </c>
      <c r="Q7304" t="n">
        <v>0</v>
      </c>
      <c r="R7304" s="2" t="inlineStr"/>
    </row>
    <row r="7305" ht="15" customHeight="1">
      <c r="A7305" t="inlineStr">
        <is>
          <t>A 50401-2021</t>
        </is>
      </c>
      <c r="B7305" s="1" t="n">
        <v>44459</v>
      </c>
      <c r="C7305" s="1" t="n">
        <v>45212</v>
      </c>
      <c r="D7305" t="inlineStr">
        <is>
          <t>VÄSTRA GÖTALANDS LÄN</t>
        </is>
      </c>
      <c r="E7305" t="inlineStr">
        <is>
          <t>STRÖMSTAD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50465-2021</t>
        </is>
      </c>
      <c r="B7306" s="1" t="n">
        <v>44459</v>
      </c>
      <c r="C7306" s="1" t="n">
        <v>45212</v>
      </c>
      <c r="D7306" t="inlineStr">
        <is>
          <t>VÄSTRA GÖTALANDS LÄN</t>
        </is>
      </c>
      <c r="E7306" t="inlineStr">
        <is>
          <t>DALS-ED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50492-2021</t>
        </is>
      </c>
      <c r="B7307" s="1" t="n">
        <v>44459</v>
      </c>
      <c r="C7307" s="1" t="n">
        <v>45212</v>
      </c>
      <c r="D7307" t="inlineStr">
        <is>
          <t>VÄSTRA GÖTALANDS LÄN</t>
        </is>
      </c>
      <c r="E7307" t="inlineStr">
        <is>
          <t>HERRLJUNGA</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50551-2021</t>
        </is>
      </c>
      <c r="B7308" s="1" t="n">
        <v>44459</v>
      </c>
      <c r="C7308" s="1" t="n">
        <v>45212</v>
      </c>
      <c r="D7308" t="inlineStr">
        <is>
          <t>VÄSTRA GÖTALANDS LÄN</t>
        </is>
      </c>
      <c r="E7308" t="inlineStr">
        <is>
          <t>TANUM</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50647-2021</t>
        </is>
      </c>
      <c r="B7309" s="1" t="n">
        <v>44459</v>
      </c>
      <c r="C7309" s="1" t="n">
        <v>45212</v>
      </c>
      <c r="D7309" t="inlineStr">
        <is>
          <t>VÄSTRA GÖTALANDS LÄN</t>
        </is>
      </c>
      <c r="E7309" t="inlineStr">
        <is>
          <t>BOLLEBYGD</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50694-2021</t>
        </is>
      </c>
      <c r="B7310" s="1" t="n">
        <v>44460</v>
      </c>
      <c r="C7310" s="1" t="n">
        <v>45212</v>
      </c>
      <c r="D7310" t="inlineStr">
        <is>
          <t>VÄSTRA GÖTALANDS LÄN</t>
        </is>
      </c>
      <c r="E7310" t="inlineStr">
        <is>
          <t>MELLERUD</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50741-2021</t>
        </is>
      </c>
      <c r="B7311" s="1" t="n">
        <v>44460</v>
      </c>
      <c r="C7311" s="1" t="n">
        <v>45212</v>
      </c>
      <c r="D7311" t="inlineStr">
        <is>
          <t>VÄSTRA GÖTALANDS LÄN</t>
        </is>
      </c>
      <c r="E7311" t="inlineStr">
        <is>
          <t>SKARA</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50891-2021</t>
        </is>
      </c>
      <c r="B7312" s="1" t="n">
        <v>44460</v>
      </c>
      <c r="C7312" s="1" t="n">
        <v>45212</v>
      </c>
      <c r="D7312" t="inlineStr">
        <is>
          <t>VÄSTRA GÖTALANDS LÄN</t>
        </is>
      </c>
      <c r="E7312" t="inlineStr">
        <is>
          <t>TANUM</t>
        </is>
      </c>
      <c r="G7312" t="n">
        <v>3.5</v>
      </c>
      <c r="H7312" t="n">
        <v>0</v>
      </c>
      <c r="I7312" t="n">
        <v>0</v>
      </c>
      <c r="J7312" t="n">
        <v>0</v>
      </c>
      <c r="K7312" t="n">
        <v>0</v>
      </c>
      <c r="L7312" t="n">
        <v>0</v>
      </c>
      <c r="M7312" t="n">
        <v>0</v>
      </c>
      <c r="N7312" t="n">
        <v>0</v>
      </c>
      <c r="O7312" t="n">
        <v>0</v>
      </c>
      <c r="P7312" t="n">
        <v>0</v>
      </c>
      <c r="Q7312" t="n">
        <v>0</v>
      </c>
      <c r="R7312" s="2" t="inlineStr"/>
    </row>
    <row r="7313" ht="15" customHeight="1">
      <c r="A7313" t="inlineStr">
        <is>
          <t>A 50702-2021</t>
        </is>
      </c>
      <c r="B7313" s="1" t="n">
        <v>44460</v>
      </c>
      <c r="C7313" s="1" t="n">
        <v>45212</v>
      </c>
      <c r="D7313" t="inlineStr">
        <is>
          <t>VÄSTRA GÖTALANDS LÄN</t>
        </is>
      </c>
      <c r="E7313" t="inlineStr">
        <is>
          <t>VARA</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50665-2021</t>
        </is>
      </c>
      <c r="B7314" s="1" t="n">
        <v>44460</v>
      </c>
      <c r="C7314" s="1" t="n">
        <v>45212</v>
      </c>
      <c r="D7314" t="inlineStr">
        <is>
          <t>VÄSTRA GÖTALANDS LÄN</t>
        </is>
      </c>
      <c r="E7314" t="inlineStr">
        <is>
          <t>DALS-ED</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50704-2021</t>
        </is>
      </c>
      <c r="B7315" s="1" t="n">
        <v>44460</v>
      </c>
      <c r="C7315" s="1" t="n">
        <v>45212</v>
      </c>
      <c r="D7315" t="inlineStr">
        <is>
          <t>VÄSTRA GÖTALANDS LÄN</t>
        </is>
      </c>
      <c r="E7315" t="inlineStr">
        <is>
          <t>VARA</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50837-2021</t>
        </is>
      </c>
      <c r="B7316" s="1" t="n">
        <v>44460</v>
      </c>
      <c r="C7316" s="1" t="n">
        <v>45212</v>
      </c>
      <c r="D7316" t="inlineStr">
        <is>
          <t>VÄSTRA GÖTALANDS LÄN</t>
        </is>
      </c>
      <c r="E7316" t="inlineStr">
        <is>
          <t>BENGTSFORS</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51196-2021</t>
        </is>
      </c>
      <c r="B7317" s="1" t="n">
        <v>44460</v>
      </c>
      <c r="C7317" s="1" t="n">
        <v>45212</v>
      </c>
      <c r="D7317" t="inlineStr">
        <is>
          <t>VÄSTRA GÖTALANDS LÄN</t>
        </is>
      </c>
      <c r="E7317" t="inlineStr">
        <is>
          <t>GULLSPÅNG</t>
        </is>
      </c>
      <c r="G7317" t="n">
        <v>7.5</v>
      </c>
      <c r="H7317" t="n">
        <v>0</v>
      </c>
      <c r="I7317" t="n">
        <v>0</v>
      </c>
      <c r="J7317" t="n">
        <v>0</v>
      </c>
      <c r="K7317" t="n">
        <v>0</v>
      </c>
      <c r="L7317" t="n">
        <v>0</v>
      </c>
      <c r="M7317" t="n">
        <v>0</v>
      </c>
      <c r="N7317" t="n">
        <v>0</v>
      </c>
      <c r="O7317" t="n">
        <v>0</v>
      </c>
      <c r="P7317" t="n">
        <v>0</v>
      </c>
      <c r="Q7317" t="n">
        <v>0</v>
      </c>
      <c r="R7317" s="2" t="inlineStr"/>
    </row>
    <row r="7318" ht="15" customHeight="1">
      <c r="A7318" t="inlineStr">
        <is>
          <t>A 51156-2021</t>
        </is>
      </c>
      <c r="B7318" s="1" t="n">
        <v>44461</v>
      </c>
      <c r="C7318" s="1" t="n">
        <v>45212</v>
      </c>
      <c r="D7318" t="inlineStr">
        <is>
          <t>VÄSTRA GÖTALANDS LÄN</t>
        </is>
      </c>
      <c r="E7318" t="inlineStr">
        <is>
          <t>MARIESTAD</t>
        </is>
      </c>
      <c r="G7318" t="n">
        <v>3</v>
      </c>
      <c r="H7318" t="n">
        <v>0</v>
      </c>
      <c r="I7318" t="n">
        <v>0</v>
      </c>
      <c r="J7318" t="n">
        <v>0</v>
      </c>
      <c r="K7318" t="n">
        <v>0</v>
      </c>
      <c r="L7318" t="n">
        <v>0</v>
      </c>
      <c r="M7318" t="n">
        <v>0</v>
      </c>
      <c r="N7318" t="n">
        <v>0</v>
      </c>
      <c r="O7318" t="n">
        <v>0</v>
      </c>
      <c r="P7318" t="n">
        <v>0</v>
      </c>
      <c r="Q7318" t="n">
        <v>0</v>
      </c>
      <c r="R7318" s="2" t="inlineStr"/>
    </row>
    <row r="7319" ht="15" customHeight="1">
      <c r="A7319" t="inlineStr">
        <is>
          <t>A 51167-2021</t>
        </is>
      </c>
      <c r="B7319" s="1" t="n">
        <v>44461</v>
      </c>
      <c r="C7319" s="1" t="n">
        <v>45212</v>
      </c>
      <c r="D7319" t="inlineStr">
        <is>
          <t>VÄSTRA GÖTALANDS LÄN</t>
        </is>
      </c>
      <c r="E7319" t="inlineStr">
        <is>
          <t>ALINGSÅS</t>
        </is>
      </c>
      <c r="G7319" t="n">
        <v>0.6</v>
      </c>
      <c r="H7319" t="n">
        <v>0</v>
      </c>
      <c r="I7319" t="n">
        <v>0</v>
      </c>
      <c r="J7319" t="n">
        <v>0</v>
      </c>
      <c r="K7319" t="n">
        <v>0</v>
      </c>
      <c r="L7319" t="n">
        <v>0</v>
      </c>
      <c r="M7319" t="n">
        <v>0</v>
      </c>
      <c r="N7319" t="n">
        <v>0</v>
      </c>
      <c r="O7319" t="n">
        <v>0</v>
      </c>
      <c r="P7319" t="n">
        <v>0</v>
      </c>
      <c r="Q7319" t="n">
        <v>0</v>
      </c>
      <c r="R7319" s="2" t="inlineStr"/>
    </row>
    <row r="7320" ht="15" customHeight="1">
      <c r="A7320" t="inlineStr">
        <is>
          <t>A 51169-2021</t>
        </is>
      </c>
      <c r="B7320" s="1" t="n">
        <v>44461</v>
      </c>
      <c r="C7320" s="1" t="n">
        <v>45212</v>
      </c>
      <c r="D7320" t="inlineStr">
        <is>
          <t>VÄSTRA GÖTALANDS LÄN</t>
        </is>
      </c>
      <c r="E7320" t="inlineStr">
        <is>
          <t>ALINGSÅS</t>
        </is>
      </c>
      <c r="G7320" t="n">
        <v>1.6</v>
      </c>
      <c r="H7320" t="n">
        <v>0</v>
      </c>
      <c r="I7320" t="n">
        <v>0</v>
      </c>
      <c r="J7320" t="n">
        <v>0</v>
      </c>
      <c r="K7320" t="n">
        <v>0</v>
      </c>
      <c r="L7320" t="n">
        <v>0</v>
      </c>
      <c r="M7320" t="n">
        <v>0</v>
      </c>
      <c r="N7320" t="n">
        <v>0</v>
      </c>
      <c r="O7320" t="n">
        <v>0</v>
      </c>
      <c r="P7320" t="n">
        <v>0</v>
      </c>
      <c r="Q7320" t="n">
        <v>0</v>
      </c>
      <c r="R7320" s="2" t="inlineStr"/>
    </row>
    <row r="7321" ht="15" customHeight="1">
      <c r="A7321" t="inlineStr">
        <is>
          <t>A 51154-2021</t>
        </is>
      </c>
      <c r="B7321" s="1" t="n">
        <v>44461</v>
      </c>
      <c r="C7321" s="1" t="n">
        <v>45212</v>
      </c>
      <c r="D7321" t="inlineStr">
        <is>
          <t>VÄSTRA GÖTALANDS LÄN</t>
        </is>
      </c>
      <c r="E7321" t="inlineStr">
        <is>
          <t>MARIESTAD</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51255-2021</t>
        </is>
      </c>
      <c r="B7322" s="1" t="n">
        <v>44461</v>
      </c>
      <c r="C7322" s="1" t="n">
        <v>45212</v>
      </c>
      <c r="D7322" t="inlineStr">
        <is>
          <t>VÄSTRA GÖTALANDS LÄN</t>
        </is>
      </c>
      <c r="E7322" t="inlineStr">
        <is>
          <t>TRANEMO</t>
        </is>
      </c>
      <c r="G7322" t="n">
        <v>1.9</v>
      </c>
      <c r="H7322" t="n">
        <v>0</v>
      </c>
      <c r="I7322" t="n">
        <v>0</v>
      </c>
      <c r="J7322" t="n">
        <v>0</v>
      </c>
      <c r="K7322" t="n">
        <v>0</v>
      </c>
      <c r="L7322" t="n">
        <v>0</v>
      </c>
      <c r="M7322" t="n">
        <v>0</v>
      </c>
      <c r="N7322" t="n">
        <v>0</v>
      </c>
      <c r="O7322" t="n">
        <v>0</v>
      </c>
      <c r="P7322" t="n">
        <v>0</v>
      </c>
      <c r="Q7322" t="n">
        <v>0</v>
      </c>
      <c r="R7322" s="2" t="inlineStr"/>
    </row>
    <row r="7323" ht="15" customHeight="1">
      <c r="A7323" t="inlineStr">
        <is>
          <t>A 51265-2021</t>
        </is>
      </c>
      <c r="B7323" s="1" t="n">
        <v>44461</v>
      </c>
      <c r="C7323" s="1" t="n">
        <v>45212</v>
      </c>
      <c r="D7323" t="inlineStr">
        <is>
          <t>VÄSTRA GÖTALANDS LÄN</t>
        </is>
      </c>
      <c r="E7323" t="inlineStr">
        <is>
          <t>MARIESTAD</t>
        </is>
      </c>
      <c r="G7323" t="n">
        <v>30.9</v>
      </c>
      <c r="H7323" t="n">
        <v>0</v>
      </c>
      <c r="I7323" t="n">
        <v>0</v>
      </c>
      <c r="J7323" t="n">
        <v>0</v>
      </c>
      <c r="K7323" t="n">
        <v>0</v>
      </c>
      <c r="L7323" t="n">
        <v>0</v>
      </c>
      <c r="M7323" t="n">
        <v>0</v>
      </c>
      <c r="N7323" t="n">
        <v>0</v>
      </c>
      <c r="O7323" t="n">
        <v>0</v>
      </c>
      <c r="P7323" t="n">
        <v>0</v>
      </c>
      <c r="Q7323" t="n">
        <v>0</v>
      </c>
      <c r="R7323" s="2" t="inlineStr"/>
    </row>
    <row r="7324" ht="15" customHeight="1">
      <c r="A7324" t="inlineStr">
        <is>
          <t>A 51421-2021</t>
        </is>
      </c>
      <c r="B7324" s="1" t="n">
        <v>44461</v>
      </c>
      <c r="C7324" s="1" t="n">
        <v>45212</v>
      </c>
      <c r="D7324" t="inlineStr">
        <is>
          <t>VÄSTRA GÖTALANDS LÄN</t>
        </is>
      </c>
      <c r="E7324" t="inlineStr">
        <is>
          <t>VARA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51547-2021</t>
        </is>
      </c>
      <c r="B7325" s="1" t="n">
        <v>44461</v>
      </c>
      <c r="C7325" s="1" t="n">
        <v>45212</v>
      </c>
      <c r="D7325" t="inlineStr">
        <is>
          <t>VÄSTRA GÖTALANDS LÄN</t>
        </is>
      </c>
      <c r="E7325" t="inlineStr">
        <is>
          <t>MELLERUD</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51116-2021</t>
        </is>
      </c>
      <c r="B7326" s="1" t="n">
        <v>44461</v>
      </c>
      <c r="C7326" s="1" t="n">
        <v>45212</v>
      </c>
      <c r="D7326" t="inlineStr">
        <is>
          <t>VÄSTRA GÖTALANDS LÄN</t>
        </is>
      </c>
      <c r="E7326" t="inlineStr">
        <is>
          <t>STENUNGSUND</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51153-2021</t>
        </is>
      </c>
      <c r="B7327" s="1" t="n">
        <v>44461</v>
      </c>
      <c r="C7327" s="1" t="n">
        <v>45212</v>
      </c>
      <c r="D7327" t="inlineStr">
        <is>
          <t>VÄSTRA GÖTALANDS LÄN</t>
        </is>
      </c>
      <c r="E7327" t="inlineStr">
        <is>
          <t>MARIESTAD</t>
        </is>
      </c>
      <c r="G7327" t="n">
        <v>3</v>
      </c>
      <c r="H7327" t="n">
        <v>0</v>
      </c>
      <c r="I7327" t="n">
        <v>0</v>
      </c>
      <c r="J7327" t="n">
        <v>0</v>
      </c>
      <c r="K7327" t="n">
        <v>0</v>
      </c>
      <c r="L7327" t="n">
        <v>0</v>
      </c>
      <c r="M7327" t="n">
        <v>0</v>
      </c>
      <c r="N7327" t="n">
        <v>0</v>
      </c>
      <c r="O7327" t="n">
        <v>0</v>
      </c>
      <c r="P7327" t="n">
        <v>0</v>
      </c>
      <c r="Q7327" t="n">
        <v>0</v>
      </c>
      <c r="R7327" s="2" t="inlineStr"/>
    </row>
    <row r="7328" ht="15" customHeight="1">
      <c r="A7328" t="inlineStr">
        <is>
          <t>A 51172-2021</t>
        </is>
      </c>
      <c r="B7328" s="1" t="n">
        <v>44461</v>
      </c>
      <c r="C7328" s="1" t="n">
        <v>45212</v>
      </c>
      <c r="D7328" t="inlineStr">
        <is>
          <t>VÄSTRA GÖTALANDS LÄN</t>
        </is>
      </c>
      <c r="E7328" t="inlineStr">
        <is>
          <t>TROLLHÄTTAN</t>
        </is>
      </c>
      <c r="G7328" t="n">
        <v>7.7</v>
      </c>
      <c r="H7328" t="n">
        <v>0</v>
      </c>
      <c r="I7328" t="n">
        <v>0</v>
      </c>
      <c r="J7328" t="n">
        <v>0</v>
      </c>
      <c r="K7328" t="n">
        <v>0</v>
      </c>
      <c r="L7328" t="n">
        <v>0</v>
      </c>
      <c r="M7328" t="n">
        <v>0</v>
      </c>
      <c r="N7328" t="n">
        <v>0</v>
      </c>
      <c r="O7328" t="n">
        <v>0</v>
      </c>
      <c r="P7328" t="n">
        <v>0</v>
      </c>
      <c r="Q7328" t="n">
        <v>0</v>
      </c>
      <c r="R7328" s="2" t="inlineStr"/>
    </row>
    <row r="7329" ht="15" customHeight="1">
      <c r="A7329" t="inlineStr">
        <is>
          <t>A 51554-2021</t>
        </is>
      </c>
      <c r="B7329" s="1" t="n">
        <v>44462</v>
      </c>
      <c r="C7329" s="1" t="n">
        <v>45212</v>
      </c>
      <c r="D7329" t="inlineStr">
        <is>
          <t>VÄSTRA GÖTALANDS LÄN</t>
        </is>
      </c>
      <c r="E7329" t="inlineStr">
        <is>
          <t>SOTENÄS</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51569-2021</t>
        </is>
      </c>
      <c r="B7330" s="1" t="n">
        <v>44462</v>
      </c>
      <c r="C7330" s="1" t="n">
        <v>45212</v>
      </c>
      <c r="D7330" t="inlineStr">
        <is>
          <t>VÄSTRA GÖTALANDS LÄN</t>
        </is>
      </c>
      <c r="E7330" t="inlineStr">
        <is>
          <t>LILLA EDET</t>
        </is>
      </c>
      <c r="G7330" t="n">
        <v>4.1</v>
      </c>
      <c r="H7330" t="n">
        <v>0</v>
      </c>
      <c r="I7330" t="n">
        <v>0</v>
      </c>
      <c r="J7330" t="n">
        <v>0</v>
      </c>
      <c r="K7330" t="n">
        <v>0</v>
      </c>
      <c r="L7330" t="n">
        <v>0</v>
      </c>
      <c r="M7330" t="n">
        <v>0</v>
      </c>
      <c r="N7330" t="n">
        <v>0</v>
      </c>
      <c r="O7330" t="n">
        <v>0</v>
      </c>
      <c r="P7330" t="n">
        <v>0</v>
      </c>
      <c r="Q7330" t="n">
        <v>0</v>
      </c>
      <c r="R7330" s="2" t="inlineStr"/>
    </row>
    <row r="7331" ht="15" customHeight="1">
      <c r="A7331" t="inlineStr">
        <is>
          <t>A 51678-2021</t>
        </is>
      </c>
      <c r="B7331" s="1" t="n">
        <v>44462</v>
      </c>
      <c r="C7331" s="1" t="n">
        <v>45212</v>
      </c>
      <c r="D7331" t="inlineStr">
        <is>
          <t>VÄSTRA GÖTALANDS LÄN</t>
        </is>
      </c>
      <c r="E7331" t="inlineStr">
        <is>
          <t>TIDAHOLM</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51701-2021</t>
        </is>
      </c>
      <c r="B7332" s="1" t="n">
        <v>44462</v>
      </c>
      <c r="C7332" s="1" t="n">
        <v>45212</v>
      </c>
      <c r="D7332" t="inlineStr">
        <is>
          <t>VÄSTRA GÖTALANDS LÄN</t>
        </is>
      </c>
      <c r="E7332" t="inlineStr">
        <is>
          <t>DALS-ED</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51763-2021</t>
        </is>
      </c>
      <c r="B7333" s="1" t="n">
        <v>44462</v>
      </c>
      <c r="C7333" s="1" t="n">
        <v>45212</v>
      </c>
      <c r="D7333" t="inlineStr">
        <is>
          <t>VÄSTRA GÖTALANDS LÄN</t>
        </is>
      </c>
      <c r="E7333" t="inlineStr">
        <is>
          <t>TRANEMO</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51995-2021</t>
        </is>
      </c>
      <c r="B7334" s="1" t="n">
        <v>44462</v>
      </c>
      <c r="C7334" s="1" t="n">
        <v>45212</v>
      </c>
      <c r="D7334" t="inlineStr">
        <is>
          <t>VÄSTRA GÖTALANDS LÄN</t>
        </is>
      </c>
      <c r="E7334" t="inlineStr">
        <is>
          <t>TANUM</t>
        </is>
      </c>
      <c r="G7334" t="n">
        <v>2.5</v>
      </c>
      <c r="H7334" t="n">
        <v>0</v>
      </c>
      <c r="I7334" t="n">
        <v>0</v>
      </c>
      <c r="J7334" t="n">
        <v>0</v>
      </c>
      <c r="K7334" t="n">
        <v>0</v>
      </c>
      <c r="L7334" t="n">
        <v>0</v>
      </c>
      <c r="M7334" t="n">
        <v>0</v>
      </c>
      <c r="N7334" t="n">
        <v>0</v>
      </c>
      <c r="O7334" t="n">
        <v>0</v>
      </c>
      <c r="P7334" t="n">
        <v>0</v>
      </c>
      <c r="Q7334" t="n">
        <v>0</v>
      </c>
      <c r="R7334" s="2" t="inlineStr"/>
    </row>
    <row r="7335" ht="15" customHeight="1">
      <c r="A7335" t="inlineStr">
        <is>
          <t>A 51564-2021</t>
        </is>
      </c>
      <c r="B7335" s="1" t="n">
        <v>44462</v>
      </c>
      <c r="C7335" s="1" t="n">
        <v>45212</v>
      </c>
      <c r="D7335" t="inlineStr">
        <is>
          <t>VÄSTRA GÖTALANDS LÄN</t>
        </is>
      </c>
      <c r="E7335" t="inlineStr">
        <is>
          <t>DALS-ED</t>
        </is>
      </c>
      <c r="G7335" t="n">
        <v>2.2</v>
      </c>
      <c r="H7335" t="n">
        <v>0</v>
      </c>
      <c r="I7335" t="n">
        <v>0</v>
      </c>
      <c r="J7335" t="n">
        <v>0</v>
      </c>
      <c r="K7335" t="n">
        <v>0</v>
      </c>
      <c r="L7335" t="n">
        <v>0</v>
      </c>
      <c r="M7335" t="n">
        <v>0</v>
      </c>
      <c r="N7335" t="n">
        <v>0</v>
      </c>
      <c r="O7335" t="n">
        <v>0</v>
      </c>
      <c r="P7335" t="n">
        <v>0</v>
      </c>
      <c r="Q7335" t="n">
        <v>0</v>
      </c>
      <c r="R7335" s="2" t="inlineStr"/>
    </row>
    <row r="7336" ht="15" customHeight="1">
      <c r="A7336" t="inlineStr">
        <is>
          <t>A 51573-2021</t>
        </is>
      </c>
      <c r="B7336" s="1" t="n">
        <v>44462</v>
      </c>
      <c r="C7336" s="1" t="n">
        <v>45212</v>
      </c>
      <c r="D7336" t="inlineStr">
        <is>
          <t>VÄSTRA GÖTALANDS LÄN</t>
        </is>
      </c>
      <c r="E7336" t="inlineStr">
        <is>
          <t>ULRICEHAMN</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52005-2021</t>
        </is>
      </c>
      <c r="B7337" s="1" t="n">
        <v>44462</v>
      </c>
      <c r="C7337" s="1" t="n">
        <v>45212</v>
      </c>
      <c r="D7337" t="inlineStr">
        <is>
          <t>VÄSTRA GÖTALANDS LÄN</t>
        </is>
      </c>
      <c r="E7337" t="inlineStr">
        <is>
          <t>STRÖMSTAD</t>
        </is>
      </c>
      <c r="G7337" t="n">
        <v>2.4</v>
      </c>
      <c r="H7337" t="n">
        <v>0</v>
      </c>
      <c r="I7337" t="n">
        <v>0</v>
      </c>
      <c r="J7337" t="n">
        <v>0</v>
      </c>
      <c r="K7337" t="n">
        <v>0</v>
      </c>
      <c r="L7337" t="n">
        <v>0</v>
      </c>
      <c r="M7337" t="n">
        <v>0</v>
      </c>
      <c r="N7337" t="n">
        <v>0</v>
      </c>
      <c r="O7337" t="n">
        <v>0</v>
      </c>
      <c r="P7337" t="n">
        <v>0</v>
      </c>
      <c r="Q7337" t="n">
        <v>0</v>
      </c>
      <c r="R7337" s="2" t="inlineStr"/>
    </row>
    <row r="7338" ht="15" customHeight="1">
      <c r="A7338" t="inlineStr">
        <is>
          <t>A 51537-2021</t>
        </is>
      </c>
      <c r="B7338" s="1" t="n">
        <v>44462</v>
      </c>
      <c r="C7338" s="1" t="n">
        <v>45212</v>
      </c>
      <c r="D7338" t="inlineStr">
        <is>
          <t>VÄSTRA GÖTALANDS LÄN</t>
        </is>
      </c>
      <c r="E7338" t="inlineStr">
        <is>
          <t>MÖLNDAL</t>
        </is>
      </c>
      <c r="G7338" t="n">
        <v>7.2</v>
      </c>
      <c r="H7338" t="n">
        <v>0</v>
      </c>
      <c r="I7338" t="n">
        <v>0</v>
      </c>
      <c r="J7338" t="n">
        <v>0</v>
      </c>
      <c r="K7338" t="n">
        <v>0</v>
      </c>
      <c r="L7338" t="n">
        <v>0</v>
      </c>
      <c r="M7338" t="n">
        <v>0</v>
      </c>
      <c r="N7338" t="n">
        <v>0</v>
      </c>
      <c r="O7338" t="n">
        <v>0</v>
      </c>
      <c r="P7338" t="n">
        <v>0</v>
      </c>
      <c r="Q7338" t="n">
        <v>0</v>
      </c>
      <c r="R7338" s="2" t="inlineStr"/>
    </row>
    <row r="7339" ht="15" customHeight="1">
      <c r="A7339" t="inlineStr">
        <is>
          <t>A 51986-2021</t>
        </is>
      </c>
      <c r="B7339" s="1" t="n">
        <v>44463</v>
      </c>
      <c r="C7339" s="1" t="n">
        <v>45212</v>
      </c>
      <c r="D7339" t="inlineStr">
        <is>
          <t>VÄSTRA GÖTALANDS LÄN</t>
        </is>
      </c>
      <c r="E7339" t="inlineStr">
        <is>
          <t>BORÅS</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52016-2021</t>
        </is>
      </c>
      <c r="B7340" s="1" t="n">
        <v>44463</v>
      </c>
      <c r="C7340" s="1" t="n">
        <v>45212</v>
      </c>
      <c r="D7340" t="inlineStr">
        <is>
          <t>VÄSTRA GÖTALANDS LÄN</t>
        </is>
      </c>
      <c r="E7340" t="inlineStr">
        <is>
          <t>VÅRGÅRDA</t>
        </is>
      </c>
      <c r="G7340" t="n">
        <v>3.2</v>
      </c>
      <c r="H7340" t="n">
        <v>0</v>
      </c>
      <c r="I7340" t="n">
        <v>0</v>
      </c>
      <c r="J7340" t="n">
        <v>0</v>
      </c>
      <c r="K7340" t="n">
        <v>0</v>
      </c>
      <c r="L7340" t="n">
        <v>0</v>
      </c>
      <c r="M7340" t="n">
        <v>0</v>
      </c>
      <c r="N7340" t="n">
        <v>0</v>
      </c>
      <c r="O7340" t="n">
        <v>0</v>
      </c>
      <c r="P7340" t="n">
        <v>0</v>
      </c>
      <c r="Q7340" t="n">
        <v>0</v>
      </c>
      <c r="R7340" s="2" t="inlineStr"/>
    </row>
    <row r="7341" ht="15" customHeight="1">
      <c r="A7341" t="inlineStr">
        <is>
          <t>A 52128-2021</t>
        </is>
      </c>
      <c r="B7341" s="1" t="n">
        <v>44463</v>
      </c>
      <c r="C7341" s="1" t="n">
        <v>45212</v>
      </c>
      <c r="D7341" t="inlineStr">
        <is>
          <t>VÄSTRA GÖTALANDS LÄN</t>
        </is>
      </c>
      <c r="E7341" t="inlineStr">
        <is>
          <t>MELLERUD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51980-2021</t>
        </is>
      </c>
      <c r="B7342" s="1" t="n">
        <v>44463</v>
      </c>
      <c r="C7342" s="1" t="n">
        <v>45212</v>
      </c>
      <c r="D7342" t="inlineStr">
        <is>
          <t>VÄSTRA GÖTALANDS LÄN</t>
        </is>
      </c>
      <c r="E7342" t="inlineStr">
        <is>
          <t>BORÅS</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52403-2021</t>
        </is>
      </c>
      <c r="B7343" s="1" t="n">
        <v>44463</v>
      </c>
      <c r="C7343" s="1" t="n">
        <v>45212</v>
      </c>
      <c r="D7343" t="inlineStr">
        <is>
          <t>VÄSTRA GÖTALANDS LÄN</t>
        </is>
      </c>
      <c r="E7343" t="inlineStr">
        <is>
          <t>TANUM</t>
        </is>
      </c>
      <c r="F7343" t="inlineStr">
        <is>
          <t>Kyrkan</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52061-2021</t>
        </is>
      </c>
      <c r="B7344" s="1" t="n">
        <v>44463</v>
      </c>
      <c r="C7344" s="1" t="n">
        <v>45212</v>
      </c>
      <c r="D7344" t="inlineStr">
        <is>
          <t>VÄSTRA GÖTALANDS LÄN</t>
        </is>
      </c>
      <c r="E7344" t="inlineStr">
        <is>
          <t>TIDAHOLM</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52599-2021</t>
        </is>
      </c>
      <c r="B7345" s="1" t="n">
        <v>44465</v>
      </c>
      <c r="C7345" s="1" t="n">
        <v>45212</v>
      </c>
      <c r="D7345" t="inlineStr">
        <is>
          <t>VÄSTRA GÖTALANDS LÄN</t>
        </is>
      </c>
      <c r="E7345" t="inlineStr">
        <is>
          <t>FÄRGELANDA</t>
        </is>
      </c>
      <c r="G7345" t="n">
        <v>8.199999999999999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52525-2021</t>
        </is>
      </c>
      <c r="B7346" s="1" t="n">
        <v>44466</v>
      </c>
      <c r="C7346" s="1" t="n">
        <v>45212</v>
      </c>
      <c r="D7346" t="inlineStr">
        <is>
          <t>VÄSTRA GÖTALANDS LÄN</t>
        </is>
      </c>
      <c r="E7346" t="inlineStr">
        <is>
          <t>FALKÖPING</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52601-2021</t>
        </is>
      </c>
      <c r="B7347" s="1" t="n">
        <v>44466</v>
      </c>
      <c r="C7347" s="1" t="n">
        <v>45212</v>
      </c>
      <c r="D7347" t="inlineStr">
        <is>
          <t>VÄSTRA GÖTALANDS LÄN</t>
        </is>
      </c>
      <c r="E7347" t="inlineStr">
        <is>
          <t>MELLERUD</t>
        </is>
      </c>
      <c r="G7347" t="n">
        <v>5.2</v>
      </c>
      <c r="H7347" t="n">
        <v>0</v>
      </c>
      <c r="I7347" t="n">
        <v>0</v>
      </c>
      <c r="J7347" t="n">
        <v>0</v>
      </c>
      <c r="K7347" t="n">
        <v>0</v>
      </c>
      <c r="L7347" t="n">
        <v>0</v>
      </c>
      <c r="M7347" t="n">
        <v>0</v>
      </c>
      <c r="N7347" t="n">
        <v>0</v>
      </c>
      <c r="O7347" t="n">
        <v>0</v>
      </c>
      <c r="P7347" t="n">
        <v>0</v>
      </c>
      <c r="Q7347" t="n">
        <v>0</v>
      </c>
      <c r="R7347" s="2" t="inlineStr"/>
    </row>
    <row r="7348" ht="15" customHeight="1">
      <c r="A7348" t="inlineStr">
        <is>
          <t>A 52560-2021</t>
        </is>
      </c>
      <c r="B7348" s="1" t="n">
        <v>44466</v>
      </c>
      <c r="C7348" s="1" t="n">
        <v>45212</v>
      </c>
      <c r="D7348" t="inlineStr">
        <is>
          <t>VÄSTRA GÖTALANDS LÄN</t>
        </is>
      </c>
      <c r="E7348" t="inlineStr">
        <is>
          <t>BENGTSFORS</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52954-2021</t>
        </is>
      </c>
      <c r="B7349" s="1" t="n">
        <v>44466</v>
      </c>
      <c r="C7349" s="1" t="n">
        <v>45212</v>
      </c>
      <c r="D7349" t="inlineStr">
        <is>
          <t>VÄSTRA GÖTALANDS LÄN</t>
        </is>
      </c>
      <c r="E7349" t="inlineStr">
        <is>
          <t>LIDKÖPING</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52496-2021</t>
        </is>
      </c>
      <c r="B7350" s="1" t="n">
        <v>44466</v>
      </c>
      <c r="C7350" s="1" t="n">
        <v>45212</v>
      </c>
      <c r="D7350" t="inlineStr">
        <is>
          <t>VÄSTRA GÖTALANDS LÄN</t>
        </is>
      </c>
      <c r="E7350" t="inlineStr">
        <is>
          <t>TRANEMO</t>
        </is>
      </c>
      <c r="G7350" t="n">
        <v>9.800000000000001</v>
      </c>
      <c r="H7350" t="n">
        <v>0</v>
      </c>
      <c r="I7350" t="n">
        <v>0</v>
      </c>
      <c r="J7350" t="n">
        <v>0</v>
      </c>
      <c r="K7350" t="n">
        <v>0</v>
      </c>
      <c r="L7350" t="n">
        <v>0</v>
      </c>
      <c r="M7350" t="n">
        <v>0</v>
      </c>
      <c r="N7350" t="n">
        <v>0</v>
      </c>
      <c r="O7350" t="n">
        <v>0</v>
      </c>
      <c r="P7350" t="n">
        <v>0</v>
      </c>
      <c r="Q7350" t="n">
        <v>0</v>
      </c>
      <c r="R7350" s="2" t="inlineStr"/>
    </row>
    <row r="7351" ht="15" customHeight="1">
      <c r="A7351" t="inlineStr">
        <is>
          <t>A 52572-2021</t>
        </is>
      </c>
      <c r="B7351" s="1" t="n">
        <v>44466</v>
      </c>
      <c r="C7351" s="1" t="n">
        <v>45212</v>
      </c>
      <c r="D7351" t="inlineStr">
        <is>
          <t>VÄSTRA GÖTALANDS LÄN</t>
        </is>
      </c>
      <c r="E7351" t="inlineStr">
        <is>
          <t>GULLSPÅNG</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52777-2021</t>
        </is>
      </c>
      <c r="B7352" s="1" t="n">
        <v>44467</v>
      </c>
      <c r="C7352" s="1" t="n">
        <v>45212</v>
      </c>
      <c r="D7352" t="inlineStr">
        <is>
          <t>VÄSTRA GÖTALANDS LÄN</t>
        </is>
      </c>
      <c r="E7352" t="inlineStr">
        <is>
          <t>LERUM</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52827-2021</t>
        </is>
      </c>
      <c r="B7353" s="1" t="n">
        <v>44467</v>
      </c>
      <c r="C7353" s="1" t="n">
        <v>45212</v>
      </c>
      <c r="D7353" t="inlineStr">
        <is>
          <t>VÄSTRA GÖTALANDS LÄN</t>
        </is>
      </c>
      <c r="E7353" t="inlineStr">
        <is>
          <t>BORÅS</t>
        </is>
      </c>
      <c r="G7353" t="n">
        <v>19.4</v>
      </c>
      <c r="H7353" t="n">
        <v>0</v>
      </c>
      <c r="I7353" t="n">
        <v>0</v>
      </c>
      <c r="J7353" t="n">
        <v>0</v>
      </c>
      <c r="K7353" t="n">
        <v>0</v>
      </c>
      <c r="L7353" t="n">
        <v>0</v>
      </c>
      <c r="M7353" t="n">
        <v>0</v>
      </c>
      <c r="N7353" t="n">
        <v>0</v>
      </c>
      <c r="O7353" t="n">
        <v>0</v>
      </c>
      <c r="P7353" t="n">
        <v>0</v>
      </c>
      <c r="Q7353" t="n">
        <v>0</v>
      </c>
      <c r="R7353" s="2" t="inlineStr"/>
    </row>
    <row r="7354" ht="15" customHeight="1">
      <c r="A7354" t="inlineStr">
        <is>
          <t>A 53007-2021</t>
        </is>
      </c>
      <c r="B7354" s="1" t="n">
        <v>44467</v>
      </c>
      <c r="C7354" s="1" t="n">
        <v>45212</v>
      </c>
      <c r="D7354" t="inlineStr">
        <is>
          <t>VÄSTRA GÖTALANDS LÄN</t>
        </is>
      </c>
      <c r="E7354" t="inlineStr">
        <is>
          <t>VÄNERSBORG</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53779-2021</t>
        </is>
      </c>
      <c r="B7355" s="1" t="n">
        <v>44467</v>
      </c>
      <c r="C7355" s="1" t="n">
        <v>45212</v>
      </c>
      <c r="D7355" t="inlineStr">
        <is>
          <t>VÄSTRA GÖTALANDS LÄN</t>
        </is>
      </c>
      <c r="E7355" t="inlineStr">
        <is>
          <t>MARK</t>
        </is>
      </c>
      <c r="G7355" t="n">
        <v>8</v>
      </c>
      <c r="H7355" t="n">
        <v>0</v>
      </c>
      <c r="I7355" t="n">
        <v>0</v>
      </c>
      <c r="J7355" t="n">
        <v>0</v>
      </c>
      <c r="K7355" t="n">
        <v>0</v>
      </c>
      <c r="L7355" t="n">
        <v>0</v>
      </c>
      <c r="M7355" t="n">
        <v>0</v>
      </c>
      <c r="N7355" t="n">
        <v>0</v>
      </c>
      <c r="O7355" t="n">
        <v>0</v>
      </c>
      <c r="P7355" t="n">
        <v>0</v>
      </c>
      <c r="Q7355" t="n">
        <v>0</v>
      </c>
      <c r="R7355" s="2" t="inlineStr"/>
    </row>
    <row r="7356" ht="15" customHeight="1">
      <c r="A7356" t="inlineStr">
        <is>
          <t>A 53839-2021</t>
        </is>
      </c>
      <c r="B7356" s="1" t="n">
        <v>44467</v>
      </c>
      <c r="C7356" s="1" t="n">
        <v>45212</v>
      </c>
      <c r="D7356" t="inlineStr">
        <is>
          <t>VÄSTRA GÖTALANDS LÄN</t>
        </is>
      </c>
      <c r="E7356" t="inlineStr">
        <is>
          <t>MUNKEDAL</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52975-2021</t>
        </is>
      </c>
      <c r="B7357" s="1" t="n">
        <v>44467</v>
      </c>
      <c r="C7357" s="1" t="n">
        <v>45212</v>
      </c>
      <c r="D7357" t="inlineStr">
        <is>
          <t>VÄSTRA GÖTALANDS LÄN</t>
        </is>
      </c>
      <c r="E7357" t="inlineStr">
        <is>
          <t>BORÅS</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52953-2021</t>
        </is>
      </c>
      <c r="B7358" s="1" t="n">
        <v>44467</v>
      </c>
      <c r="C7358" s="1" t="n">
        <v>45212</v>
      </c>
      <c r="D7358" t="inlineStr">
        <is>
          <t>VÄSTRA GÖTALANDS LÄN</t>
        </is>
      </c>
      <c r="E7358" t="inlineStr">
        <is>
          <t>LILLA EDET</t>
        </is>
      </c>
      <c r="G7358" t="n">
        <v>4.1</v>
      </c>
      <c r="H7358" t="n">
        <v>0</v>
      </c>
      <c r="I7358" t="n">
        <v>0</v>
      </c>
      <c r="J7358" t="n">
        <v>0</v>
      </c>
      <c r="K7358" t="n">
        <v>0</v>
      </c>
      <c r="L7358" t="n">
        <v>0</v>
      </c>
      <c r="M7358" t="n">
        <v>0</v>
      </c>
      <c r="N7358" t="n">
        <v>0</v>
      </c>
      <c r="O7358" t="n">
        <v>0</v>
      </c>
      <c r="P7358" t="n">
        <v>0</v>
      </c>
      <c r="Q7358" t="n">
        <v>0</v>
      </c>
      <c r="R7358" s="2" t="inlineStr"/>
    </row>
    <row r="7359" ht="15" customHeight="1">
      <c r="A7359" t="inlineStr">
        <is>
          <t>A 53410-2021</t>
        </is>
      </c>
      <c r="B7359" s="1" t="n">
        <v>44468</v>
      </c>
      <c r="C7359" s="1" t="n">
        <v>45212</v>
      </c>
      <c r="D7359" t="inlineStr">
        <is>
          <t>VÄSTRA GÖTALANDS LÄN</t>
        </is>
      </c>
      <c r="E7359" t="inlineStr">
        <is>
          <t>BORÅS</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53144-2021</t>
        </is>
      </c>
      <c r="B7360" s="1" t="n">
        <v>44468</v>
      </c>
      <c r="C7360" s="1" t="n">
        <v>45212</v>
      </c>
      <c r="D7360" t="inlineStr">
        <is>
          <t>VÄSTRA GÖTALANDS LÄN</t>
        </is>
      </c>
      <c r="E7360" t="inlineStr">
        <is>
          <t>ALE</t>
        </is>
      </c>
      <c r="G7360" t="n">
        <v>2.6</v>
      </c>
      <c r="H7360" t="n">
        <v>0</v>
      </c>
      <c r="I7360" t="n">
        <v>0</v>
      </c>
      <c r="J7360" t="n">
        <v>0</v>
      </c>
      <c r="K7360" t="n">
        <v>0</v>
      </c>
      <c r="L7360" t="n">
        <v>0</v>
      </c>
      <c r="M7360" t="n">
        <v>0</v>
      </c>
      <c r="N7360" t="n">
        <v>0</v>
      </c>
      <c r="O7360" t="n">
        <v>0</v>
      </c>
      <c r="P7360" t="n">
        <v>0</v>
      </c>
      <c r="Q7360" t="n">
        <v>0</v>
      </c>
      <c r="R7360" s="2" t="inlineStr"/>
    </row>
    <row r="7361" ht="15" customHeight="1">
      <c r="A7361" t="inlineStr">
        <is>
          <t>A 53200-2021</t>
        </is>
      </c>
      <c r="B7361" s="1" t="n">
        <v>44468</v>
      </c>
      <c r="C7361" s="1" t="n">
        <v>45212</v>
      </c>
      <c r="D7361" t="inlineStr">
        <is>
          <t>VÄSTRA GÖTALANDS LÄN</t>
        </is>
      </c>
      <c r="E7361" t="inlineStr">
        <is>
          <t>HÄRRYDA</t>
        </is>
      </c>
      <c r="G7361" t="n">
        <v>5.3</v>
      </c>
      <c r="H7361" t="n">
        <v>0</v>
      </c>
      <c r="I7361" t="n">
        <v>0</v>
      </c>
      <c r="J7361" t="n">
        <v>0</v>
      </c>
      <c r="K7361" t="n">
        <v>0</v>
      </c>
      <c r="L7361" t="n">
        <v>0</v>
      </c>
      <c r="M7361" t="n">
        <v>0</v>
      </c>
      <c r="N7361" t="n">
        <v>0</v>
      </c>
      <c r="O7361" t="n">
        <v>0</v>
      </c>
      <c r="P7361" t="n">
        <v>0</v>
      </c>
      <c r="Q7361" t="n">
        <v>0</v>
      </c>
      <c r="R7361" s="2" t="inlineStr"/>
    </row>
    <row r="7362" ht="15" customHeight="1">
      <c r="A7362" t="inlineStr">
        <is>
          <t>A 53227-2021</t>
        </is>
      </c>
      <c r="B7362" s="1" t="n">
        <v>44468</v>
      </c>
      <c r="C7362" s="1" t="n">
        <v>45212</v>
      </c>
      <c r="D7362" t="inlineStr">
        <is>
          <t>VÄSTRA GÖTALANDS LÄN</t>
        </is>
      </c>
      <c r="E7362" t="inlineStr">
        <is>
          <t>TROLLHÄTTAN</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53170-2021</t>
        </is>
      </c>
      <c r="B7363" s="1" t="n">
        <v>44468</v>
      </c>
      <c r="C7363" s="1" t="n">
        <v>45212</v>
      </c>
      <c r="D7363" t="inlineStr">
        <is>
          <t>VÄSTRA GÖTALANDS LÄN</t>
        </is>
      </c>
      <c r="E7363" t="inlineStr">
        <is>
          <t>BORÅS</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53204-2021</t>
        </is>
      </c>
      <c r="B7364" s="1" t="n">
        <v>44468</v>
      </c>
      <c r="C7364" s="1" t="n">
        <v>45212</v>
      </c>
      <c r="D7364" t="inlineStr">
        <is>
          <t>VÄSTRA GÖTALANDS LÄN</t>
        </is>
      </c>
      <c r="E7364" t="inlineStr">
        <is>
          <t>HÄRRYDA</t>
        </is>
      </c>
      <c r="G7364" t="n">
        <v>1.5</v>
      </c>
      <c r="H7364" t="n">
        <v>0</v>
      </c>
      <c r="I7364" t="n">
        <v>0</v>
      </c>
      <c r="J7364" t="n">
        <v>0</v>
      </c>
      <c r="K7364" t="n">
        <v>0</v>
      </c>
      <c r="L7364" t="n">
        <v>0</v>
      </c>
      <c r="M7364" t="n">
        <v>0</v>
      </c>
      <c r="N7364" t="n">
        <v>0</v>
      </c>
      <c r="O7364" t="n">
        <v>0</v>
      </c>
      <c r="P7364" t="n">
        <v>0</v>
      </c>
      <c r="Q7364" t="n">
        <v>0</v>
      </c>
      <c r="R7364" s="2" t="inlineStr"/>
    </row>
    <row r="7365" ht="15" customHeight="1">
      <c r="A7365" t="inlineStr">
        <is>
          <t>A 54018-2021</t>
        </is>
      </c>
      <c r="B7365" s="1" t="n">
        <v>44468</v>
      </c>
      <c r="C7365" s="1" t="n">
        <v>45212</v>
      </c>
      <c r="D7365" t="inlineStr">
        <is>
          <t>VÄSTRA GÖTALANDS LÄN</t>
        </is>
      </c>
      <c r="E7365" t="inlineStr">
        <is>
          <t>DALS-ED</t>
        </is>
      </c>
      <c r="G7365" t="n">
        <v>6</v>
      </c>
      <c r="H7365" t="n">
        <v>0</v>
      </c>
      <c r="I7365" t="n">
        <v>0</v>
      </c>
      <c r="J7365" t="n">
        <v>0</v>
      </c>
      <c r="K7365" t="n">
        <v>0</v>
      </c>
      <c r="L7365" t="n">
        <v>0</v>
      </c>
      <c r="M7365" t="n">
        <v>0</v>
      </c>
      <c r="N7365" t="n">
        <v>0</v>
      </c>
      <c r="O7365" t="n">
        <v>0</v>
      </c>
      <c r="P7365" t="n">
        <v>0</v>
      </c>
      <c r="Q7365" t="n">
        <v>0</v>
      </c>
      <c r="R7365" s="2" t="inlineStr"/>
    </row>
    <row r="7366" ht="15" customHeight="1">
      <c r="A7366" t="inlineStr">
        <is>
          <t>A 53548-2021</t>
        </is>
      </c>
      <c r="B7366" s="1" t="n">
        <v>44469</v>
      </c>
      <c r="C7366" s="1" t="n">
        <v>45212</v>
      </c>
      <c r="D7366" t="inlineStr">
        <is>
          <t>VÄSTRA GÖTALANDS LÄN</t>
        </is>
      </c>
      <c r="E7366" t="inlineStr">
        <is>
          <t>FALKÖPING</t>
        </is>
      </c>
      <c r="G7366" t="n">
        <v>5.1</v>
      </c>
      <c r="H7366" t="n">
        <v>0</v>
      </c>
      <c r="I7366" t="n">
        <v>0</v>
      </c>
      <c r="J7366" t="n">
        <v>0</v>
      </c>
      <c r="K7366" t="n">
        <v>0</v>
      </c>
      <c r="L7366" t="n">
        <v>0</v>
      </c>
      <c r="M7366" t="n">
        <v>0</v>
      </c>
      <c r="N7366" t="n">
        <v>0</v>
      </c>
      <c r="O7366" t="n">
        <v>0</v>
      </c>
      <c r="P7366" t="n">
        <v>0</v>
      </c>
      <c r="Q7366" t="n">
        <v>0</v>
      </c>
      <c r="R7366" s="2" t="inlineStr"/>
    </row>
    <row r="7367" ht="15" customHeight="1">
      <c r="A7367" t="inlineStr">
        <is>
          <t>A 53645-2021</t>
        </is>
      </c>
      <c r="B7367" s="1" t="n">
        <v>44469</v>
      </c>
      <c r="C7367" s="1" t="n">
        <v>45212</v>
      </c>
      <c r="D7367" t="inlineStr">
        <is>
          <t>VÄSTRA GÖTALANDS LÄN</t>
        </is>
      </c>
      <c r="E7367" t="inlineStr">
        <is>
          <t>STRÖMSTAD</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53906-2021</t>
        </is>
      </c>
      <c r="B7368" s="1" t="n">
        <v>44469</v>
      </c>
      <c r="C7368" s="1" t="n">
        <v>45212</v>
      </c>
      <c r="D7368" t="inlineStr">
        <is>
          <t>VÄSTRA GÖTALANDS LÄN</t>
        </is>
      </c>
      <c r="E7368" t="inlineStr">
        <is>
          <t>FÄRGELANDA</t>
        </is>
      </c>
      <c r="G7368" t="n">
        <v>20.8</v>
      </c>
      <c r="H7368" t="n">
        <v>0</v>
      </c>
      <c r="I7368" t="n">
        <v>0</v>
      </c>
      <c r="J7368" t="n">
        <v>0</v>
      </c>
      <c r="K7368" t="n">
        <v>0</v>
      </c>
      <c r="L7368" t="n">
        <v>0</v>
      </c>
      <c r="M7368" t="n">
        <v>0</v>
      </c>
      <c r="N7368" t="n">
        <v>0</v>
      </c>
      <c r="O7368" t="n">
        <v>0</v>
      </c>
      <c r="P7368" t="n">
        <v>0</v>
      </c>
      <c r="Q7368" t="n">
        <v>0</v>
      </c>
      <c r="R7368" s="2" t="inlineStr"/>
    </row>
    <row r="7369" ht="15" customHeight="1">
      <c r="A7369" t="inlineStr">
        <is>
          <t>A 53759-2021</t>
        </is>
      </c>
      <c r="B7369" s="1" t="n">
        <v>44469</v>
      </c>
      <c r="C7369" s="1" t="n">
        <v>45212</v>
      </c>
      <c r="D7369" t="inlineStr">
        <is>
          <t>VÄSTRA GÖTALANDS LÄN</t>
        </is>
      </c>
      <c r="E7369" t="inlineStr">
        <is>
          <t>TANUM</t>
        </is>
      </c>
      <c r="G7369" t="n">
        <v>5</v>
      </c>
      <c r="H7369" t="n">
        <v>0</v>
      </c>
      <c r="I7369" t="n">
        <v>0</v>
      </c>
      <c r="J7369" t="n">
        <v>0</v>
      </c>
      <c r="K7369" t="n">
        <v>0</v>
      </c>
      <c r="L7369" t="n">
        <v>0</v>
      </c>
      <c r="M7369" t="n">
        <v>0</v>
      </c>
      <c r="N7369" t="n">
        <v>0</v>
      </c>
      <c r="O7369" t="n">
        <v>0</v>
      </c>
      <c r="P7369" t="n">
        <v>0</v>
      </c>
      <c r="Q7369" t="n">
        <v>0</v>
      </c>
      <c r="R7369" s="2" t="inlineStr"/>
    </row>
    <row r="7370" ht="15" customHeight="1">
      <c r="A7370" t="inlineStr">
        <is>
          <t>A 53781-2021</t>
        </is>
      </c>
      <c r="B7370" s="1" t="n">
        <v>44469</v>
      </c>
      <c r="C7370" s="1" t="n">
        <v>45212</v>
      </c>
      <c r="D7370" t="inlineStr">
        <is>
          <t>VÄSTRA GÖTALANDS LÄN</t>
        </is>
      </c>
      <c r="E7370" t="inlineStr">
        <is>
          <t>TRANEMO</t>
        </is>
      </c>
      <c r="G7370" t="n">
        <v>3.3</v>
      </c>
      <c r="H7370" t="n">
        <v>0</v>
      </c>
      <c r="I7370" t="n">
        <v>0</v>
      </c>
      <c r="J7370" t="n">
        <v>0</v>
      </c>
      <c r="K7370" t="n">
        <v>0</v>
      </c>
      <c r="L7370" t="n">
        <v>0</v>
      </c>
      <c r="M7370" t="n">
        <v>0</v>
      </c>
      <c r="N7370" t="n">
        <v>0</v>
      </c>
      <c r="O7370" t="n">
        <v>0</v>
      </c>
      <c r="P7370" t="n">
        <v>0</v>
      </c>
      <c r="Q7370" t="n">
        <v>0</v>
      </c>
      <c r="R7370" s="2" t="inlineStr"/>
    </row>
    <row r="7371" ht="15" customHeight="1">
      <c r="A7371" t="inlineStr">
        <is>
          <t>A 53832-2021</t>
        </is>
      </c>
      <c r="B7371" s="1" t="n">
        <v>44469</v>
      </c>
      <c r="C7371" s="1" t="n">
        <v>45212</v>
      </c>
      <c r="D7371" t="inlineStr">
        <is>
          <t>VÄSTRA GÖTALANDS LÄN</t>
        </is>
      </c>
      <c r="E7371" t="inlineStr">
        <is>
          <t>MARK</t>
        </is>
      </c>
      <c r="G7371" t="n">
        <v>2.9</v>
      </c>
      <c r="H7371" t="n">
        <v>0</v>
      </c>
      <c r="I7371" t="n">
        <v>0</v>
      </c>
      <c r="J7371" t="n">
        <v>0</v>
      </c>
      <c r="K7371" t="n">
        <v>0</v>
      </c>
      <c r="L7371" t="n">
        <v>0</v>
      </c>
      <c r="M7371" t="n">
        <v>0</v>
      </c>
      <c r="N7371" t="n">
        <v>0</v>
      </c>
      <c r="O7371" t="n">
        <v>0</v>
      </c>
      <c r="P7371" t="n">
        <v>0</v>
      </c>
      <c r="Q7371" t="n">
        <v>0</v>
      </c>
      <c r="R7371" s="2" t="inlineStr"/>
    </row>
    <row r="7372" ht="15" customHeight="1">
      <c r="A7372" t="inlineStr">
        <is>
          <t>A 53662-2021</t>
        </is>
      </c>
      <c r="B7372" s="1" t="n">
        <v>44469</v>
      </c>
      <c r="C7372" s="1" t="n">
        <v>45212</v>
      </c>
      <c r="D7372" t="inlineStr">
        <is>
          <t>VÄSTRA GÖTALANDS LÄN</t>
        </is>
      </c>
      <c r="E7372" t="inlineStr">
        <is>
          <t>TANUM</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53679-2021</t>
        </is>
      </c>
      <c r="B7373" s="1" t="n">
        <v>44469</v>
      </c>
      <c r="C7373" s="1" t="n">
        <v>45212</v>
      </c>
      <c r="D7373" t="inlineStr">
        <is>
          <t>VÄSTRA GÖTALANDS LÄN</t>
        </is>
      </c>
      <c r="E7373" t="inlineStr">
        <is>
          <t>MARK</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53800-2021</t>
        </is>
      </c>
      <c r="B7374" s="1" t="n">
        <v>44469</v>
      </c>
      <c r="C7374" s="1" t="n">
        <v>45212</v>
      </c>
      <c r="D7374" t="inlineStr">
        <is>
          <t>VÄSTRA GÖTALANDS LÄN</t>
        </is>
      </c>
      <c r="E7374" t="inlineStr">
        <is>
          <t>BENGTSFORS</t>
        </is>
      </c>
      <c r="F7374" t="inlineStr">
        <is>
          <t>Kyrkan</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54001-2021</t>
        </is>
      </c>
      <c r="B7375" s="1" t="n">
        <v>44470</v>
      </c>
      <c r="C7375" s="1" t="n">
        <v>45212</v>
      </c>
      <c r="D7375" t="inlineStr">
        <is>
          <t>VÄSTRA GÖTALANDS LÄN</t>
        </is>
      </c>
      <c r="E7375" t="inlineStr">
        <is>
          <t>MARK</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54055-2021</t>
        </is>
      </c>
      <c r="B7376" s="1" t="n">
        <v>44470</v>
      </c>
      <c r="C7376" s="1" t="n">
        <v>45212</v>
      </c>
      <c r="D7376" t="inlineStr">
        <is>
          <t>VÄSTRA GÖTALANDS LÄN</t>
        </is>
      </c>
      <c r="E7376" t="inlineStr">
        <is>
          <t>TANUM</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54093-2021</t>
        </is>
      </c>
      <c r="B7377" s="1" t="n">
        <v>44470</v>
      </c>
      <c r="C7377" s="1" t="n">
        <v>45212</v>
      </c>
      <c r="D7377" t="inlineStr">
        <is>
          <t>VÄSTRA GÖTALANDS LÄN</t>
        </is>
      </c>
      <c r="E7377" t="inlineStr">
        <is>
          <t>ULRICEHAMN</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54197-2021</t>
        </is>
      </c>
      <c r="B7378" s="1" t="n">
        <v>44470</v>
      </c>
      <c r="C7378" s="1" t="n">
        <v>45212</v>
      </c>
      <c r="D7378" t="inlineStr">
        <is>
          <t>VÄSTRA GÖTALANDS LÄN</t>
        </is>
      </c>
      <c r="E7378" t="inlineStr">
        <is>
          <t>TANUM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54054-2021</t>
        </is>
      </c>
      <c r="B7379" s="1" t="n">
        <v>44470</v>
      </c>
      <c r="C7379" s="1" t="n">
        <v>45212</v>
      </c>
      <c r="D7379" t="inlineStr">
        <is>
          <t>VÄSTRA GÖTALANDS LÄN</t>
        </is>
      </c>
      <c r="E7379" t="inlineStr">
        <is>
          <t>TANUM</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54087-2021</t>
        </is>
      </c>
      <c r="B7380" s="1" t="n">
        <v>44470</v>
      </c>
      <c r="C7380" s="1" t="n">
        <v>45212</v>
      </c>
      <c r="D7380" t="inlineStr">
        <is>
          <t>VÄSTRA GÖTALANDS LÄN</t>
        </is>
      </c>
      <c r="E7380" t="inlineStr">
        <is>
          <t>TROLLHÄTTAN</t>
        </is>
      </c>
      <c r="F7380" t="inlineStr">
        <is>
          <t>Kommuner</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54107-2021</t>
        </is>
      </c>
      <c r="B7381" s="1" t="n">
        <v>44470</v>
      </c>
      <c r="C7381" s="1" t="n">
        <v>45212</v>
      </c>
      <c r="D7381" t="inlineStr">
        <is>
          <t>VÄSTRA GÖTALANDS LÄN</t>
        </is>
      </c>
      <c r="E7381" t="inlineStr">
        <is>
          <t>DALS-ED</t>
        </is>
      </c>
      <c r="G7381" t="n">
        <v>7.1</v>
      </c>
      <c r="H7381" t="n">
        <v>0</v>
      </c>
      <c r="I7381" t="n">
        <v>0</v>
      </c>
      <c r="J7381" t="n">
        <v>0</v>
      </c>
      <c r="K7381" t="n">
        <v>0</v>
      </c>
      <c r="L7381" t="n">
        <v>0</v>
      </c>
      <c r="M7381" t="n">
        <v>0</v>
      </c>
      <c r="N7381" t="n">
        <v>0</v>
      </c>
      <c r="O7381" t="n">
        <v>0</v>
      </c>
      <c r="P7381" t="n">
        <v>0</v>
      </c>
      <c r="Q7381" t="n">
        <v>0</v>
      </c>
      <c r="R7381" s="2" t="inlineStr"/>
    </row>
    <row r="7382" ht="15" customHeight="1">
      <c r="A7382" t="inlineStr">
        <is>
          <t>A 54195-2021</t>
        </is>
      </c>
      <c r="B7382" s="1" t="n">
        <v>44470</v>
      </c>
      <c r="C7382" s="1" t="n">
        <v>45212</v>
      </c>
      <c r="D7382" t="inlineStr">
        <is>
          <t>VÄSTRA GÖTALANDS LÄN</t>
        </is>
      </c>
      <c r="E7382" t="inlineStr">
        <is>
          <t>TANUM</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53973-2021</t>
        </is>
      </c>
      <c r="B7383" s="1" t="n">
        <v>44470</v>
      </c>
      <c r="C7383" s="1" t="n">
        <v>45212</v>
      </c>
      <c r="D7383" t="inlineStr">
        <is>
          <t>VÄSTRA GÖTALANDS LÄN</t>
        </is>
      </c>
      <c r="E7383" t="inlineStr">
        <is>
          <t>FALKÖPING</t>
        </is>
      </c>
      <c r="G7383" t="n">
        <v>4.1</v>
      </c>
      <c r="H7383" t="n">
        <v>0</v>
      </c>
      <c r="I7383" t="n">
        <v>0</v>
      </c>
      <c r="J7383" t="n">
        <v>0</v>
      </c>
      <c r="K7383" t="n">
        <v>0</v>
      </c>
      <c r="L7383" t="n">
        <v>0</v>
      </c>
      <c r="M7383" t="n">
        <v>0</v>
      </c>
      <c r="N7383" t="n">
        <v>0</v>
      </c>
      <c r="O7383" t="n">
        <v>0</v>
      </c>
      <c r="P7383" t="n">
        <v>0</v>
      </c>
      <c r="Q7383" t="n">
        <v>0</v>
      </c>
      <c r="R7383" s="2" t="inlineStr"/>
    </row>
    <row r="7384" ht="15" customHeight="1">
      <c r="A7384" t="inlineStr">
        <is>
          <t>A 54038-2021</t>
        </is>
      </c>
      <c r="B7384" s="1" t="n">
        <v>44470</v>
      </c>
      <c r="C7384" s="1" t="n">
        <v>45212</v>
      </c>
      <c r="D7384" t="inlineStr">
        <is>
          <t>VÄSTRA GÖTALANDS LÄN</t>
        </is>
      </c>
      <c r="E7384" t="inlineStr">
        <is>
          <t>FÄRGELANDA</t>
        </is>
      </c>
      <c r="G7384" t="n">
        <v>0.6</v>
      </c>
      <c r="H7384" t="n">
        <v>0</v>
      </c>
      <c r="I7384" t="n">
        <v>0</v>
      </c>
      <c r="J7384" t="n">
        <v>0</v>
      </c>
      <c r="K7384" t="n">
        <v>0</v>
      </c>
      <c r="L7384" t="n">
        <v>0</v>
      </c>
      <c r="M7384" t="n">
        <v>0</v>
      </c>
      <c r="N7384" t="n">
        <v>0</v>
      </c>
      <c r="O7384" t="n">
        <v>0</v>
      </c>
      <c r="P7384" t="n">
        <v>0</v>
      </c>
      <c r="Q7384" t="n">
        <v>0</v>
      </c>
      <c r="R7384" s="2" t="inlineStr"/>
    </row>
    <row r="7385" ht="15" customHeight="1">
      <c r="A7385" t="inlineStr">
        <is>
          <t>A 54309-2021</t>
        </is>
      </c>
      <c r="B7385" s="1" t="n">
        <v>44472</v>
      </c>
      <c r="C7385" s="1" t="n">
        <v>45212</v>
      </c>
      <c r="D7385" t="inlineStr">
        <is>
          <t>VÄSTRA GÖTALANDS LÄN</t>
        </is>
      </c>
      <c r="E7385" t="inlineStr">
        <is>
          <t>BENGTSFORS</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54440-2021</t>
        </is>
      </c>
      <c r="B7386" s="1" t="n">
        <v>44472</v>
      </c>
      <c r="C7386" s="1" t="n">
        <v>45212</v>
      </c>
      <c r="D7386" t="inlineStr">
        <is>
          <t>VÄSTRA GÖTALANDS LÄN</t>
        </is>
      </c>
      <c r="E7386" t="inlineStr">
        <is>
          <t>UDDEVALLA</t>
        </is>
      </c>
      <c r="G7386" t="n">
        <v>2.4</v>
      </c>
      <c r="H7386" t="n">
        <v>0</v>
      </c>
      <c r="I7386" t="n">
        <v>0</v>
      </c>
      <c r="J7386" t="n">
        <v>0</v>
      </c>
      <c r="K7386" t="n">
        <v>0</v>
      </c>
      <c r="L7386" t="n">
        <v>0</v>
      </c>
      <c r="M7386" t="n">
        <v>0</v>
      </c>
      <c r="N7386" t="n">
        <v>0</v>
      </c>
      <c r="O7386" t="n">
        <v>0</v>
      </c>
      <c r="P7386" t="n">
        <v>0</v>
      </c>
      <c r="Q7386" t="n">
        <v>0</v>
      </c>
      <c r="R7386" s="2" t="inlineStr"/>
    </row>
    <row r="7387" ht="15" customHeight="1">
      <c r="A7387" t="inlineStr">
        <is>
          <t>A 54313-2021</t>
        </is>
      </c>
      <c r="B7387" s="1" t="n">
        <v>44472</v>
      </c>
      <c r="C7387" s="1" t="n">
        <v>45212</v>
      </c>
      <c r="D7387" t="inlineStr">
        <is>
          <t>VÄSTRA GÖTALANDS LÄN</t>
        </is>
      </c>
      <c r="E7387" t="inlineStr">
        <is>
          <t>LYSEKIL</t>
        </is>
      </c>
      <c r="G7387" t="n">
        <v>0.3</v>
      </c>
      <c r="H7387" t="n">
        <v>0</v>
      </c>
      <c r="I7387" t="n">
        <v>0</v>
      </c>
      <c r="J7387" t="n">
        <v>0</v>
      </c>
      <c r="K7387" t="n">
        <v>0</v>
      </c>
      <c r="L7387" t="n">
        <v>0</v>
      </c>
      <c r="M7387" t="n">
        <v>0</v>
      </c>
      <c r="N7387" t="n">
        <v>0</v>
      </c>
      <c r="O7387" t="n">
        <v>0</v>
      </c>
      <c r="P7387" t="n">
        <v>0</v>
      </c>
      <c r="Q7387" t="n">
        <v>0</v>
      </c>
      <c r="R7387" s="2" t="inlineStr"/>
    </row>
    <row r="7388" ht="15" customHeight="1">
      <c r="A7388" t="inlineStr">
        <is>
          <t>A 54621-2021</t>
        </is>
      </c>
      <c r="B7388" s="1" t="n">
        <v>44473</v>
      </c>
      <c r="C7388" s="1" t="n">
        <v>45212</v>
      </c>
      <c r="D7388" t="inlineStr">
        <is>
          <t>VÄSTRA GÖTALANDS LÄN</t>
        </is>
      </c>
      <c r="E7388" t="inlineStr">
        <is>
          <t>TÖREBODA</t>
        </is>
      </c>
      <c r="G7388" t="n">
        <v>6.4</v>
      </c>
      <c r="H7388" t="n">
        <v>0</v>
      </c>
      <c r="I7388" t="n">
        <v>0</v>
      </c>
      <c r="J7388" t="n">
        <v>0</v>
      </c>
      <c r="K7388" t="n">
        <v>0</v>
      </c>
      <c r="L7388" t="n">
        <v>0</v>
      </c>
      <c r="M7388" t="n">
        <v>0</v>
      </c>
      <c r="N7388" t="n">
        <v>0</v>
      </c>
      <c r="O7388" t="n">
        <v>0</v>
      </c>
      <c r="P7388" t="n">
        <v>0</v>
      </c>
      <c r="Q7388" t="n">
        <v>0</v>
      </c>
      <c r="R7388" s="2" t="inlineStr"/>
    </row>
    <row r="7389" ht="15" customHeight="1">
      <c r="A7389" t="inlineStr">
        <is>
          <t>A 54681-2021</t>
        </is>
      </c>
      <c r="B7389" s="1" t="n">
        <v>44473</v>
      </c>
      <c r="C7389" s="1" t="n">
        <v>45212</v>
      </c>
      <c r="D7389" t="inlineStr">
        <is>
          <t>VÄSTRA GÖTALANDS LÄN</t>
        </is>
      </c>
      <c r="E7389" t="inlineStr">
        <is>
          <t>LILLA EDET</t>
        </is>
      </c>
      <c r="G7389" t="n">
        <v>4.1</v>
      </c>
      <c r="H7389" t="n">
        <v>0</v>
      </c>
      <c r="I7389" t="n">
        <v>0</v>
      </c>
      <c r="J7389" t="n">
        <v>0</v>
      </c>
      <c r="K7389" t="n">
        <v>0</v>
      </c>
      <c r="L7389" t="n">
        <v>0</v>
      </c>
      <c r="M7389" t="n">
        <v>0</v>
      </c>
      <c r="N7389" t="n">
        <v>0</v>
      </c>
      <c r="O7389" t="n">
        <v>0</v>
      </c>
      <c r="P7389" t="n">
        <v>0</v>
      </c>
      <c r="Q7389" t="n">
        <v>0</v>
      </c>
      <c r="R7389" s="2" t="inlineStr"/>
    </row>
    <row r="7390" ht="15" customHeight="1">
      <c r="A7390" t="inlineStr">
        <is>
          <t>A 54489-2021</t>
        </is>
      </c>
      <c r="B7390" s="1" t="n">
        <v>44473</v>
      </c>
      <c r="C7390" s="1" t="n">
        <v>45212</v>
      </c>
      <c r="D7390" t="inlineStr">
        <is>
          <t>VÄSTRA GÖTALANDS LÄN</t>
        </is>
      </c>
      <c r="E7390" t="inlineStr">
        <is>
          <t>LYSEKIL</t>
        </is>
      </c>
      <c r="G7390" t="n">
        <v>6.8</v>
      </c>
      <c r="H7390" t="n">
        <v>0</v>
      </c>
      <c r="I7390" t="n">
        <v>0</v>
      </c>
      <c r="J7390" t="n">
        <v>0</v>
      </c>
      <c r="K7390" t="n">
        <v>0</v>
      </c>
      <c r="L7390" t="n">
        <v>0</v>
      </c>
      <c r="M7390" t="n">
        <v>0</v>
      </c>
      <c r="N7390" t="n">
        <v>0</v>
      </c>
      <c r="O7390" t="n">
        <v>0</v>
      </c>
      <c r="P7390" t="n">
        <v>0</v>
      </c>
      <c r="Q7390" t="n">
        <v>0</v>
      </c>
      <c r="R7390" s="2" t="inlineStr"/>
    </row>
    <row r="7391" ht="15" customHeight="1">
      <c r="A7391" t="inlineStr">
        <is>
          <t>A 54514-2021</t>
        </is>
      </c>
      <c r="B7391" s="1" t="n">
        <v>44473</v>
      </c>
      <c r="C7391" s="1" t="n">
        <v>45212</v>
      </c>
      <c r="D7391" t="inlineStr">
        <is>
          <t>VÄSTRA GÖTALANDS LÄN</t>
        </is>
      </c>
      <c r="E7391" t="inlineStr">
        <is>
          <t>ESSUNGA</t>
        </is>
      </c>
      <c r="G7391" t="n">
        <v>2.9</v>
      </c>
      <c r="H7391" t="n">
        <v>0</v>
      </c>
      <c r="I7391" t="n">
        <v>0</v>
      </c>
      <c r="J7391" t="n">
        <v>0</v>
      </c>
      <c r="K7391" t="n">
        <v>0</v>
      </c>
      <c r="L7391" t="n">
        <v>0</v>
      </c>
      <c r="M7391" t="n">
        <v>0</v>
      </c>
      <c r="N7391" t="n">
        <v>0</v>
      </c>
      <c r="O7391" t="n">
        <v>0</v>
      </c>
      <c r="P7391" t="n">
        <v>0</v>
      </c>
      <c r="Q7391" t="n">
        <v>0</v>
      </c>
      <c r="R7391" s="2" t="inlineStr"/>
    </row>
    <row r="7392" ht="15" customHeight="1">
      <c r="A7392" t="inlineStr">
        <is>
          <t>A 54543-2021</t>
        </is>
      </c>
      <c r="B7392" s="1" t="n">
        <v>44473</v>
      </c>
      <c r="C7392" s="1" t="n">
        <v>45212</v>
      </c>
      <c r="D7392" t="inlineStr">
        <is>
          <t>VÄSTRA GÖTALANDS LÄN</t>
        </is>
      </c>
      <c r="E7392" t="inlineStr">
        <is>
          <t>MARK</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54601-2021</t>
        </is>
      </c>
      <c r="B7393" s="1" t="n">
        <v>44473</v>
      </c>
      <c r="C7393" s="1" t="n">
        <v>45212</v>
      </c>
      <c r="D7393" t="inlineStr">
        <is>
          <t>VÄSTRA GÖTALANDS LÄN</t>
        </is>
      </c>
      <c r="E7393" t="inlineStr">
        <is>
          <t>STENUNGSUND</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54353-2021</t>
        </is>
      </c>
      <c r="B7394" s="1" t="n">
        <v>44473</v>
      </c>
      <c r="C7394" s="1" t="n">
        <v>45212</v>
      </c>
      <c r="D7394" t="inlineStr">
        <is>
          <t>VÄSTRA GÖTALANDS LÄN</t>
        </is>
      </c>
      <c r="E7394" t="inlineStr">
        <is>
          <t>MUNKEDAL</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54684-2021</t>
        </is>
      </c>
      <c r="B7395" s="1" t="n">
        <v>44473</v>
      </c>
      <c r="C7395" s="1" t="n">
        <v>45212</v>
      </c>
      <c r="D7395" t="inlineStr">
        <is>
          <t>VÄSTRA GÖTALANDS LÄN</t>
        </is>
      </c>
      <c r="E7395" t="inlineStr">
        <is>
          <t>LILLA EDET</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54617-2021</t>
        </is>
      </c>
      <c r="B7396" s="1" t="n">
        <v>44473</v>
      </c>
      <c r="C7396" s="1" t="n">
        <v>45212</v>
      </c>
      <c r="D7396" t="inlineStr">
        <is>
          <t>VÄSTRA GÖTALANDS LÄN</t>
        </is>
      </c>
      <c r="E7396" t="inlineStr">
        <is>
          <t>TÖREBODA</t>
        </is>
      </c>
      <c r="G7396" t="n">
        <v>10.2</v>
      </c>
      <c r="H7396" t="n">
        <v>0</v>
      </c>
      <c r="I7396" t="n">
        <v>0</v>
      </c>
      <c r="J7396" t="n">
        <v>0</v>
      </c>
      <c r="K7396" t="n">
        <v>0</v>
      </c>
      <c r="L7396" t="n">
        <v>0</v>
      </c>
      <c r="M7396" t="n">
        <v>0</v>
      </c>
      <c r="N7396" t="n">
        <v>0</v>
      </c>
      <c r="O7396" t="n">
        <v>0</v>
      </c>
      <c r="P7396" t="n">
        <v>0</v>
      </c>
      <c r="Q7396" t="n">
        <v>0</v>
      </c>
      <c r="R7396" s="2" t="inlineStr"/>
    </row>
    <row r="7397" ht="15" customHeight="1">
      <c r="A7397" t="inlineStr">
        <is>
          <t>A 54668-2021</t>
        </is>
      </c>
      <c r="B7397" s="1" t="n">
        <v>44473</v>
      </c>
      <c r="C7397" s="1" t="n">
        <v>45212</v>
      </c>
      <c r="D7397" t="inlineStr">
        <is>
          <t>VÄSTRA GÖTALANDS LÄN</t>
        </is>
      </c>
      <c r="E7397" t="inlineStr">
        <is>
          <t>TROLLHÄTTAN</t>
        </is>
      </c>
      <c r="F7397" t="inlineStr">
        <is>
          <t>Kommuner</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54919-2021</t>
        </is>
      </c>
      <c r="B7398" s="1" t="n">
        <v>44474</v>
      </c>
      <c r="C7398" s="1" t="n">
        <v>45212</v>
      </c>
      <c r="D7398" t="inlineStr">
        <is>
          <t>VÄSTRA GÖTALANDS LÄN</t>
        </is>
      </c>
      <c r="E7398" t="inlineStr">
        <is>
          <t>SKARA</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55007-2021</t>
        </is>
      </c>
      <c r="B7399" s="1" t="n">
        <v>44474</v>
      </c>
      <c r="C7399" s="1" t="n">
        <v>45212</v>
      </c>
      <c r="D7399" t="inlineStr">
        <is>
          <t>VÄSTRA GÖTALANDS LÄN</t>
        </is>
      </c>
      <c r="E7399" t="inlineStr">
        <is>
          <t>VÄNERSBORG</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55071-2021</t>
        </is>
      </c>
      <c r="B7400" s="1" t="n">
        <v>44474</v>
      </c>
      <c r="C7400" s="1" t="n">
        <v>45212</v>
      </c>
      <c r="D7400" t="inlineStr">
        <is>
          <t>VÄSTRA GÖTALANDS LÄN</t>
        </is>
      </c>
      <c r="E7400" t="inlineStr">
        <is>
          <t>FALKÖPING</t>
        </is>
      </c>
      <c r="G7400" t="n">
        <v>4</v>
      </c>
      <c r="H7400" t="n">
        <v>0</v>
      </c>
      <c r="I7400" t="n">
        <v>0</v>
      </c>
      <c r="J7400" t="n">
        <v>0</v>
      </c>
      <c r="K7400" t="n">
        <v>0</v>
      </c>
      <c r="L7400" t="n">
        <v>0</v>
      </c>
      <c r="M7400" t="n">
        <v>0</v>
      </c>
      <c r="N7400" t="n">
        <v>0</v>
      </c>
      <c r="O7400" t="n">
        <v>0</v>
      </c>
      <c r="P7400" t="n">
        <v>0</v>
      </c>
      <c r="Q7400" t="n">
        <v>0</v>
      </c>
      <c r="R7400" s="2" t="inlineStr"/>
    </row>
    <row r="7401" ht="15" customHeight="1">
      <c r="A7401" t="inlineStr">
        <is>
          <t>A 54914-2021</t>
        </is>
      </c>
      <c r="B7401" s="1" t="n">
        <v>44474</v>
      </c>
      <c r="C7401" s="1" t="n">
        <v>45212</v>
      </c>
      <c r="D7401" t="inlineStr">
        <is>
          <t>VÄSTRA GÖTALANDS LÄN</t>
        </is>
      </c>
      <c r="E7401" t="inlineStr">
        <is>
          <t>HERRLJUNGA</t>
        </is>
      </c>
      <c r="G7401" t="n">
        <v>2.2</v>
      </c>
      <c r="H7401" t="n">
        <v>0</v>
      </c>
      <c r="I7401" t="n">
        <v>0</v>
      </c>
      <c r="J7401" t="n">
        <v>0</v>
      </c>
      <c r="K7401" t="n">
        <v>0</v>
      </c>
      <c r="L7401" t="n">
        <v>0</v>
      </c>
      <c r="M7401" t="n">
        <v>0</v>
      </c>
      <c r="N7401" t="n">
        <v>0</v>
      </c>
      <c r="O7401" t="n">
        <v>0</v>
      </c>
      <c r="P7401" t="n">
        <v>0</v>
      </c>
      <c r="Q7401" t="n">
        <v>0</v>
      </c>
      <c r="R7401" s="2" t="inlineStr"/>
    </row>
    <row r="7402" ht="15" customHeight="1">
      <c r="A7402" t="inlineStr">
        <is>
          <t>A 54964-2021</t>
        </is>
      </c>
      <c r="B7402" s="1" t="n">
        <v>44474</v>
      </c>
      <c r="C7402" s="1" t="n">
        <v>45212</v>
      </c>
      <c r="D7402" t="inlineStr">
        <is>
          <t>VÄSTRA GÖTALANDS LÄN</t>
        </is>
      </c>
      <c r="E7402" t="inlineStr">
        <is>
          <t>VARA</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55091-2021</t>
        </is>
      </c>
      <c r="B7403" s="1" t="n">
        <v>44474</v>
      </c>
      <c r="C7403" s="1" t="n">
        <v>45212</v>
      </c>
      <c r="D7403" t="inlineStr">
        <is>
          <t>VÄSTRA GÖTALANDS LÄN</t>
        </is>
      </c>
      <c r="E7403" t="inlineStr">
        <is>
          <t>HJO</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55108-2021</t>
        </is>
      </c>
      <c r="B7404" s="1" t="n">
        <v>44474</v>
      </c>
      <c r="C7404" s="1" t="n">
        <v>45212</v>
      </c>
      <c r="D7404" t="inlineStr">
        <is>
          <t>VÄSTRA GÖTALANDS LÄN</t>
        </is>
      </c>
      <c r="E7404" t="inlineStr">
        <is>
          <t>ULRICEHAMN</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55136-2021</t>
        </is>
      </c>
      <c r="B7405" s="1" t="n">
        <v>44474</v>
      </c>
      <c r="C7405" s="1" t="n">
        <v>45212</v>
      </c>
      <c r="D7405" t="inlineStr">
        <is>
          <t>VÄSTRA GÖTALANDS LÄN</t>
        </is>
      </c>
      <c r="E7405" t="inlineStr">
        <is>
          <t>ULRICEHAMN</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55509-2021</t>
        </is>
      </c>
      <c r="B7406" s="1" t="n">
        <v>44475</v>
      </c>
      <c r="C7406" s="1" t="n">
        <v>45212</v>
      </c>
      <c r="D7406" t="inlineStr">
        <is>
          <t>VÄSTRA GÖTALANDS LÄN</t>
        </is>
      </c>
      <c r="E7406" t="inlineStr">
        <is>
          <t>VARA</t>
        </is>
      </c>
      <c r="G7406" t="n">
        <v>2</v>
      </c>
      <c r="H7406" t="n">
        <v>0</v>
      </c>
      <c r="I7406" t="n">
        <v>0</v>
      </c>
      <c r="J7406" t="n">
        <v>0</v>
      </c>
      <c r="K7406" t="n">
        <v>0</v>
      </c>
      <c r="L7406" t="n">
        <v>0</v>
      </c>
      <c r="M7406" t="n">
        <v>0</v>
      </c>
      <c r="N7406" t="n">
        <v>0</v>
      </c>
      <c r="O7406" t="n">
        <v>0</v>
      </c>
      <c r="P7406" t="n">
        <v>0</v>
      </c>
      <c r="Q7406" t="n">
        <v>0</v>
      </c>
      <c r="R7406" s="2" t="inlineStr"/>
    </row>
    <row r="7407" ht="15" customHeight="1">
      <c r="A7407" t="inlineStr">
        <is>
          <t>A 55575-2021</t>
        </is>
      </c>
      <c r="B7407" s="1" t="n">
        <v>44475</v>
      </c>
      <c r="C7407" s="1" t="n">
        <v>45212</v>
      </c>
      <c r="D7407" t="inlineStr">
        <is>
          <t>VÄSTRA GÖTALANDS LÄN</t>
        </is>
      </c>
      <c r="E7407" t="inlineStr">
        <is>
          <t>SKÖVDE</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58030-2021</t>
        </is>
      </c>
      <c r="B7408" s="1" t="n">
        <v>44475</v>
      </c>
      <c r="C7408" s="1" t="n">
        <v>45212</v>
      </c>
      <c r="D7408" t="inlineStr">
        <is>
          <t>VÄSTRA GÖTALANDS LÄN</t>
        </is>
      </c>
      <c r="E7408" t="inlineStr">
        <is>
          <t>MARK</t>
        </is>
      </c>
      <c r="G7408" t="n">
        <v>6.3</v>
      </c>
      <c r="H7408" t="n">
        <v>0</v>
      </c>
      <c r="I7408" t="n">
        <v>0</v>
      </c>
      <c r="J7408" t="n">
        <v>0</v>
      </c>
      <c r="K7408" t="n">
        <v>0</v>
      </c>
      <c r="L7408" t="n">
        <v>0</v>
      </c>
      <c r="M7408" t="n">
        <v>0</v>
      </c>
      <c r="N7408" t="n">
        <v>0</v>
      </c>
      <c r="O7408" t="n">
        <v>0</v>
      </c>
      <c r="P7408" t="n">
        <v>0</v>
      </c>
      <c r="Q7408" t="n">
        <v>0</v>
      </c>
      <c r="R7408" s="2" t="inlineStr"/>
    </row>
    <row r="7409" ht="15" customHeight="1">
      <c r="A7409" t="inlineStr">
        <is>
          <t>A 55172-2021</t>
        </is>
      </c>
      <c r="B7409" s="1" t="n">
        <v>44475</v>
      </c>
      <c r="C7409" s="1" t="n">
        <v>45212</v>
      </c>
      <c r="D7409" t="inlineStr">
        <is>
          <t>VÄSTRA GÖTALANDS LÄN</t>
        </is>
      </c>
      <c r="E7409" t="inlineStr">
        <is>
          <t>TANUM</t>
        </is>
      </c>
      <c r="G7409" t="n">
        <v>4.2</v>
      </c>
      <c r="H7409" t="n">
        <v>0</v>
      </c>
      <c r="I7409" t="n">
        <v>0</v>
      </c>
      <c r="J7409" t="n">
        <v>0</v>
      </c>
      <c r="K7409" t="n">
        <v>0</v>
      </c>
      <c r="L7409" t="n">
        <v>0</v>
      </c>
      <c r="M7409" t="n">
        <v>0</v>
      </c>
      <c r="N7409" t="n">
        <v>0</v>
      </c>
      <c r="O7409" t="n">
        <v>0</v>
      </c>
      <c r="P7409" t="n">
        <v>0</v>
      </c>
      <c r="Q7409" t="n">
        <v>0</v>
      </c>
      <c r="R7409" s="2" t="inlineStr"/>
    </row>
    <row r="7410" ht="15" customHeight="1">
      <c r="A7410" t="inlineStr">
        <is>
          <t>A 55213-2021</t>
        </is>
      </c>
      <c r="B7410" s="1" t="n">
        <v>44475</v>
      </c>
      <c r="C7410" s="1" t="n">
        <v>45212</v>
      </c>
      <c r="D7410" t="inlineStr">
        <is>
          <t>VÄSTRA GÖTALANDS LÄN</t>
        </is>
      </c>
      <c r="E7410" t="inlineStr">
        <is>
          <t>LYSEKIL</t>
        </is>
      </c>
      <c r="G7410" t="n">
        <v>4.5</v>
      </c>
      <c r="H7410" t="n">
        <v>0</v>
      </c>
      <c r="I7410" t="n">
        <v>0</v>
      </c>
      <c r="J7410" t="n">
        <v>0</v>
      </c>
      <c r="K7410" t="n">
        <v>0</v>
      </c>
      <c r="L7410" t="n">
        <v>0</v>
      </c>
      <c r="M7410" t="n">
        <v>0</v>
      </c>
      <c r="N7410" t="n">
        <v>0</v>
      </c>
      <c r="O7410" t="n">
        <v>0</v>
      </c>
      <c r="P7410" t="n">
        <v>0</v>
      </c>
      <c r="Q7410" t="n">
        <v>0</v>
      </c>
      <c r="R7410" s="2" t="inlineStr"/>
    </row>
    <row r="7411" ht="15" customHeight="1">
      <c r="A7411" t="inlineStr">
        <is>
          <t>A 55278-2021</t>
        </is>
      </c>
      <c r="B7411" s="1" t="n">
        <v>44475</v>
      </c>
      <c r="C7411" s="1" t="n">
        <v>45212</v>
      </c>
      <c r="D7411" t="inlineStr">
        <is>
          <t>VÄSTRA GÖTALANDS LÄN</t>
        </is>
      </c>
      <c r="E7411" t="inlineStr">
        <is>
          <t>FÄRGELANDA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58055-2021</t>
        </is>
      </c>
      <c r="B7412" s="1" t="n">
        <v>44475</v>
      </c>
      <c r="C7412" s="1" t="n">
        <v>45212</v>
      </c>
      <c r="D7412" t="inlineStr">
        <is>
          <t>VÄSTRA GÖTALANDS LÄN</t>
        </is>
      </c>
      <c r="E7412" t="inlineStr">
        <is>
          <t>MARK</t>
        </is>
      </c>
      <c r="G7412" t="n">
        <v>2.3</v>
      </c>
      <c r="H7412" t="n">
        <v>0</v>
      </c>
      <c r="I7412" t="n">
        <v>0</v>
      </c>
      <c r="J7412" t="n">
        <v>0</v>
      </c>
      <c r="K7412" t="n">
        <v>0</v>
      </c>
      <c r="L7412" t="n">
        <v>0</v>
      </c>
      <c r="M7412" t="n">
        <v>0</v>
      </c>
      <c r="N7412" t="n">
        <v>0</v>
      </c>
      <c r="O7412" t="n">
        <v>0</v>
      </c>
      <c r="P7412" t="n">
        <v>0</v>
      </c>
      <c r="Q7412" t="n">
        <v>0</v>
      </c>
      <c r="R7412" s="2" t="inlineStr"/>
    </row>
    <row r="7413" ht="15" customHeight="1">
      <c r="A7413" t="inlineStr">
        <is>
          <t>A 55424-2021</t>
        </is>
      </c>
      <c r="B7413" s="1" t="n">
        <v>44475</v>
      </c>
      <c r="C7413" s="1" t="n">
        <v>45212</v>
      </c>
      <c r="D7413" t="inlineStr">
        <is>
          <t>VÄSTRA GÖTALANDS LÄN</t>
        </is>
      </c>
      <c r="E7413" t="inlineStr">
        <is>
          <t>MARK</t>
        </is>
      </c>
      <c r="G7413" t="n">
        <v>14</v>
      </c>
      <c r="H7413" t="n">
        <v>0</v>
      </c>
      <c r="I7413" t="n">
        <v>0</v>
      </c>
      <c r="J7413" t="n">
        <v>0</v>
      </c>
      <c r="K7413" t="n">
        <v>0</v>
      </c>
      <c r="L7413" t="n">
        <v>0</v>
      </c>
      <c r="M7413" t="n">
        <v>0</v>
      </c>
      <c r="N7413" t="n">
        <v>0</v>
      </c>
      <c r="O7413" t="n">
        <v>0</v>
      </c>
      <c r="P7413" t="n">
        <v>0</v>
      </c>
      <c r="Q7413" t="n">
        <v>0</v>
      </c>
      <c r="R7413" s="2" t="inlineStr"/>
    </row>
    <row r="7414" ht="15" customHeight="1">
      <c r="A7414" t="inlineStr">
        <is>
          <t>A 55476-2021</t>
        </is>
      </c>
      <c r="B7414" s="1" t="n">
        <v>44475</v>
      </c>
      <c r="C7414" s="1" t="n">
        <v>45212</v>
      </c>
      <c r="D7414" t="inlineStr">
        <is>
          <t>VÄSTRA GÖTALANDS LÄN</t>
        </is>
      </c>
      <c r="E7414" t="inlineStr">
        <is>
          <t>BORÅS</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55496-2021</t>
        </is>
      </c>
      <c r="B7415" s="1" t="n">
        <v>44475</v>
      </c>
      <c r="C7415" s="1" t="n">
        <v>45212</v>
      </c>
      <c r="D7415" t="inlineStr">
        <is>
          <t>VÄSTRA GÖTALANDS LÄN</t>
        </is>
      </c>
      <c r="E7415" t="inlineStr">
        <is>
          <t>GÖTENE</t>
        </is>
      </c>
      <c r="G7415" t="n">
        <v>3.8</v>
      </c>
      <c r="H7415" t="n">
        <v>0</v>
      </c>
      <c r="I7415" t="n">
        <v>0</v>
      </c>
      <c r="J7415" t="n">
        <v>0</v>
      </c>
      <c r="K7415" t="n">
        <v>0</v>
      </c>
      <c r="L7415" t="n">
        <v>0</v>
      </c>
      <c r="M7415" t="n">
        <v>0</v>
      </c>
      <c r="N7415" t="n">
        <v>0</v>
      </c>
      <c r="O7415" t="n">
        <v>0</v>
      </c>
      <c r="P7415" t="n">
        <v>0</v>
      </c>
      <c r="Q7415" t="n">
        <v>0</v>
      </c>
      <c r="R7415" s="2" t="inlineStr"/>
    </row>
    <row r="7416" ht="15" customHeight="1">
      <c r="A7416" t="inlineStr">
        <is>
          <t>A 55513-2021</t>
        </is>
      </c>
      <c r="B7416" s="1" t="n">
        <v>44475</v>
      </c>
      <c r="C7416" s="1" t="n">
        <v>45212</v>
      </c>
      <c r="D7416" t="inlineStr">
        <is>
          <t>VÄSTRA GÖTALANDS LÄN</t>
        </is>
      </c>
      <c r="E7416" t="inlineStr">
        <is>
          <t>FALKÖPING</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58043-2021</t>
        </is>
      </c>
      <c r="B7417" s="1" t="n">
        <v>44475</v>
      </c>
      <c r="C7417" s="1" t="n">
        <v>45212</v>
      </c>
      <c r="D7417" t="inlineStr">
        <is>
          <t>VÄSTRA GÖTALANDS LÄN</t>
        </is>
      </c>
      <c r="E7417" t="inlineStr">
        <is>
          <t>MARK</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55880-2021</t>
        </is>
      </c>
      <c r="B7418" s="1" t="n">
        <v>44476</v>
      </c>
      <c r="C7418" s="1" t="n">
        <v>45212</v>
      </c>
      <c r="D7418" t="inlineStr">
        <is>
          <t>VÄSTRA GÖTALANDS LÄN</t>
        </is>
      </c>
      <c r="E7418" t="inlineStr">
        <is>
          <t>BENGTSFORS</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55660-2021</t>
        </is>
      </c>
      <c r="B7419" s="1" t="n">
        <v>44476</v>
      </c>
      <c r="C7419" s="1" t="n">
        <v>45212</v>
      </c>
      <c r="D7419" t="inlineStr">
        <is>
          <t>VÄSTRA GÖTALANDS LÄN</t>
        </is>
      </c>
      <c r="E7419" t="inlineStr">
        <is>
          <t>ÅMÅL</t>
        </is>
      </c>
      <c r="G7419" t="n">
        <v>0.7</v>
      </c>
      <c r="H7419" t="n">
        <v>0</v>
      </c>
      <c r="I7419" t="n">
        <v>0</v>
      </c>
      <c r="J7419" t="n">
        <v>0</v>
      </c>
      <c r="K7419" t="n">
        <v>0</v>
      </c>
      <c r="L7419" t="n">
        <v>0</v>
      </c>
      <c r="M7419" t="n">
        <v>0</v>
      </c>
      <c r="N7419" t="n">
        <v>0</v>
      </c>
      <c r="O7419" t="n">
        <v>0</v>
      </c>
      <c r="P7419" t="n">
        <v>0</v>
      </c>
      <c r="Q7419" t="n">
        <v>0</v>
      </c>
      <c r="R7419" s="2" t="inlineStr"/>
    </row>
    <row r="7420" ht="15" customHeight="1">
      <c r="A7420" t="inlineStr">
        <is>
          <t>A 55691-2021</t>
        </is>
      </c>
      <c r="B7420" s="1" t="n">
        <v>44476</v>
      </c>
      <c r="C7420" s="1" t="n">
        <v>45212</v>
      </c>
      <c r="D7420" t="inlineStr">
        <is>
          <t>VÄSTRA GÖTALANDS LÄN</t>
        </is>
      </c>
      <c r="E7420" t="inlineStr">
        <is>
          <t>ORUST</t>
        </is>
      </c>
      <c r="G7420" t="n">
        <v>2.5</v>
      </c>
      <c r="H7420" t="n">
        <v>0</v>
      </c>
      <c r="I7420" t="n">
        <v>0</v>
      </c>
      <c r="J7420" t="n">
        <v>0</v>
      </c>
      <c r="K7420" t="n">
        <v>0</v>
      </c>
      <c r="L7420" t="n">
        <v>0</v>
      </c>
      <c r="M7420" t="n">
        <v>0</v>
      </c>
      <c r="N7420" t="n">
        <v>0</v>
      </c>
      <c r="O7420" t="n">
        <v>0</v>
      </c>
      <c r="P7420" t="n">
        <v>0</v>
      </c>
      <c r="Q7420" t="n">
        <v>0</v>
      </c>
      <c r="R7420" s="2" t="inlineStr"/>
    </row>
    <row r="7421" ht="15" customHeight="1">
      <c r="A7421" t="inlineStr">
        <is>
          <t>A 55831-2021</t>
        </is>
      </c>
      <c r="B7421" s="1" t="n">
        <v>44476</v>
      </c>
      <c r="C7421" s="1" t="n">
        <v>45212</v>
      </c>
      <c r="D7421" t="inlineStr">
        <is>
          <t>VÄSTRA GÖTALANDS LÄN</t>
        </is>
      </c>
      <c r="E7421" t="inlineStr">
        <is>
          <t>KARLSBORG</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55882-2021</t>
        </is>
      </c>
      <c r="B7422" s="1" t="n">
        <v>44476</v>
      </c>
      <c r="C7422" s="1" t="n">
        <v>45212</v>
      </c>
      <c r="D7422" t="inlineStr">
        <is>
          <t>VÄSTRA GÖTALANDS LÄN</t>
        </is>
      </c>
      <c r="E7422" t="inlineStr">
        <is>
          <t>BENGTSFORS</t>
        </is>
      </c>
      <c r="G7422" t="n">
        <v>3.2</v>
      </c>
      <c r="H7422" t="n">
        <v>0</v>
      </c>
      <c r="I7422" t="n">
        <v>0</v>
      </c>
      <c r="J7422" t="n">
        <v>0</v>
      </c>
      <c r="K7422" t="n">
        <v>0</v>
      </c>
      <c r="L7422" t="n">
        <v>0</v>
      </c>
      <c r="M7422" t="n">
        <v>0</v>
      </c>
      <c r="N7422" t="n">
        <v>0</v>
      </c>
      <c r="O7422" t="n">
        <v>0</v>
      </c>
      <c r="P7422" t="n">
        <v>0</v>
      </c>
      <c r="Q7422" t="n">
        <v>0</v>
      </c>
      <c r="R7422" s="2" t="inlineStr"/>
    </row>
    <row r="7423" ht="15" customHeight="1">
      <c r="A7423" t="inlineStr">
        <is>
          <t>A 55662-2021</t>
        </is>
      </c>
      <c r="B7423" s="1" t="n">
        <v>44476</v>
      </c>
      <c r="C7423" s="1" t="n">
        <v>45212</v>
      </c>
      <c r="D7423" t="inlineStr">
        <is>
          <t>VÄSTRA GÖTALANDS LÄN</t>
        </is>
      </c>
      <c r="E7423" t="inlineStr">
        <is>
          <t>FÄRGELANDA</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55948-2021</t>
        </is>
      </c>
      <c r="B7424" s="1" t="n">
        <v>44476</v>
      </c>
      <c r="C7424" s="1" t="n">
        <v>45212</v>
      </c>
      <c r="D7424" t="inlineStr">
        <is>
          <t>VÄSTRA GÖTALANDS LÄN</t>
        </is>
      </c>
      <c r="E7424" t="inlineStr">
        <is>
          <t>VARA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55996-2021</t>
        </is>
      </c>
      <c r="B7425" s="1" t="n">
        <v>44477</v>
      </c>
      <c r="C7425" s="1" t="n">
        <v>45212</v>
      </c>
      <c r="D7425" t="inlineStr">
        <is>
          <t>VÄSTRA GÖTALANDS LÄN</t>
        </is>
      </c>
      <c r="E7425" t="inlineStr">
        <is>
          <t>ULRICEHAMN</t>
        </is>
      </c>
      <c r="G7425" t="n">
        <v>2.9</v>
      </c>
      <c r="H7425" t="n">
        <v>0</v>
      </c>
      <c r="I7425" t="n">
        <v>0</v>
      </c>
      <c r="J7425" t="n">
        <v>0</v>
      </c>
      <c r="K7425" t="n">
        <v>0</v>
      </c>
      <c r="L7425" t="n">
        <v>0</v>
      </c>
      <c r="M7425" t="n">
        <v>0</v>
      </c>
      <c r="N7425" t="n">
        <v>0</v>
      </c>
      <c r="O7425" t="n">
        <v>0</v>
      </c>
      <c r="P7425" t="n">
        <v>0</v>
      </c>
      <c r="Q7425" t="n">
        <v>0</v>
      </c>
      <c r="R7425" s="2" t="inlineStr"/>
    </row>
    <row r="7426" ht="15" customHeight="1">
      <c r="A7426" t="inlineStr">
        <is>
          <t>A 56120-2021</t>
        </is>
      </c>
      <c r="B7426" s="1" t="n">
        <v>44477</v>
      </c>
      <c r="C7426" s="1" t="n">
        <v>45212</v>
      </c>
      <c r="D7426" t="inlineStr">
        <is>
          <t>VÄSTRA GÖTALANDS LÄN</t>
        </is>
      </c>
      <c r="E7426" t="inlineStr">
        <is>
          <t>ULRICEHAMN</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55975-2021</t>
        </is>
      </c>
      <c r="B7427" s="1" t="n">
        <v>44477</v>
      </c>
      <c r="C7427" s="1" t="n">
        <v>45212</v>
      </c>
      <c r="D7427" t="inlineStr">
        <is>
          <t>VÄSTRA GÖTALANDS LÄN</t>
        </is>
      </c>
      <c r="E7427" t="inlineStr">
        <is>
          <t>BENGTSFORS</t>
        </is>
      </c>
      <c r="G7427" t="n">
        <v>0.9</v>
      </c>
      <c r="H7427" t="n">
        <v>0</v>
      </c>
      <c r="I7427" t="n">
        <v>0</v>
      </c>
      <c r="J7427" t="n">
        <v>0</v>
      </c>
      <c r="K7427" t="n">
        <v>0</v>
      </c>
      <c r="L7427" t="n">
        <v>0</v>
      </c>
      <c r="M7427" t="n">
        <v>0</v>
      </c>
      <c r="N7427" t="n">
        <v>0</v>
      </c>
      <c r="O7427" t="n">
        <v>0</v>
      </c>
      <c r="P7427" t="n">
        <v>0</v>
      </c>
      <c r="Q7427" t="n">
        <v>0</v>
      </c>
      <c r="R7427" s="2" t="inlineStr"/>
    </row>
    <row r="7428" ht="15" customHeight="1">
      <c r="A7428" t="inlineStr">
        <is>
          <t>A 55997-2021</t>
        </is>
      </c>
      <c r="B7428" s="1" t="n">
        <v>44477</v>
      </c>
      <c r="C7428" s="1" t="n">
        <v>45212</v>
      </c>
      <c r="D7428" t="inlineStr">
        <is>
          <t>VÄSTRA GÖTALANDS LÄN</t>
        </is>
      </c>
      <c r="E7428" t="inlineStr">
        <is>
          <t>ULRICEHAMN</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56175-2021</t>
        </is>
      </c>
      <c r="B7429" s="1" t="n">
        <v>44477</v>
      </c>
      <c r="C7429" s="1" t="n">
        <v>45212</v>
      </c>
      <c r="D7429" t="inlineStr">
        <is>
          <t>VÄSTRA GÖTALANDS LÄN</t>
        </is>
      </c>
      <c r="E7429" t="inlineStr">
        <is>
          <t>HJO</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56672-2021</t>
        </is>
      </c>
      <c r="B7430" s="1" t="n">
        <v>44480</v>
      </c>
      <c r="C7430" s="1" t="n">
        <v>45212</v>
      </c>
      <c r="D7430" t="inlineStr">
        <is>
          <t>VÄSTRA GÖTALANDS LÄN</t>
        </is>
      </c>
      <c r="E7430" t="inlineStr">
        <is>
          <t>TIDAHOLM</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56650-2021</t>
        </is>
      </c>
      <c r="B7431" s="1" t="n">
        <v>44480</v>
      </c>
      <c r="C7431" s="1" t="n">
        <v>45212</v>
      </c>
      <c r="D7431" t="inlineStr">
        <is>
          <t>VÄSTRA GÖTALANDS LÄN</t>
        </is>
      </c>
      <c r="E7431" t="inlineStr">
        <is>
          <t>UDDEVALLA</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56496-2021</t>
        </is>
      </c>
      <c r="B7432" s="1" t="n">
        <v>44480</v>
      </c>
      <c r="C7432" s="1" t="n">
        <v>45212</v>
      </c>
      <c r="D7432" t="inlineStr">
        <is>
          <t>VÄSTRA GÖTALANDS LÄN</t>
        </is>
      </c>
      <c r="E7432" t="inlineStr">
        <is>
          <t>ORUST</t>
        </is>
      </c>
      <c r="G7432" t="n">
        <v>10.3</v>
      </c>
      <c r="H7432" t="n">
        <v>0</v>
      </c>
      <c r="I7432" t="n">
        <v>0</v>
      </c>
      <c r="J7432" t="n">
        <v>0</v>
      </c>
      <c r="K7432" t="n">
        <v>0</v>
      </c>
      <c r="L7432" t="n">
        <v>0</v>
      </c>
      <c r="M7432" t="n">
        <v>0</v>
      </c>
      <c r="N7432" t="n">
        <v>0</v>
      </c>
      <c r="O7432" t="n">
        <v>0</v>
      </c>
      <c r="P7432" t="n">
        <v>0</v>
      </c>
      <c r="Q7432" t="n">
        <v>0</v>
      </c>
      <c r="R7432" s="2" t="inlineStr"/>
    </row>
    <row r="7433" ht="15" customHeight="1">
      <c r="A7433" t="inlineStr">
        <is>
          <t>A 56551-2021</t>
        </is>
      </c>
      <c r="B7433" s="1" t="n">
        <v>44480</v>
      </c>
      <c r="C7433" s="1" t="n">
        <v>45212</v>
      </c>
      <c r="D7433" t="inlineStr">
        <is>
          <t>VÄSTRA GÖTALANDS LÄN</t>
        </is>
      </c>
      <c r="E7433" t="inlineStr">
        <is>
          <t>DALS-ED</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56770-2021</t>
        </is>
      </c>
      <c r="B7434" s="1" t="n">
        <v>44480</v>
      </c>
      <c r="C7434" s="1" t="n">
        <v>45212</v>
      </c>
      <c r="D7434" t="inlineStr">
        <is>
          <t>VÄSTRA GÖTALANDS LÄN</t>
        </is>
      </c>
      <c r="E7434" t="inlineStr">
        <is>
          <t>ULRICEHAMN</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56778-2021</t>
        </is>
      </c>
      <c r="B7435" s="1" t="n">
        <v>44481</v>
      </c>
      <c r="C7435" s="1" t="n">
        <v>45212</v>
      </c>
      <c r="D7435" t="inlineStr">
        <is>
          <t>VÄSTRA GÖTALANDS LÄN</t>
        </is>
      </c>
      <c r="E7435" t="inlineStr">
        <is>
          <t>TANUM</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56885-2021</t>
        </is>
      </c>
      <c r="B7436" s="1" t="n">
        <v>44481</v>
      </c>
      <c r="C7436" s="1" t="n">
        <v>45212</v>
      </c>
      <c r="D7436" t="inlineStr">
        <is>
          <t>VÄSTRA GÖTALANDS LÄN</t>
        </is>
      </c>
      <c r="E7436" t="inlineStr">
        <is>
          <t>GULLSPÅNG</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56934-2021</t>
        </is>
      </c>
      <c r="B7437" s="1" t="n">
        <v>44482</v>
      </c>
      <c r="C7437" s="1" t="n">
        <v>45212</v>
      </c>
      <c r="D7437" t="inlineStr">
        <is>
          <t>VÄSTRA GÖTALANDS LÄN</t>
        </is>
      </c>
      <c r="E7437" t="inlineStr">
        <is>
          <t>TROLLHÄTTAN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56957-2021</t>
        </is>
      </c>
      <c r="B7438" s="1" t="n">
        <v>44482</v>
      </c>
      <c r="C7438" s="1" t="n">
        <v>45212</v>
      </c>
      <c r="D7438" t="inlineStr">
        <is>
          <t>VÄSTRA GÖTALANDS LÄN</t>
        </is>
      </c>
      <c r="E7438" t="inlineStr">
        <is>
          <t>TANUM</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57801-2021</t>
        </is>
      </c>
      <c r="B7439" s="1" t="n">
        <v>44484</v>
      </c>
      <c r="C7439" s="1" t="n">
        <v>45212</v>
      </c>
      <c r="D7439" t="inlineStr">
        <is>
          <t>VÄSTRA GÖTALANDS LÄN</t>
        </is>
      </c>
      <c r="E7439" t="inlineStr">
        <is>
          <t>MELLERUD</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57732-2021</t>
        </is>
      </c>
      <c r="B7440" s="1" t="n">
        <v>44484</v>
      </c>
      <c r="C7440" s="1" t="n">
        <v>45212</v>
      </c>
      <c r="D7440" t="inlineStr">
        <is>
          <t>VÄSTRA GÖTALANDS LÄN</t>
        </is>
      </c>
      <c r="E7440" t="inlineStr">
        <is>
          <t>MARIESTAD</t>
        </is>
      </c>
      <c r="F7440" t="inlineStr">
        <is>
          <t>Kyrkan</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57794-2021</t>
        </is>
      </c>
      <c r="B7441" s="1" t="n">
        <v>44484</v>
      </c>
      <c r="C7441" s="1" t="n">
        <v>45212</v>
      </c>
      <c r="D7441" t="inlineStr">
        <is>
          <t>VÄSTRA GÖTALANDS LÄN</t>
        </is>
      </c>
      <c r="E7441" t="inlineStr">
        <is>
          <t>MARIESTAD</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57615-2021</t>
        </is>
      </c>
      <c r="B7442" s="1" t="n">
        <v>44484</v>
      </c>
      <c r="C7442" s="1" t="n">
        <v>45212</v>
      </c>
      <c r="D7442" t="inlineStr">
        <is>
          <t>VÄSTRA GÖTALANDS LÄN</t>
        </is>
      </c>
      <c r="E7442" t="inlineStr">
        <is>
          <t>FÄRGELANDA</t>
        </is>
      </c>
      <c r="G7442" t="n">
        <v>3.4</v>
      </c>
      <c r="H7442" t="n">
        <v>0</v>
      </c>
      <c r="I7442" t="n">
        <v>0</v>
      </c>
      <c r="J7442" t="n">
        <v>0</v>
      </c>
      <c r="K7442" t="n">
        <v>0</v>
      </c>
      <c r="L7442" t="n">
        <v>0</v>
      </c>
      <c r="M7442" t="n">
        <v>0</v>
      </c>
      <c r="N7442" t="n">
        <v>0</v>
      </c>
      <c r="O7442" t="n">
        <v>0</v>
      </c>
      <c r="P7442" t="n">
        <v>0</v>
      </c>
      <c r="Q7442" t="n">
        <v>0</v>
      </c>
      <c r="R7442" s="2" t="inlineStr"/>
    </row>
    <row r="7443" ht="15" customHeight="1">
      <c r="A7443" t="inlineStr">
        <is>
          <t>A 57805-2021</t>
        </is>
      </c>
      <c r="B7443" s="1" t="n">
        <v>44484</v>
      </c>
      <c r="C7443" s="1" t="n">
        <v>45212</v>
      </c>
      <c r="D7443" t="inlineStr">
        <is>
          <t>VÄSTRA GÖTALANDS LÄN</t>
        </is>
      </c>
      <c r="E7443" t="inlineStr">
        <is>
          <t>MELLERUD</t>
        </is>
      </c>
      <c r="G7443" t="n">
        <v>11.3</v>
      </c>
      <c r="H7443" t="n">
        <v>0</v>
      </c>
      <c r="I7443" t="n">
        <v>0</v>
      </c>
      <c r="J7443" t="n">
        <v>0</v>
      </c>
      <c r="K7443" t="n">
        <v>0</v>
      </c>
      <c r="L7443" t="n">
        <v>0</v>
      </c>
      <c r="M7443" t="n">
        <v>0</v>
      </c>
      <c r="N7443" t="n">
        <v>0</v>
      </c>
      <c r="O7443" t="n">
        <v>0</v>
      </c>
      <c r="P7443" t="n">
        <v>0</v>
      </c>
      <c r="Q7443" t="n">
        <v>0</v>
      </c>
      <c r="R7443" s="2" t="inlineStr"/>
    </row>
    <row r="7444" ht="15" customHeight="1">
      <c r="A7444" t="inlineStr">
        <is>
          <t>A 58061-2021</t>
        </is>
      </c>
      <c r="B7444" s="1" t="n">
        <v>44486</v>
      </c>
      <c r="C7444" s="1" t="n">
        <v>45212</v>
      </c>
      <c r="D7444" t="inlineStr">
        <is>
          <t>VÄSTRA GÖTALANDS LÄN</t>
        </is>
      </c>
      <c r="E7444" t="inlineStr">
        <is>
          <t>TANUM</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57999-2021</t>
        </is>
      </c>
      <c r="B7445" s="1" t="n">
        <v>44487</v>
      </c>
      <c r="C7445" s="1" t="n">
        <v>45212</v>
      </c>
      <c r="D7445" t="inlineStr">
        <is>
          <t>VÄSTRA GÖTALANDS LÄN</t>
        </is>
      </c>
      <c r="E7445" t="inlineStr">
        <is>
          <t>TANUM</t>
        </is>
      </c>
      <c r="G7445" t="n">
        <v>1.5</v>
      </c>
      <c r="H7445" t="n">
        <v>0</v>
      </c>
      <c r="I7445" t="n">
        <v>0</v>
      </c>
      <c r="J7445" t="n">
        <v>0</v>
      </c>
      <c r="K7445" t="n">
        <v>0</v>
      </c>
      <c r="L7445" t="n">
        <v>0</v>
      </c>
      <c r="M7445" t="n">
        <v>0</v>
      </c>
      <c r="N7445" t="n">
        <v>0</v>
      </c>
      <c r="O7445" t="n">
        <v>0</v>
      </c>
      <c r="P7445" t="n">
        <v>0</v>
      </c>
      <c r="Q7445" t="n">
        <v>0</v>
      </c>
      <c r="R7445" s="2" t="inlineStr"/>
    </row>
    <row r="7446" ht="15" customHeight="1">
      <c r="A7446" t="inlineStr">
        <is>
          <t>A 57998-2021</t>
        </is>
      </c>
      <c r="B7446" s="1" t="n">
        <v>44487</v>
      </c>
      <c r="C7446" s="1" t="n">
        <v>45212</v>
      </c>
      <c r="D7446" t="inlineStr">
        <is>
          <t>VÄSTRA GÖTALANDS LÄN</t>
        </is>
      </c>
      <c r="E7446" t="inlineStr">
        <is>
          <t>BENGTSFORS</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58025-2021</t>
        </is>
      </c>
      <c r="B7447" s="1" t="n">
        <v>44487</v>
      </c>
      <c r="C7447" s="1" t="n">
        <v>45212</v>
      </c>
      <c r="D7447" t="inlineStr">
        <is>
          <t>VÄSTRA GÖTALANDS LÄN</t>
        </is>
      </c>
      <c r="E7447" t="inlineStr">
        <is>
          <t>LERUM</t>
        </is>
      </c>
      <c r="G7447" t="n">
        <v>9.1</v>
      </c>
      <c r="H7447" t="n">
        <v>0</v>
      </c>
      <c r="I7447" t="n">
        <v>0</v>
      </c>
      <c r="J7447" t="n">
        <v>0</v>
      </c>
      <c r="K7447" t="n">
        <v>0</v>
      </c>
      <c r="L7447" t="n">
        <v>0</v>
      </c>
      <c r="M7447" t="n">
        <v>0</v>
      </c>
      <c r="N7447" t="n">
        <v>0</v>
      </c>
      <c r="O7447" t="n">
        <v>0</v>
      </c>
      <c r="P7447" t="n">
        <v>0</v>
      </c>
      <c r="Q7447" t="n">
        <v>0</v>
      </c>
      <c r="R7447" s="2" t="inlineStr"/>
    </row>
    <row r="7448" ht="15" customHeight="1">
      <c r="A7448" t="inlineStr">
        <is>
          <t>A 58227-2021</t>
        </is>
      </c>
      <c r="B7448" s="1" t="n">
        <v>44487</v>
      </c>
      <c r="C7448" s="1" t="n">
        <v>45212</v>
      </c>
      <c r="D7448" t="inlineStr">
        <is>
          <t>VÄSTRA GÖTALANDS LÄN</t>
        </is>
      </c>
      <c r="E7448" t="inlineStr">
        <is>
          <t>ÅMÅL</t>
        </is>
      </c>
      <c r="G7448" t="n">
        <v>1.3</v>
      </c>
      <c r="H7448" t="n">
        <v>0</v>
      </c>
      <c r="I7448" t="n">
        <v>0</v>
      </c>
      <c r="J7448" t="n">
        <v>0</v>
      </c>
      <c r="K7448" t="n">
        <v>0</v>
      </c>
      <c r="L7448" t="n">
        <v>0</v>
      </c>
      <c r="M7448" t="n">
        <v>0</v>
      </c>
      <c r="N7448" t="n">
        <v>0</v>
      </c>
      <c r="O7448" t="n">
        <v>0</v>
      </c>
      <c r="P7448" t="n">
        <v>0</v>
      </c>
      <c r="Q7448" t="n">
        <v>0</v>
      </c>
      <c r="R7448" s="2" t="inlineStr"/>
    </row>
    <row r="7449" ht="15" customHeight="1">
      <c r="A7449" t="inlineStr">
        <is>
          <t>A 58213-2021</t>
        </is>
      </c>
      <c r="B7449" s="1" t="n">
        <v>44487</v>
      </c>
      <c r="C7449" s="1" t="n">
        <v>45212</v>
      </c>
      <c r="D7449" t="inlineStr">
        <is>
          <t>VÄSTRA GÖTALANDS LÄN</t>
        </is>
      </c>
      <c r="E7449" t="inlineStr">
        <is>
          <t>DALS-ED</t>
        </is>
      </c>
      <c r="G7449" t="n">
        <v>5.7</v>
      </c>
      <c r="H7449" t="n">
        <v>0</v>
      </c>
      <c r="I7449" t="n">
        <v>0</v>
      </c>
      <c r="J7449" t="n">
        <v>0</v>
      </c>
      <c r="K7449" t="n">
        <v>0</v>
      </c>
      <c r="L7449" t="n">
        <v>0</v>
      </c>
      <c r="M7449" t="n">
        <v>0</v>
      </c>
      <c r="N7449" t="n">
        <v>0</v>
      </c>
      <c r="O7449" t="n">
        <v>0</v>
      </c>
      <c r="P7449" t="n">
        <v>0</v>
      </c>
      <c r="Q7449" t="n">
        <v>0</v>
      </c>
      <c r="R7449" s="2" t="inlineStr"/>
    </row>
    <row r="7450" ht="15" customHeight="1">
      <c r="A7450" t="inlineStr">
        <is>
          <t>A 58225-2021</t>
        </is>
      </c>
      <c r="B7450" s="1" t="n">
        <v>44487</v>
      </c>
      <c r="C7450" s="1" t="n">
        <v>45212</v>
      </c>
      <c r="D7450" t="inlineStr">
        <is>
          <t>VÄSTRA GÖTALANDS LÄN</t>
        </is>
      </c>
      <c r="E7450" t="inlineStr">
        <is>
          <t>ÅMÅL</t>
        </is>
      </c>
      <c r="G7450" t="n">
        <v>4.6</v>
      </c>
      <c r="H7450" t="n">
        <v>0</v>
      </c>
      <c r="I7450" t="n">
        <v>0</v>
      </c>
      <c r="J7450" t="n">
        <v>0</v>
      </c>
      <c r="K7450" t="n">
        <v>0</v>
      </c>
      <c r="L7450" t="n">
        <v>0</v>
      </c>
      <c r="M7450" t="n">
        <v>0</v>
      </c>
      <c r="N7450" t="n">
        <v>0</v>
      </c>
      <c r="O7450" t="n">
        <v>0</v>
      </c>
      <c r="P7450" t="n">
        <v>0</v>
      </c>
      <c r="Q7450" t="n">
        <v>0</v>
      </c>
      <c r="R7450" s="2" t="inlineStr"/>
    </row>
    <row r="7451" ht="15" customHeight="1">
      <c r="A7451" t="inlineStr">
        <is>
          <t>A 58295-2021</t>
        </is>
      </c>
      <c r="B7451" s="1" t="n">
        <v>44487</v>
      </c>
      <c r="C7451" s="1" t="n">
        <v>45212</v>
      </c>
      <c r="D7451" t="inlineStr">
        <is>
          <t>VÄSTRA GÖTALANDS LÄN</t>
        </is>
      </c>
      <c r="E7451" t="inlineStr">
        <is>
          <t>HJO</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58066-2021</t>
        </is>
      </c>
      <c r="B7452" s="1" t="n">
        <v>44487</v>
      </c>
      <c r="C7452" s="1" t="n">
        <v>45212</v>
      </c>
      <c r="D7452" t="inlineStr">
        <is>
          <t>VÄSTRA GÖTALANDS LÄN</t>
        </is>
      </c>
      <c r="E7452" t="inlineStr">
        <is>
          <t>MUNKEDAL</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58146-2021</t>
        </is>
      </c>
      <c r="B7453" s="1" t="n">
        <v>44487</v>
      </c>
      <c r="C7453" s="1" t="n">
        <v>45212</v>
      </c>
      <c r="D7453" t="inlineStr">
        <is>
          <t>VÄSTRA GÖTALANDS LÄN</t>
        </is>
      </c>
      <c r="E7453" t="inlineStr">
        <is>
          <t>TROLLHÄTTAN</t>
        </is>
      </c>
      <c r="G7453" t="n">
        <v>6.9</v>
      </c>
      <c r="H7453" t="n">
        <v>0</v>
      </c>
      <c r="I7453" t="n">
        <v>0</v>
      </c>
      <c r="J7453" t="n">
        <v>0</v>
      </c>
      <c r="K7453" t="n">
        <v>0</v>
      </c>
      <c r="L7453" t="n">
        <v>0</v>
      </c>
      <c r="M7453" t="n">
        <v>0</v>
      </c>
      <c r="N7453" t="n">
        <v>0</v>
      </c>
      <c r="O7453" t="n">
        <v>0</v>
      </c>
      <c r="P7453" t="n">
        <v>0</v>
      </c>
      <c r="Q7453" t="n">
        <v>0</v>
      </c>
      <c r="R7453" s="2" t="inlineStr"/>
    </row>
    <row r="7454" ht="15" customHeight="1">
      <c r="A7454" t="inlineStr">
        <is>
          <t>A 58217-2021</t>
        </is>
      </c>
      <c r="B7454" s="1" t="n">
        <v>44487</v>
      </c>
      <c r="C7454" s="1" t="n">
        <v>45212</v>
      </c>
      <c r="D7454" t="inlineStr">
        <is>
          <t>VÄSTRA GÖTALANDS LÄN</t>
        </is>
      </c>
      <c r="E7454" t="inlineStr">
        <is>
          <t>BENGTSFORS</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58301-2021</t>
        </is>
      </c>
      <c r="B7455" s="1" t="n">
        <v>44488</v>
      </c>
      <c r="C7455" s="1" t="n">
        <v>45212</v>
      </c>
      <c r="D7455" t="inlineStr">
        <is>
          <t>VÄSTRA GÖTALANDS LÄN</t>
        </is>
      </c>
      <c r="E7455" t="inlineStr">
        <is>
          <t>VÄNERSBORG</t>
        </is>
      </c>
      <c r="G7455" t="n">
        <v>2.5</v>
      </c>
      <c r="H7455" t="n">
        <v>0</v>
      </c>
      <c r="I7455" t="n">
        <v>0</v>
      </c>
      <c r="J7455" t="n">
        <v>0</v>
      </c>
      <c r="K7455" t="n">
        <v>0</v>
      </c>
      <c r="L7455" t="n">
        <v>0</v>
      </c>
      <c r="M7455" t="n">
        <v>0</v>
      </c>
      <c r="N7455" t="n">
        <v>0</v>
      </c>
      <c r="O7455" t="n">
        <v>0</v>
      </c>
      <c r="P7455" t="n">
        <v>0</v>
      </c>
      <c r="Q7455" t="n">
        <v>0</v>
      </c>
      <c r="R7455" s="2" t="inlineStr"/>
    </row>
    <row r="7456" ht="15" customHeight="1">
      <c r="A7456" t="inlineStr">
        <is>
          <t>A 58369-2021</t>
        </is>
      </c>
      <c r="B7456" s="1" t="n">
        <v>44488</v>
      </c>
      <c r="C7456" s="1" t="n">
        <v>45212</v>
      </c>
      <c r="D7456" t="inlineStr">
        <is>
          <t>VÄSTRA GÖTALANDS LÄN</t>
        </is>
      </c>
      <c r="E7456" t="inlineStr">
        <is>
          <t>ULRICEHAMN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58405-2021</t>
        </is>
      </c>
      <c r="B7457" s="1" t="n">
        <v>44488</v>
      </c>
      <c r="C7457" s="1" t="n">
        <v>45212</v>
      </c>
      <c r="D7457" t="inlineStr">
        <is>
          <t>VÄSTRA GÖTALANDS LÄN</t>
        </is>
      </c>
      <c r="E7457" t="inlineStr">
        <is>
          <t>BORÅS</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58477-2021</t>
        </is>
      </c>
      <c r="B7458" s="1" t="n">
        <v>44488</v>
      </c>
      <c r="C7458" s="1" t="n">
        <v>45212</v>
      </c>
      <c r="D7458" t="inlineStr">
        <is>
          <t>VÄSTRA GÖTALANDS LÄN</t>
        </is>
      </c>
      <c r="E7458" t="inlineStr">
        <is>
          <t>ULRICEHAMN</t>
        </is>
      </c>
      <c r="G7458" t="n">
        <v>17.5</v>
      </c>
      <c r="H7458" t="n">
        <v>0</v>
      </c>
      <c r="I7458" t="n">
        <v>0</v>
      </c>
      <c r="J7458" t="n">
        <v>0</v>
      </c>
      <c r="K7458" t="n">
        <v>0</v>
      </c>
      <c r="L7458" t="n">
        <v>0</v>
      </c>
      <c r="M7458" t="n">
        <v>0</v>
      </c>
      <c r="N7458" t="n">
        <v>0</v>
      </c>
      <c r="O7458" t="n">
        <v>0</v>
      </c>
      <c r="P7458" t="n">
        <v>0</v>
      </c>
      <c r="Q7458" t="n">
        <v>0</v>
      </c>
      <c r="R7458" s="2" t="inlineStr"/>
    </row>
    <row r="7459" ht="15" customHeight="1">
      <c r="A7459" t="inlineStr">
        <is>
          <t>A 58488-2021</t>
        </is>
      </c>
      <c r="B7459" s="1" t="n">
        <v>44488</v>
      </c>
      <c r="C7459" s="1" t="n">
        <v>45212</v>
      </c>
      <c r="D7459" t="inlineStr">
        <is>
          <t>VÄSTRA GÖTALANDS LÄN</t>
        </is>
      </c>
      <c r="E7459" t="inlineStr">
        <is>
          <t>ULRICEHAMN</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58558-2021</t>
        </is>
      </c>
      <c r="B7460" s="1" t="n">
        <v>44488</v>
      </c>
      <c r="C7460" s="1" t="n">
        <v>45212</v>
      </c>
      <c r="D7460" t="inlineStr">
        <is>
          <t>VÄSTRA GÖTALANDS LÄN</t>
        </is>
      </c>
      <c r="E7460" t="inlineStr">
        <is>
          <t>ALINGSÅS</t>
        </is>
      </c>
      <c r="G7460" t="n">
        <v>4.3</v>
      </c>
      <c r="H7460" t="n">
        <v>0</v>
      </c>
      <c r="I7460" t="n">
        <v>0</v>
      </c>
      <c r="J7460" t="n">
        <v>0</v>
      </c>
      <c r="K7460" t="n">
        <v>0</v>
      </c>
      <c r="L7460" t="n">
        <v>0</v>
      </c>
      <c r="M7460" t="n">
        <v>0</v>
      </c>
      <c r="N7460" t="n">
        <v>0</v>
      </c>
      <c r="O7460" t="n">
        <v>0</v>
      </c>
      <c r="P7460" t="n">
        <v>0</v>
      </c>
      <c r="Q7460" t="n">
        <v>0</v>
      </c>
      <c r="R7460" s="2" t="inlineStr"/>
    </row>
    <row r="7461" ht="15" customHeight="1">
      <c r="A7461" t="inlineStr">
        <is>
          <t>A 58307-2021</t>
        </is>
      </c>
      <c r="B7461" s="1" t="n">
        <v>44488</v>
      </c>
      <c r="C7461" s="1" t="n">
        <v>45212</v>
      </c>
      <c r="D7461" t="inlineStr">
        <is>
          <t>VÄSTRA GÖTALANDS LÄN</t>
        </is>
      </c>
      <c r="E7461" t="inlineStr">
        <is>
          <t>VÄNERSBORG</t>
        </is>
      </c>
      <c r="G7461" t="n">
        <v>0.7</v>
      </c>
      <c r="H7461" t="n">
        <v>0</v>
      </c>
      <c r="I7461" t="n">
        <v>0</v>
      </c>
      <c r="J7461" t="n">
        <v>0</v>
      </c>
      <c r="K7461" t="n">
        <v>0</v>
      </c>
      <c r="L7461" t="n">
        <v>0</v>
      </c>
      <c r="M7461" t="n">
        <v>0</v>
      </c>
      <c r="N7461" t="n">
        <v>0</v>
      </c>
      <c r="O7461" t="n">
        <v>0</v>
      </c>
      <c r="P7461" t="n">
        <v>0</v>
      </c>
      <c r="Q7461" t="n">
        <v>0</v>
      </c>
      <c r="R7461" s="2" t="inlineStr"/>
    </row>
    <row r="7462" ht="15" customHeight="1">
      <c r="A7462" t="inlineStr">
        <is>
          <t>A 58330-2021</t>
        </is>
      </c>
      <c r="B7462" s="1" t="n">
        <v>44488</v>
      </c>
      <c r="C7462" s="1" t="n">
        <v>45212</v>
      </c>
      <c r="D7462" t="inlineStr">
        <is>
          <t>VÄSTRA GÖTALANDS LÄN</t>
        </is>
      </c>
      <c r="E7462" t="inlineStr">
        <is>
          <t>FÄRGELANDA</t>
        </is>
      </c>
      <c r="G7462" t="n">
        <v>10.1</v>
      </c>
      <c r="H7462" t="n">
        <v>0</v>
      </c>
      <c r="I7462" t="n">
        <v>0</v>
      </c>
      <c r="J7462" t="n">
        <v>0</v>
      </c>
      <c r="K7462" t="n">
        <v>0</v>
      </c>
      <c r="L7462" t="n">
        <v>0</v>
      </c>
      <c r="M7462" t="n">
        <v>0</v>
      </c>
      <c r="N7462" t="n">
        <v>0</v>
      </c>
      <c r="O7462" t="n">
        <v>0</v>
      </c>
      <c r="P7462" t="n">
        <v>0</v>
      </c>
      <c r="Q7462" t="n">
        <v>0</v>
      </c>
      <c r="R7462" s="2" t="inlineStr"/>
    </row>
    <row r="7463" ht="15" customHeight="1">
      <c r="A7463" t="inlineStr">
        <is>
          <t>A 58341-2021</t>
        </is>
      </c>
      <c r="B7463" s="1" t="n">
        <v>44488</v>
      </c>
      <c r="C7463" s="1" t="n">
        <v>45212</v>
      </c>
      <c r="D7463" t="inlineStr">
        <is>
          <t>VÄSTRA GÖTALANDS LÄN</t>
        </is>
      </c>
      <c r="E7463" t="inlineStr">
        <is>
          <t>BENGTSFORS</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58331-2021</t>
        </is>
      </c>
      <c r="B7464" s="1" t="n">
        <v>44488</v>
      </c>
      <c r="C7464" s="1" t="n">
        <v>45212</v>
      </c>
      <c r="D7464" t="inlineStr">
        <is>
          <t>VÄSTRA GÖTALANDS LÄN</t>
        </is>
      </c>
      <c r="E7464" t="inlineStr">
        <is>
          <t>BORÅS</t>
        </is>
      </c>
      <c r="F7464" t="inlineStr">
        <is>
          <t>Kyrkan</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58320-2021</t>
        </is>
      </c>
      <c r="B7465" s="1" t="n">
        <v>44488</v>
      </c>
      <c r="C7465" s="1" t="n">
        <v>45212</v>
      </c>
      <c r="D7465" t="inlineStr">
        <is>
          <t>VÄSTRA GÖTALANDS LÄN</t>
        </is>
      </c>
      <c r="E7465" t="inlineStr">
        <is>
          <t>BENGTSFORS</t>
        </is>
      </c>
      <c r="G7465" t="n">
        <v>8.199999999999999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58335-2021</t>
        </is>
      </c>
      <c r="B7466" s="1" t="n">
        <v>44488</v>
      </c>
      <c r="C7466" s="1" t="n">
        <v>45212</v>
      </c>
      <c r="D7466" t="inlineStr">
        <is>
          <t>VÄSTRA GÖTALANDS LÄN</t>
        </is>
      </c>
      <c r="E7466" t="inlineStr">
        <is>
          <t>TANUM</t>
        </is>
      </c>
      <c r="G7466" t="n">
        <v>0.7</v>
      </c>
      <c r="H7466" t="n">
        <v>0</v>
      </c>
      <c r="I7466" t="n">
        <v>0</v>
      </c>
      <c r="J7466" t="n">
        <v>0</v>
      </c>
      <c r="K7466" t="n">
        <v>0</v>
      </c>
      <c r="L7466" t="n">
        <v>0</v>
      </c>
      <c r="M7466" t="n">
        <v>0</v>
      </c>
      <c r="N7466" t="n">
        <v>0</v>
      </c>
      <c r="O7466" t="n">
        <v>0</v>
      </c>
      <c r="P7466" t="n">
        <v>0</v>
      </c>
      <c r="Q7466" t="n">
        <v>0</v>
      </c>
      <c r="R7466" s="2" t="inlineStr"/>
    </row>
    <row r="7467" ht="15" customHeight="1">
      <c r="A7467" t="inlineStr">
        <is>
          <t>A 58490-2021</t>
        </is>
      </c>
      <c r="B7467" s="1" t="n">
        <v>44488</v>
      </c>
      <c r="C7467" s="1" t="n">
        <v>45212</v>
      </c>
      <c r="D7467" t="inlineStr">
        <is>
          <t>VÄSTRA GÖTALANDS LÄN</t>
        </is>
      </c>
      <c r="E7467" t="inlineStr">
        <is>
          <t>BORÅS</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58506-2021</t>
        </is>
      </c>
      <c r="B7468" s="1" t="n">
        <v>44488</v>
      </c>
      <c r="C7468" s="1" t="n">
        <v>45212</v>
      </c>
      <c r="D7468" t="inlineStr">
        <is>
          <t>VÄSTRA GÖTALANDS LÄN</t>
        </is>
      </c>
      <c r="E7468" t="inlineStr">
        <is>
          <t>BENGTSFORS</t>
        </is>
      </c>
      <c r="G7468" t="n">
        <v>1.7</v>
      </c>
      <c r="H7468" t="n">
        <v>0</v>
      </c>
      <c r="I7468" t="n">
        <v>0</v>
      </c>
      <c r="J7468" t="n">
        <v>0</v>
      </c>
      <c r="K7468" t="n">
        <v>0</v>
      </c>
      <c r="L7468" t="n">
        <v>0</v>
      </c>
      <c r="M7468" t="n">
        <v>0</v>
      </c>
      <c r="N7468" t="n">
        <v>0</v>
      </c>
      <c r="O7468" t="n">
        <v>0</v>
      </c>
      <c r="P7468" t="n">
        <v>0</v>
      </c>
      <c r="Q7468" t="n">
        <v>0</v>
      </c>
      <c r="R7468" s="2" t="inlineStr"/>
    </row>
    <row r="7469" ht="15" customHeight="1">
      <c r="A7469" t="inlineStr">
        <is>
          <t>A 58717-2021</t>
        </is>
      </c>
      <c r="B7469" s="1" t="n">
        <v>44489</v>
      </c>
      <c r="C7469" s="1" t="n">
        <v>45212</v>
      </c>
      <c r="D7469" t="inlineStr">
        <is>
          <t>VÄSTRA GÖTALANDS LÄN</t>
        </is>
      </c>
      <c r="E7469" t="inlineStr">
        <is>
          <t>FALKÖPING</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58750-2021</t>
        </is>
      </c>
      <c r="B7470" s="1" t="n">
        <v>44489</v>
      </c>
      <c r="C7470" s="1" t="n">
        <v>45212</v>
      </c>
      <c r="D7470" t="inlineStr">
        <is>
          <t>VÄSTRA GÖTALANDS LÄN</t>
        </is>
      </c>
      <c r="E7470" t="inlineStr">
        <is>
          <t>LILLA EDET</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58958-2021</t>
        </is>
      </c>
      <c r="B7471" s="1" t="n">
        <v>44489</v>
      </c>
      <c r="C7471" s="1" t="n">
        <v>45212</v>
      </c>
      <c r="D7471" t="inlineStr">
        <is>
          <t>VÄSTRA GÖTALANDS LÄN</t>
        </is>
      </c>
      <c r="E7471" t="inlineStr">
        <is>
          <t>UDDEVALLA</t>
        </is>
      </c>
      <c r="G7471" t="n">
        <v>0.1</v>
      </c>
      <c r="H7471" t="n">
        <v>0</v>
      </c>
      <c r="I7471" t="n">
        <v>0</v>
      </c>
      <c r="J7471" t="n">
        <v>0</v>
      </c>
      <c r="K7471" t="n">
        <v>0</v>
      </c>
      <c r="L7471" t="n">
        <v>0</v>
      </c>
      <c r="M7471" t="n">
        <v>0</v>
      </c>
      <c r="N7471" t="n">
        <v>0</v>
      </c>
      <c r="O7471" t="n">
        <v>0</v>
      </c>
      <c r="P7471" t="n">
        <v>0</v>
      </c>
      <c r="Q7471" t="n">
        <v>0</v>
      </c>
      <c r="R7471" s="2" t="inlineStr"/>
    </row>
    <row r="7472" ht="15" customHeight="1">
      <c r="A7472" t="inlineStr">
        <is>
          <t>A 59004-2021</t>
        </is>
      </c>
      <c r="B7472" s="1" t="n">
        <v>44489</v>
      </c>
      <c r="C7472" s="1" t="n">
        <v>45212</v>
      </c>
      <c r="D7472" t="inlineStr">
        <is>
          <t>VÄSTRA GÖTALANDS LÄN</t>
        </is>
      </c>
      <c r="E7472" t="inlineStr">
        <is>
          <t>MARK</t>
        </is>
      </c>
      <c r="G7472" t="n">
        <v>4.3</v>
      </c>
      <c r="H7472" t="n">
        <v>0</v>
      </c>
      <c r="I7472" t="n">
        <v>0</v>
      </c>
      <c r="J7472" t="n">
        <v>0</v>
      </c>
      <c r="K7472" t="n">
        <v>0</v>
      </c>
      <c r="L7472" t="n">
        <v>0</v>
      </c>
      <c r="M7472" t="n">
        <v>0</v>
      </c>
      <c r="N7472" t="n">
        <v>0</v>
      </c>
      <c r="O7472" t="n">
        <v>0</v>
      </c>
      <c r="P7472" t="n">
        <v>0</v>
      </c>
      <c r="Q7472" t="n">
        <v>0</v>
      </c>
      <c r="R7472" s="2" t="inlineStr"/>
    </row>
    <row r="7473" ht="15" customHeight="1">
      <c r="A7473" t="inlineStr">
        <is>
          <t>A 58598-2021</t>
        </is>
      </c>
      <c r="B7473" s="1" t="n">
        <v>44489</v>
      </c>
      <c r="C7473" s="1" t="n">
        <v>45212</v>
      </c>
      <c r="D7473" t="inlineStr">
        <is>
          <t>VÄSTRA GÖTALANDS LÄN</t>
        </is>
      </c>
      <c r="E7473" t="inlineStr">
        <is>
          <t>MARIESTAD</t>
        </is>
      </c>
      <c r="F7473" t="inlineStr">
        <is>
          <t>Sveaskog</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58994-2021</t>
        </is>
      </c>
      <c r="B7474" s="1" t="n">
        <v>44489</v>
      </c>
      <c r="C7474" s="1" t="n">
        <v>45212</v>
      </c>
      <c r="D7474" t="inlineStr">
        <is>
          <t>VÄSTRA GÖTALANDS LÄN</t>
        </is>
      </c>
      <c r="E7474" t="inlineStr">
        <is>
          <t>MARK</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58704-2021</t>
        </is>
      </c>
      <c r="B7475" s="1" t="n">
        <v>44489</v>
      </c>
      <c r="C7475" s="1" t="n">
        <v>45212</v>
      </c>
      <c r="D7475" t="inlineStr">
        <is>
          <t>VÄSTRA GÖTALANDS LÄN</t>
        </is>
      </c>
      <c r="E7475" t="inlineStr">
        <is>
          <t>VÄNERSBORG</t>
        </is>
      </c>
      <c r="G7475" t="n">
        <v>8</v>
      </c>
      <c r="H7475" t="n">
        <v>0</v>
      </c>
      <c r="I7475" t="n">
        <v>0</v>
      </c>
      <c r="J7475" t="n">
        <v>0</v>
      </c>
      <c r="K7475" t="n">
        <v>0</v>
      </c>
      <c r="L7475" t="n">
        <v>0</v>
      </c>
      <c r="M7475" t="n">
        <v>0</v>
      </c>
      <c r="N7475" t="n">
        <v>0</v>
      </c>
      <c r="O7475" t="n">
        <v>0</v>
      </c>
      <c r="P7475" t="n">
        <v>0</v>
      </c>
      <c r="Q7475" t="n">
        <v>0</v>
      </c>
      <c r="R7475" s="2" t="inlineStr"/>
    </row>
    <row r="7476" ht="15" customHeight="1">
      <c r="A7476" t="inlineStr">
        <is>
          <t>A 59086-2021</t>
        </is>
      </c>
      <c r="B7476" s="1" t="n">
        <v>44490</v>
      </c>
      <c r="C7476" s="1" t="n">
        <v>45212</v>
      </c>
      <c r="D7476" t="inlineStr">
        <is>
          <t>VÄSTRA GÖTALANDS LÄN</t>
        </is>
      </c>
      <c r="E7476" t="inlineStr">
        <is>
          <t>GÖTENE</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59103-2021</t>
        </is>
      </c>
      <c r="B7477" s="1" t="n">
        <v>44490</v>
      </c>
      <c r="C7477" s="1" t="n">
        <v>45212</v>
      </c>
      <c r="D7477" t="inlineStr">
        <is>
          <t>VÄSTRA GÖTALANDS LÄN</t>
        </is>
      </c>
      <c r="E7477" t="inlineStr">
        <is>
          <t>GÖTENE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59021-2021</t>
        </is>
      </c>
      <c r="B7478" s="1" t="n">
        <v>44490</v>
      </c>
      <c r="C7478" s="1" t="n">
        <v>45212</v>
      </c>
      <c r="D7478" t="inlineStr">
        <is>
          <t>VÄSTRA GÖTALANDS LÄN</t>
        </is>
      </c>
      <c r="E7478" t="inlineStr">
        <is>
          <t>FÄRGELANDA</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59248-2021</t>
        </is>
      </c>
      <c r="B7479" s="1" t="n">
        <v>44490</v>
      </c>
      <c r="C7479" s="1" t="n">
        <v>45212</v>
      </c>
      <c r="D7479" t="inlineStr">
        <is>
          <t>VÄSTRA GÖTALANDS LÄN</t>
        </is>
      </c>
      <c r="E7479" t="inlineStr">
        <is>
          <t>KARLSBORG</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59166-2021</t>
        </is>
      </c>
      <c r="B7480" s="1" t="n">
        <v>44490</v>
      </c>
      <c r="C7480" s="1" t="n">
        <v>45212</v>
      </c>
      <c r="D7480" t="inlineStr">
        <is>
          <t>VÄSTRA GÖTALANDS LÄN</t>
        </is>
      </c>
      <c r="E7480" t="inlineStr">
        <is>
          <t>TANUM</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59564-2021</t>
        </is>
      </c>
      <c r="B7481" s="1" t="n">
        <v>44491</v>
      </c>
      <c r="C7481" s="1" t="n">
        <v>45212</v>
      </c>
      <c r="D7481" t="inlineStr">
        <is>
          <t>VÄSTRA GÖTALANDS LÄN</t>
        </is>
      </c>
      <c r="E7481" t="inlineStr">
        <is>
          <t>TRANEMO</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59335-2021</t>
        </is>
      </c>
      <c r="B7482" s="1" t="n">
        <v>44491</v>
      </c>
      <c r="C7482" s="1" t="n">
        <v>45212</v>
      </c>
      <c r="D7482" t="inlineStr">
        <is>
          <t>VÄSTRA GÖTALANDS LÄN</t>
        </is>
      </c>
      <c r="E7482" t="inlineStr">
        <is>
          <t>SVENLJUNGA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59512-2021</t>
        </is>
      </c>
      <c r="B7483" s="1" t="n">
        <v>44491</v>
      </c>
      <c r="C7483" s="1" t="n">
        <v>45212</v>
      </c>
      <c r="D7483" t="inlineStr">
        <is>
          <t>VÄSTRA GÖTALANDS LÄN</t>
        </is>
      </c>
      <c r="E7483" t="inlineStr">
        <is>
          <t>ULRICEHAMN</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59336-2021</t>
        </is>
      </c>
      <c r="B7484" s="1" t="n">
        <v>44491</v>
      </c>
      <c r="C7484" s="1" t="n">
        <v>45212</v>
      </c>
      <c r="D7484" t="inlineStr">
        <is>
          <t>VÄSTRA GÖTALANDS LÄN</t>
        </is>
      </c>
      <c r="E7484" t="inlineStr">
        <is>
          <t>BORÅS</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59631-2021</t>
        </is>
      </c>
      <c r="B7485" s="1" t="n">
        <v>44492</v>
      </c>
      <c r="C7485" s="1" t="n">
        <v>45212</v>
      </c>
      <c r="D7485" t="inlineStr">
        <is>
          <t>VÄSTRA GÖTALANDS LÄN</t>
        </is>
      </c>
      <c r="E7485" t="inlineStr">
        <is>
          <t>VÅRGÅRDA</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59887-2021</t>
        </is>
      </c>
      <c r="B7486" s="1" t="n">
        <v>44494</v>
      </c>
      <c r="C7486" s="1" t="n">
        <v>45212</v>
      </c>
      <c r="D7486" t="inlineStr">
        <is>
          <t>VÄSTRA GÖTALANDS LÄN</t>
        </is>
      </c>
      <c r="E7486" t="inlineStr">
        <is>
          <t>KARLSBORG</t>
        </is>
      </c>
      <c r="F7486" t="inlineStr">
        <is>
          <t>Övriga statliga verk och myndigheter</t>
        </is>
      </c>
      <c r="G7486" t="n">
        <v>4.4</v>
      </c>
      <c r="H7486" t="n">
        <v>0</v>
      </c>
      <c r="I7486" t="n">
        <v>0</v>
      </c>
      <c r="J7486" t="n">
        <v>0</v>
      </c>
      <c r="K7486" t="n">
        <v>0</v>
      </c>
      <c r="L7486" t="n">
        <v>0</v>
      </c>
      <c r="M7486" t="n">
        <v>0</v>
      </c>
      <c r="N7486" t="n">
        <v>0</v>
      </c>
      <c r="O7486" t="n">
        <v>0</v>
      </c>
      <c r="P7486" t="n">
        <v>0</v>
      </c>
      <c r="Q7486" t="n">
        <v>0</v>
      </c>
      <c r="R7486" s="2" t="inlineStr"/>
    </row>
    <row r="7487" ht="15" customHeight="1">
      <c r="A7487" t="inlineStr">
        <is>
          <t>A 59816-2021</t>
        </is>
      </c>
      <c r="B7487" s="1" t="n">
        <v>44494</v>
      </c>
      <c r="C7487" s="1" t="n">
        <v>45212</v>
      </c>
      <c r="D7487" t="inlineStr">
        <is>
          <t>VÄSTRA GÖTALANDS LÄN</t>
        </is>
      </c>
      <c r="E7487" t="inlineStr">
        <is>
          <t>BOLLEBYGD</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59877-2021</t>
        </is>
      </c>
      <c r="B7488" s="1" t="n">
        <v>44494</v>
      </c>
      <c r="C7488" s="1" t="n">
        <v>45212</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59842-2021</t>
        </is>
      </c>
      <c r="B7489" s="1" t="n">
        <v>44494</v>
      </c>
      <c r="C7489" s="1" t="n">
        <v>45212</v>
      </c>
      <c r="D7489" t="inlineStr">
        <is>
          <t>VÄSTRA GÖTALANDS LÄN</t>
        </is>
      </c>
      <c r="E7489" t="inlineStr">
        <is>
          <t>TANUM</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59872-2021</t>
        </is>
      </c>
      <c r="B7490" s="1" t="n">
        <v>44494</v>
      </c>
      <c r="C7490" s="1" t="n">
        <v>45212</v>
      </c>
      <c r="D7490" t="inlineStr">
        <is>
          <t>VÄSTRA GÖTALANDS LÄN</t>
        </is>
      </c>
      <c r="E7490" t="inlineStr">
        <is>
          <t>STRÖMSTAD</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59883-2021</t>
        </is>
      </c>
      <c r="B7491" s="1" t="n">
        <v>44494</v>
      </c>
      <c r="C7491" s="1" t="n">
        <v>45212</v>
      </c>
      <c r="D7491" t="inlineStr">
        <is>
          <t>VÄSTRA GÖTALANDS LÄN</t>
        </is>
      </c>
      <c r="E7491" t="inlineStr">
        <is>
          <t>KARLSBORG</t>
        </is>
      </c>
      <c r="F7491" t="inlineStr">
        <is>
          <t>Övriga statliga verk och myndigheter</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59890-2021</t>
        </is>
      </c>
      <c r="B7492" s="1" t="n">
        <v>44494</v>
      </c>
      <c r="C7492" s="1" t="n">
        <v>45212</v>
      </c>
      <c r="D7492" t="inlineStr">
        <is>
          <t>VÄSTRA GÖTALANDS LÄN</t>
        </is>
      </c>
      <c r="E7492" t="inlineStr">
        <is>
          <t>KARLSBORG</t>
        </is>
      </c>
      <c r="F7492" t="inlineStr">
        <is>
          <t>Övriga statliga verk och myndigheter</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59945-2021</t>
        </is>
      </c>
      <c r="B7493" s="1" t="n">
        <v>44494</v>
      </c>
      <c r="C7493" s="1" t="n">
        <v>45212</v>
      </c>
      <c r="D7493" t="inlineStr">
        <is>
          <t>VÄSTRA GÖTALANDS LÄN</t>
        </is>
      </c>
      <c r="E7493" t="inlineStr">
        <is>
          <t>TÖREBODA</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59712-2021</t>
        </is>
      </c>
      <c r="B7494" s="1" t="n">
        <v>44494</v>
      </c>
      <c r="C7494" s="1" t="n">
        <v>45212</v>
      </c>
      <c r="D7494" t="inlineStr">
        <is>
          <t>VÄSTRA GÖTALANDS LÄN</t>
        </is>
      </c>
      <c r="E7494" t="inlineStr">
        <is>
          <t>KARLSBORG</t>
        </is>
      </c>
      <c r="F7494" t="inlineStr">
        <is>
          <t>Sveaskog</t>
        </is>
      </c>
      <c r="G7494" t="n">
        <v>3.8</v>
      </c>
      <c r="H7494" t="n">
        <v>0</v>
      </c>
      <c r="I7494" t="n">
        <v>0</v>
      </c>
      <c r="J7494" t="n">
        <v>0</v>
      </c>
      <c r="K7494" t="n">
        <v>0</v>
      </c>
      <c r="L7494" t="n">
        <v>0</v>
      </c>
      <c r="M7494" t="n">
        <v>0</v>
      </c>
      <c r="N7494" t="n">
        <v>0</v>
      </c>
      <c r="O7494" t="n">
        <v>0</v>
      </c>
      <c r="P7494" t="n">
        <v>0</v>
      </c>
      <c r="Q7494" t="n">
        <v>0</v>
      </c>
      <c r="R7494" s="2" t="inlineStr"/>
    </row>
    <row r="7495" ht="15" customHeight="1">
      <c r="A7495" t="inlineStr">
        <is>
          <t>A 59767-2021</t>
        </is>
      </c>
      <c r="B7495" s="1" t="n">
        <v>44494</v>
      </c>
      <c r="C7495" s="1" t="n">
        <v>45212</v>
      </c>
      <c r="D7495" t="inlineStr">
        <is>
          <t>VÄSTRA GÖTALANDS LÄN</t>
        </is>
      </c>
      <c r="E7495" t="inlineStr">
        <is>
          <t>HÄRRYDA</t>
        </is>
      </c>
      <c r="G7495" t="n">
        <v>6</v>
      </c>
      <c r="H7495" t="n">
        <v>0</v>
      </c>
      <c r="I7495" t="n">
        <v>0</v>
      </c>
      <c r="J7495" t="n">
        <v>0</v>
      </c>
      <c r="K7495" t="n">
        <v>0</v>
      </c>
      <c r="L7495" t="n">
        <v>0</v>
      </c>
      <c r="M7495" t="n">
        <v>0</v>
      </c>
      <c r="N7495" t="n">
        <v>0</v>
      </c>
      <c r="O7495" t="n">
        <v>0</v>
      </c>
      <c r="P7495" t="n">
        <v>0</v>
      </c>
      <c r="Q7495" t="n">
        <v>0</v>
      </c>
      <c r="R7495" s="2" t="inlineStr"/>
    </row>
    <row r="7496" ht="15" customHeight="1">
      <c r="A7496" t="inlineStr">
        <is>
          <t>A 59779-2021</t>
        </is>
      </c>
      <c r="B7496" s="1" t="n">
        <v>44494</v>
      </c>
      <c r="C7496" s="1" t="n">
        <v>45212</v>
      </c>
      <c r="D7496" t="inlineStr">
        <is>
          <t>VÄSTRA GÖTALANDS LÄN</t>
        </is>
      </c>
      <c r="E7496" t="inlineStr">
        <is>
          <t>TRANEMO</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59884-2021</t>
        </is>
      </c>
      <c r="B7497" s="1" t="n">
        <v>44494</v>
      </c>
      <c r="C7497" s="1" t="n">
        <v>45212</v>
      </c>
      <c r="D7497" t="inlineStr">
        <is>
          <t>VÄSTRA GÖTALANDS LÄN</t>
        </is>
      </c>
      <c r="E7497" t="inlineStr">
        <is>
          <t>KARLSBORG</t>
        </is>
      </c>
      <c r="F7497" t="inlineStr">
        <is>
          <t>Övriga statliga verk och myndigheter</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59917-2021</t>
        </is>
      </c>
      <c r="B7498" s="1" t="n">
        <v>44494</v>
      </c>
      <c r="C7498" s="1" t="n">
        <v>45212</v>
      </c>
      <c r="D7498" t="inlineStr">
        <is>
          <t>VÄSTRA GÖTALANDS LÄN</t>
        </is>
      </c>
      <c r="E7498" t="inlineStr">
        <is>
          <t>STRÖMSTAD</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59931-2021</t>
        </is>
      </c>
      <c r="B7499" s="1" t="n">
        <v>44494</v>
      </c>
      <c r="C7499" s="1" t="n">
        <v>45212</v>
      </c>
      <c r="D7499" t="inlineStr">
        <is>
          <t>VÄSTRA GÖTALANDS LÄN</t>
        </is>
      </c>
      <c r="E7499" t="inlineStr">
        <is>
          <t>DALS-ED</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60117-2021</t>
        </is>
      </c>
      <c r="B7500" s="1" t="n">
        <v>44495</v>
      </c>
      <c r="C7500" s="1" t="n">
        <v>45212</v>
      </c>
      <c r="D7500" t="inlineStr">
        <is>
          <t>VÄSTRA GÖTALANDS LÄN</t>
        </is>
      </c>
      <c r="E7500" t="inlineStr">
        <is>
          <t>SKÖVDE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60390-2021</t>
        </is>
      </c>
      <c r="B7501" s="1" t="n">
        <v>44496</v>
      </c>
      <c r="C7501" s="1" t="n">
        <v>45212</v>
      </c>
      <c r="D7501" t="inlineStr">
        <is>
          <t>VÄSTRA GÖTALANDS LÄN</t>
        </is>
      </c>
      <c r="E7501" t="inlineStr">
        <is>
          <t>MARIESTAD</t>
        </is>
      </c>
      <c r="F7501" t="inlineStr">
        <is>
          <t>Sveaskog</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60654-2021</t>
        </is>
      </c>
      <c r="B7502" s="1" t="n">
        <v>44496</v>
      </c>
      <c r="C7502" s="1" t="n">
        <v>45212</v>
      </c>
      <c r="D7502" t="inlineStr">
        <is>
          <t>VÄSTRA GÖTALANDS LÄN</t>
        </is>
      </c>
      <c r="E7502" t="inlineStr">
        <is>
          <t>SKARA</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60389-2021</t>
        </is>
      </c>
      <c r="B7503" s="1" t="n">
        <v>44496</v>
      </c>
      <c r="C7503" s="1" t="n">
        <v>45212</v>
      </c>
      <c r="D7503" t="inlineStr">
        <is>
          <t>VÄSTRA GÖTALANDS LÄN</t>
        </is>
      </c>
      <c r="E7503" t="inlineStr">
        <is>
          <t>KUNGÄLV</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60880-2021</t>
        </is>
      </c>
      <c r="B7504" s="1" t="n">
        <v>44496</v>
      </c>
      <c r="C7504" s="1" t="n">
        <v>45212</v>
      </c>
      <c r="D7504" t="inlineStr">
        <is>
          <t>VÄSTRA GÖTALANDS LÄN</t>
        </is>
      </c>
      <c r="E7504" t="inlineStr">
        <is>
          <t>VÅRGÅRDA</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61223-2021</t>
        </is>
      </c>
      <c r="B7505" s="1" t="n">
        <v>44496</v>
      </c>
      <c r="C7505" s="1" t="n">
        <v>45212</v>
      </c>
      <c r="D7505" t="inlineStr">
        <is>
          <t>VÄSTRA GÖTALANDS LÄN</t>
        </is>
      </c>
      <c r="E7505" t="inlineStr">
        <is>
          <t>KARLSBORG</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60439-2021</t>
        </is>
      </c>
      <c r="B7506" s="1" t="n">
        <v>44496</v>
      </c>
      <c r="C7506" s="1" t="n">
        <v>45212</v>
      </c>
      <c r="D7506" t="inlineStr">
        <is>
          <t>VÄSTRA GÖTALANDS LÄN</t>
        </is>
      </c>
      <c r="E7506" t="inlineStr">
        <is>
          <t>SVENLJUNGA</t>
        </is>
      </c>
      <c r="G7506" t="n">
        <v>9.199999999999999</v>
      </c>
      <c r="H7506" t="n">
        <v>0</v>
      </c>
      <c r="I7506" t="n">
        <v>0</v>
      </c>
      <c r="J7506" t="n">
        <v>0</v>
      </c>
      <c r="K7506" t="n">
        <v>0</v>
      </c>
      <c r="L7506" t="n">
        <v>0</v>
      </c>
      <c r="M7506" t="n">
        <v>0</v>
      </c>
      <c r="N7506" t="n">
        <v>0</v>
      </c>
      <c r="O7506" t="n">
        <v>0</v>
      </c>
      <c r="P7506" t="n">
        <v>0</v>
      </c>
      <c r="Q7506" t="n">
        <v>0</v>
      </c>
      <c r="R7506" s="2" t="inlineStr"/>
    </row>
    <row r="7507" ht="15" customHeight="1">
      <c r="A7507" t="inlineStr">
        <is>
          <t>A 60657-2021</t>
        </is>
      </c>
      <c r="B7507" s="1" t="n">
        <v>44496</v>
      </c>
      <c r="C7507" s="1" t="n">
        <v>45212</v>
      </c>
      <c r="D7507" t="inlineStr">
        <is>
          <t>VÄSTRA GÖTALANDS LÄN</t>
        </is>
      </c>
      <c r="E7507" t="inlineStr">
        <is>
          <t>ALINGSÅS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61310-2021</t>
        </is>
      </c>
      <c r="B7508" s="1" t="n">
        <v>44496</v>
      </c>
      <c r="C7508" s="1" t="n">
        <v>45212</v>
      </c>
      <c r="D7508" t="inlineStr">
        <is>
          <t>VÄSTRA GÖTALANDS LÄN</t>
        </is>
      </c>
      <c r="E7508" t="inlineStr">
        <is>
          <t>SKÖVDE</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60337-2021</t>
        </is>
      </c>
      <c r="B7509" s="1" t="n">
        <v>44496</v>
      </c>
      <c r="C7509" s="1" t="n">
        <v>45212</v>
      </c>
      <c r="D7509" t="inlineStr">
        <is>
          <t>VÄSTRA GÖTALANDS LÄN</t>
        </is>
      </c>
      <c r="E7509" t="inlineStr">
        <is>
          <t>SVENLJUNGA</t>
        </is>
      </c>
      <c r="G7509" t="n">
        <v>9.800000000000001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60395-2021</t>
        </is>
      </c>
      <c r="B7510" s="1" t="n">
        <v>44496</v>
      </c>
      <c r="C7510" s="1" t="n">
        <v>45212</v>
      </c>
      <c r="D7510" t="inlineStr">
        <is>
          <t>VÄSTRA GÖTALANDS LÄN</t>
        </is>
      </c>
      <c r="E7510" t="inlineStr">
        <is>
          <t>KUNGÄLV</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60649-2021</t>
        </is>
      </c>
      <c r="B7511" s="1" t="n">
        <v>44496</v>
      </c>
      <c r="C7511" s="1" t="n">
        <v>45212</v>
      </c>
      <c r="D7511" t="inlineStr">
        <is>
          <t>VÄSTRA GÖTALANDS LÄN</t>
        </is>
      </c>
      <c r="E7511" t="inlineStr">
        <is>
          <t>SKARA</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60865-2021</t>
        </is>
      </c>
      <c r="B7512" s="1" t="n">
        <v>44496</v>
      </c>
      <c r="C7512" s="1" t="n">
        <v>45212</v>
      </c>
      <c r="D7512" t="inlineStr">
        <is>
          <t>VÄSTRA GÖTALANDS LÄN</t>
        </is>
      </c>
      <c r="E7512" t="inlineStr">
        <is>
          <t>VÅRGÅRDA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60857-2021</t>
        </is>
      </c>
      <c r="B7513" s="1" t="n">
        <v>44497</v>
      </c>
      <c r="C7513" s="1" t="n">
        <v>45212</v>
      </c>
      <c r="D7513" t="inlineStr">
        <is>
          <t>VÄSTRA GÖTALANDS LÄN</t>
        </is>
      </c>
      <c r="E7513" t="inlineStr">
        <is>
          <t>SVENLJUNGA</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60958-2021</t>
        </is>
      </c>
      <c r="B7514" s="1" t="n">
        <v>44497</v>
      </c>
      <c r="C7514" s="1" t="n">
        <v>45212</v>
      </c>
      <c r="D7514" t="inlineStr">
        <is>
          <t>VÄSTRA GÖTALANDS LÄN</t>
        </is>
      </c>
      <c r="E7514" t="inlineStr">
        <is>
          <t>MARK</t>
        </is>
      </c>
      <c r="F7514" t="inlineStr">
        <is>
          <t>Kyrkan</t>
        </is>
      </c>
      <c r="G7514" t="n">
        <v>3.6</v>
      </c>
      <c r="H7514" t="n">
        <v>0</v>
      </c>
      <c r="I7514" t="n">
        <v>0</v>
      </c>
      <c r="J7514" t="n">
        <v>0</v>
      </c>
      <c r="K7514" t="n">
        <v>0</v>
      </c>
      <c r="L7514" t="n">
        <v>0</v>
      </c>
      <c r="M7514" t="n">
        <v>0</v>
      </c>
      <c r="N7514" t="n">
        <v>0</v>
      </c>
      <c r="O7514" t="n">
        <v>0</v>
      </c>
      <c r="P7514" t="n">
        <v>0</v>
      </c>
      <c r="Q7514" t="n">
        <v>0</v>
      </c>
      <c r="R7514" s="2" t="inlineStr"/>
    </row>
    <row r="7515" ht="15" customHeight="1">
      <c r="A7515" t="inlineStr">
        <is>
          <t>A 60963-2021</t>
        </is>
      </c>
      <c r="B7515" s="1" t="n">
        <v>44497</v>
      </c>
      <c r="C7515" s="1" t="n">
        <v>45212</v>
      </c>
      <c r="D7515" t="inlineStr">
        <is>
          <t>VÄSTRA GÖTALANDS LÄN</t>
        </is>
      </c>
      <c r="E7515" t="inlineStr">
        <is>
          <t>MARK</t>
        </is>
      </c>
      <c r="F7515" t="inlineStr">
        <is>
          <t>Kyrkan</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60987-2021</t>
        </is>
      </c>
      <c r="B7516" s="1" t="n">
        <v>44497</v>
      </c>
      <c r="C7516" s="1" t="n">
        <v>45212</v>
      </c>
      <c r="D7516" t="inlineStr">
        <is>
          <t>VÄSTRA GÖTALANDS LÄN</t>
        </is>
      </c>
      <c r="E7516" t="inlineStr">
        <is>
          <t>VÄNERSBORG</t>
        </is>
      </c>
      <c r="G7516" t="n">
        <v>0.5</v>
      </c>
      <c r="H7516" t="n">
        <v>0</v>
      </c>
      <c r="I7516" t="n">
        <v>0</v>
      </c>
      <c r="J7516" t="n">
        <v>0</v>
      </c>
      <c r="K7516" t="n">
        <v>0</v>
      </c>
      <c r="L7516" t="n">
        <v>0</v>
      </c>
      <c r="M7516" t="n">
        <v>0</v>
      </c>
      <c r="N7516" t="n">
        <v>0</v>
      </c>
      <c r="O7516" t="n">
        <v>0</v>
      </c>
      <c r="P7516" t="n">
        <v>0</v>
      </c>
      <c r="Q7516" t="n">
        <v>0</v>
      </c>
      <c r="R7516" s="2" t="inlineStr"/>
    </row>
    <row r="7517" ht="15" customHeight="1">
      <c r="A7517" t="inlineStr">
        <is>
          <t>A 61046-2021</t>
        </is>
      </c>
      <c r="B7517" s="1" t="n">
        <v>44497</v>
      </c>
      <c r="C7517" s="1" t="n">
        <v>45212</v>
      </c>
      <c r="D7517" t="inlineStr">
        <is>
          <t>VÄSTRA GÖTALANDS LÄN</t>
        </is>
      </c>
      <c r="E7517" t="inlineStr">
        <is>
          <t>SVENLJUNGA</t>
        </is>
      </c>
      <c r="G7517" t="n">
        <v>2.8</v>
      </c>
      <c r="H7517" t="n">
        <v>0</v>
      </c>
      <c r="I7517" t="n">
        <v>0</v>
      </c>
      <c r="J7517" t="n">
        <v>0</v>
      </c>
      <c r="K7517" t="n">
        <v>0</v>
      </c>
      <c r="L7517" t="n">
        <v>0</v>
      </c>
      <c r="M7517" t="n">
        <v>0</v>
      </c>
      <c r="N7517" t="n">
        <v>0</v>
      </c>
      <c r="O7517" t="n">
        <v>0</v>
      </c>
      <c r="P7517" t="n">
        <v>0</v>
      </c>
      <c r="Q7517" t="n">
        <v>0</v>
      </c>
      <c r="R7517" s="2" t="inlineStr"/>
    </row>
    <row r="7518" ht="15" customHeight="1">
      <c r="A7518" t="inlineStr">
        <is>
          <t>A 60859-2021</t>
        </is>
      </c>
      <c r="B7518" s="1" t="n">
        <v>44497</v>
      </c>
      <c r="C7518" s="1" t="n">
        <v>45212</v>
      </c>
      <c r="D7518" t="inlineStr">
        <is>
          <t>VÄSTRA GÖTALANDS LÄN</t>
        </is>
      </c>
      <c r="E7518" t="inlineStr">
        <is>
          <t>MUNKEDAL</t>
        </is>
      </c>
      <c r="F7518" t="inlineStr">
        <is>
          <t>Kyrkan</t>
        </is>
      </c>
      <c r="G7518" t="n">
        <v>3.9</v>
      </c>
      <c r="H7518" t="n">
        <v>0</v>
      </c>
      <c r="I7518" t="n">
        <v>0</v>
      </c>
      <c r="J7518" t="n">
        <v>0</v>
      </c>
      <c r="K7518" t="n">
        <v>0</v>
      </c>
      <c r="L7518" t="n">
        <v>0</v>
      </c>
      <c r="M7518" t="n">
        <v>0</v>
      </c>
      <c r="N7518" t="n">
        <v>0</v>
      </c>
      <c r="O7518" t="n">
        <v>0</v>
      </c>
      <c r="P7518" t="n">
        <v>0</v>
      </c>
      <c r="Q7518" t="n">
        <v>0</v>
      </c>
      <c r="R7518" s="2" t="inlineStr"/>
    </row>
    <row r="7519" ht="15" customHeight="1">
      <c r="A7519" t="inlineStr">
        <is>
          <t>A 61053-2021</t>
        </is>
      </c>
      <c r="B7519" s="1" t="n">
        <v>44497</v>
      </c>
      <c r="C7519" s="1" t="n">
        <v>45212</v>
      </c>
      <c r="D7519" t="inlineStr">
        <is>
          <t>VÄSTRA GÖTALANDS LÄN</t>
        </is>
      </c>
      <c r="E7519" t="inlineStr">
        <is>
          <t>FALKÖPING</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61074-2021</t>
        </is>
      </c>
      <c r="B7520" s="1" t="n">
        <v>44497</v>
      </c>
      <c r="C7520" s="1" t="n">
        <v>45212</v>
      </c>
      <c r="D7520" t="inlineStr">
        <is>
          <t>VÄSTRA GÖTALANDS LÄN</t>
        </is>
      </c>
      <c r="E7520" t="inlineStr">
        <is>
          <t>ULRICEHAMN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60967-2021</t>
        </is>
      </c>
      <c r="B7521" s="1" t="n">
        <v>44497</v>
      </c>
      <c r="C7521" s="1" t="n">
        <v>45212</v>
      </c>
      <c r="D7521" t="inlineStr">
        <is>
          <t>VÄSTRA GÖTALANDS LÄN</t>
        </is>
      </c>
      <c r="E7521" t="inlineStr">
        <is>
          <t>MARK</t>
        </is>
      </c>
      <c r="F7521" t="inlineStr">
        <is>
          <t>Kyrkan</t>
        </is>
      </c>
      <c r="G7521" t="n">
        <v>6.3</v>
      </c>
      <c r="H7521" t="n">
        <v>0</v>
      </c>
      <c r="I7521" t="n">
        <v>0</v>
      </c>
      <c r="J7521" t="n">
        <v>0</v>
      </c>
      <c r="K7521" t="n">
        <v>0</v>
      </c>
      <c r="L7521" t="n">
        <v>0</v>
      </c>
      <c r="M7521" t="n">
        <v>0</v>
      </c>
      <c r="N7521" t="n">
        <v>0</v>
      </c>
      <c r="O7521" t="n">
        <v>0</v>
      </c>
      <c r="P7521" t="n">
        <v>0</v>
      </c>
      <c r="Q7521" t="n">
        <v>0</v>
      </c>
      <c r="R7521" s="2" t="inlineStr"/>
    </row>
    <row r="7522" ht="15" customHeight="1">
      <c r="A7522" t="inlineStr">
        <is>
          <t>A 60840-2021</t>
        </is>
      </c>
      <c r="B7522" s="1" t="n">
        <v>44497</v>
      </c>
      <c r="C7522" s="1" t="n">
        <v>45212</v>
      </c>
      <c r="D7522" t="inlineStr">
        <is>
          <t>VÄSTRA GÖTALANDS LÄN</t>
        </is>
      </c>
      <c r="E7522" t="inlineStr">
        <is>
          <t>SKARA</t>
        </is>
      </c>
      <c r="G7522" t="n">
        <v>4.6</v>
      </c>
      <c r="H7522" t="n">
        <v>0</v>
      </c>
      <c r="I7522" t="n">
        <v>0</v>
      </c>
      <c r="J7522" t="n">
        <v>0</v>
      </c>
      <c r="K7522" t="n">
        <v>0</v>
      </c>
      <c r="L7522" t="n">
        <v>0</v>
      </c>
      <c r="M7522" t="n">
        <v>0</v>
      </c>
      <c r="N7522" t="n">
        <v>0</v>
      </c>
      <c r="O7522" t="n">
        <v>0</v>
      </c>
      <c r="P7522" t="n">
        <v>0</v>
      </c>
      <c r="Q7522" t="n">
        <v>0</v>
      </c>
      <c r="R7522" s="2" t="inlineStr"/>
    </row>
    <row r="7523" ht="15" customHeight="1">
      <c r="A7523" t="inlineStr">
        <is>
          <t>A 61042-2021</t>
        </is>
      </c>
      <c r="B7523" s="1" t="n">
        <v>44497</v>
      </c>
      <c r="C7523" s="1" t="n">
        <v>45212</v>
      </c>
      <c r="D7523" t="inlineStr">
        <is>
          <t>VÄSTRA GÖTALANDS LÄN</t>
        </is>
      </c>
      <c r="E7523" t="inlineStr">
        <is>
          <t>VÄNERSBORG</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61212-2021</t>
        </is>
      </c>
      <c r="B7524" s="1" t="n">
        <v>44498</v>
      </c>
      <c r="C7524" s="1" t="n">
        <v>45212</v>
      </c>
      <c r="D7524" t="inlineStr">
        <is>
          <t>VÄSTRA GÖTALANDS LÄN</t>
        </is>
      </c>
      <c r="E7524" t="inlineStr">
        <is>
          <t>LYSEKIL</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61334-2021</t>
        </is>
      </c>
      <c r="B7525" s="1" t="n">
        <v>44498</v>
      </c>
      <c r="C7525" s="1" t="n">
        <v>45212</v>
      </c>
      <c r="D7525" t="inlineStr">
        <is>
          <t>VÄSTRA GÖTALANDS LÄN</t>
        </is>
      </c>
      <c r="E7525" t="inlineStr">
        <is>
          <t>UDDEVALLA</t>
        </is>
      </c>
      <c r="G7525" t="n">
        <v>1.1</v>
      </c>
      <c r="H7525" t="n">
        <v>0</v>
      </c>
      <c r="I7525" t="n">
        <v>0</v>
      </c>
      <c r="J7525" t="n">
        <v>0</v>
      </c>
      <c r="K7525" t="n">
        <v>0</v>
      </c>
      <c r="L7525" t="n">
        <v>0</v>
      </c>
      <c r="M7525" t="n">
        <v>0</v>
      </c>
      <c r="N7525" t="n">
        <v>0</v>
      </c>
      <c r="O7525" t="n">
        <v>0</v>
      </c>
      <c r="P7525" t="n">
        <v>0</v>
      </c>
      <c r="Q7525" t="n">
        <v>0</v>
      </c>
      <c r="R7525" s="2" t="inlineStr"/>
    </row>
    <row r="7526" ht="15" customHeight="1">
      <c r="A7526" t="inlineStr">
        <is>
          <t>A 61796-2021</t>
        </is>
      </c>
      <c r="B7526" s="1" t="n">
        <v>44498</v>
      </c>
      <c r="C7526" s="1" t="n">
        <v>45212</v>
      </c>
      <c r="D7526" t="inlineStr">
        <is>
          <t>VÄSTRA GÖTALANDS LÄN</t>
        </is>
      </c>
      <c r="E7526" t="inlineStr">
        <is>
          <t>GULLSPÅNG</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61148-2021</t>
        </is>
      </c>
      <c r="B7527" s="1" t="n">
        <v>44498</v>
      </c>
      <c r="C7527" s="1" t="n">
        <v>45212</v>
      </c>
      <c r="D7527" t="inlineStr">
        <is>
          <t>VÄSTRA GÖTALANDS LÄN</t>
        </is>
      </c>
      <c r="E7527" t="inlineStr">
        <is>
          <t>GÖTENE</t>
        </is>
      </c>
      <c r="G7527" t="n">
        <v>0.3</v>
      </c>
      <c r="H7527" t="n">
        <v>0</v>
      </c>
      <c r="I7527" t="n">
        <v>0</v>
      </c>
      <c r="J7527" t="n">
        <v>0</v>
      </c>
      <c r="K7527" t="n">
        <v>0</v>
      </c>
      <c r="L7527" t="n">
        <v>0</v>
      </c>
      <c r="M7527" t="n">
        <v>0</v>
      </c>
      <c r="N7527" t="n">
        <v>0</v>
      </c>
      <c r="O7527" t="n">
        <v>0</v>
      </c>
      <c r="P7527" t="n">
        <v>0</v>
      </c>
      <c r="Q7527" t="n">
        <v>0</v>
      </c>
      <c r="R7527" s="2" t="inlineStr"/>
    </row>
    <row r="7528" ht="15" customHeight="1">
      <c r="A7528" t="inlineStr">
        <is>
          <t>A 61092-2021</t>
        </is>
      </c>
      <c r="B7528" s="1" t="n">
        <v>44498</v>
      </c>
      <c r="C7528" s="1" t="n">
        <v>45212</v>
      </c>
      <c r="D7528" t="inlineStr">
        <is>
          <t>VÄSTRA GÖTALANDS LÄN</t>
        </is>
      </c>
      <c r="E7528" t="inlineStr">
        <is>
          <t>ÅMÅL</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61207-2021</t>
        </is>
      </c>
      <c r="B7529" s="1" t="n">
        <v>44498</v>
      </c>
      <c r="C7529" s="1" t="n">
        <v>45212</v>
      </c>
      <c r="D7529" t="inlineStr">
        <is>
          <t>VÄSTRA GÖTALANDS LÄN</t>
        </is>
      </c>
      <c r="E7529" t="inlineStr">
        <is>
          <t>ÅMÅL</t>
        </is>
      </c>
      <c r="G7529" t="n">
        <v>0.1</v>
      </c>
      <c r="H7529" t="n">
        <v>0</v>
      </c>
      <c r="I7529" t="n">
        <v>0</v>
      </c>
      <c r="J7529" t="n">
        <v>0</v>
      </c>
      <c r="K7529" t="n">
        <v>0</v>
      </c>
      <c r="L7529" t="n">
        <v>0</v>
      </c>
      <c r="M7529" t="n">
        <v>0</v>
      </c>
      <c r="N7529" t="n">
        <v>0</v>
      </c>
      <c r="O7529" t="n">
        <v>0</v>
      </c>
      <c r="P7529" t="n">
        <v>0</v>
      </c>
      <c r="Q7529" t="n">
        <v>0</v>
      </c>
      <c r="R7529" s="2" t="inlineStr"/>
    </row>
    <row r="7530" ht="15" customHeight="1">
      <c r="A7530" t="inlineStr">
        <is>
          <t>A 61896-2021</t>
        </is>
      </c>
      <c r="B7530" s="1" t="n">
        <v>44499</v>
      </c>
      <c r="C7530" s="1" t="n">
        <v>45212</v>
      </c>
      <c r="D7530" t="inlineStr">
        <is>
          <t>VÄSTRA GÖTALANDS LÄN</t>
        </is>
      </c>
      <c r="E7530" t="inlineStr">
        <is>
          <t>STRÖMSTAD</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61698-2021</t>
        </is>
      </c>
      <c r="B7531" s="1" t="n">
        <v>44501</v>
      </c>
      <c r="C7531" s="1" t="n">
        <v>45212</v>
      </c>
      <c r="D7531" t="inlineStr">
        <is>
          <t>VÄSTRA GÖTALANDS LÄN</t>
        </is>
      </c>
      <c r="E7531" t="inlineStr">
        <is>
          <t>FÄRGELANDA</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61826-2021</t>
        </is>
      </c>
      <c r="B7532" s="1" t="n">
        <v>44501</v>
      </c>
      <c r="C7532" s="1" t="n">
        <v>45212</v>
      </c>
      <c r="D7532" t="inlineStr">
        <is>
          <t>VÄSTRA GÖTALANDS LÄN</t>
        </is>
      </c>
      <c r="E7532" t="inlineStr">
        <is>
          <t>VÄNERSBORG</t>
        </is>
      </c>
      <c r="G7532" t="n">
        <v>1.5</v>
      </c>
      <c r="H7532" t="n">
        <v>0</v>
      </c>
      <c r="I7532" t="n">
        <v>0</v>
      </c>
      <c r="J7532" t="n">
        <v>0</v>
      </c>
      <c r="K7532" t="n">
        <v>0</v>
      </c>
      <c r="L7532" t="n">
        <v>0</v>
      </c>
      <c r="M7532" t="n">
        <v>0</v>
      </c>
      <c r="N7532" t="n">
        <v>0</v>
      </c>
      <c r="O7532" t="n">
        <v>0</v>
      </c>
      <c r="P7532" t="n">
        <v>0</v>
      </c>
      <c r="Q7532" t="n">
        <v>0</v>
      </c>
      <c r="R7532" s="2" t="inlineStr"/>
    </row>
    <row r="7533" ht="15" customHeight="1">
      <c r="A7533" t="inlineStr">
        <is>
          <t>A 62124-2021</t>
        </is>
      </c>
      <c r="B7533" s="1" t="n">
        <v>44501</v>
      </c>
      <c r="C7533" s="1" t="n">
        <v>45212</v>
      </c>
      <c r="D7533" t="inlineStr">
        <is>
          <t>VÄSTRA GÖTALANDS LÄN</t>
        </is>
      </c>
      <c r="E7533" t="inlineStr">
        <is>
          <t>VÅRGÅRDA</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61486-2021</t>
        </is>
      </c>
      <c r="B7534" s="1" t="n">
        <v>44501</v>
      </c>
      <c r="C7534" s="1" t="n">
        <v>45212</v>
      </c>
      <c r="D7534" t="inlineStr">
        <is>
          <t>VÄSTRA GÖTALANDS LÄN</t>
        </is>
      </c>
      <c r="E7534" t="inlineStr">
        <is>
          <t>MARK</t>
        </is>
      </c>
      <c r="G7534" t="n">
        <v>9</v>
      </c>
      <c r="H7534" t="n">
        <v>0</v>
      </c>
      <c r="I7534" t="n">
        <v>0</v>
      </c>
      <c r="J7534" t="n">
        <v>0</v>
      </c>
      <c r="K7534" t="n">
        <v>0</v>
      </c>
      <c r="L7534" t="n">
        <v>0</v>
      </c>
      <c r="M7534" t="n">
        <v>0</v>
      </c>
      <c r="N7534" t="n">
        <v>0</v>
      </c>
      <c r="O7534" t="n">
        <v>0</v>
      </c>
      <c r="P7534" t="n">
        <v>0</v>
      </c>
      <c r="Q7534" t="n">
        <v>0</v>
      </c>
      <c r="R7534" s="2" t="inlineStr"/>
    </row>
    <row r="7535" ht="15" customHeight="1">
      <c r="A7535" t="inlineStr">
        <is>
          <t>A 61908-2021</t>
        </is>
      </c>
      <c r="B7535" s="1" t="n">
        <v>44501</v>
      </c>
      <c r="C7535" s="1" t="n">
        <v>45212</v>
      </c>
      <c r="D7535" t="inlineStr">
        <is>
          <t>VÄSTRA GÖTALANDS LÄN</t>
        </is>
      </c>
      <c r="E7535" t="inlineStr">
        <is>
          <t>ULRICEHAMN</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62027-2021</t>
        </is>
      </c>
      <c r="B7536" s="1" t="n">
        <v>44501</v>
      </c>
      <c r="C7536" s="1" t="n">
        <v>45212</v>
      </c>
      <c r="D7536" t="inlineStr">
        <is>
          <t>VÄSTRA GÖTALANDS LÄN</t>
        </is>
      </c>
      <c r="E7536" t="inlineStr">
        <is>
          <t>BORÅS</t>
        </is>
      </c>
      <c r="G7536" t="n">
        <v>4.2</v>
      </c>
      <c r="H7536" t="n">
        <v>0</v>
      </c>
      <c r="I7536" t="n">
        <v>0</v>
      </c>
      <c r="J7536" t="n">
        <v>0</v>
      </c>
      <c r="K7536" t="n">
        <v>0</v>
      </c>
      <c r="L7536" t="n">
        <v>0</v>
      </c>
      <c r="M7536" t="n">
        <v>0</v>
      </c>
      <c r="N7536" t="n">
        <v>0</v>
      </c>
      <c r="O7536" t="n">
        <v>0</v>
      </c>
      <c r="P7536" t="n">
        <v>0</v>
      </c>
      <c r="Q7536" t="n">
        <v>0</v>
      </c>
      <c r="R7536" s="2" t="inlineStr"/>
    </row>
    <row r="7537" ht="15" customHeight="1">
      <c r="A7537" t="inlineStr">
        <is>
          <t>A 61682-2021</t>
        </is>
      </c>
      <c r="B7537" s="1" t="n">
        <v>44501</v>
      </c>
      <c r="C7537" s="1" t="n">
        <v>45212</v>
      </c>
      <c r="D7537" t="inlineStr">
        <is>
          <t>VÄSTRA GÖTALANDS LÄN</t>
        </is>
      </c>
      <c r="E7537" t="inlineStr">
        <is>
          <t>TROLLHÄTTAN</t>
        </is>
      </c>
      <c r="G7537" t="n">
        <v>4.1</v>
      </c>
      <c r="H7537" t="n">
        <v>0</v>
      </c>
      <c r="I7537" t="n">
        <v>0</v>
      </c>
      <c r="J7537" t="n">
        <v>0</v>
      </c>
      <c r="K7537" t="n">
        <v>0</v>
      </c>
      <c r="L7537" t="n">
        <v>0</v>
      </c>
      <c r="M7537" t="n">
        <v>0</v>
      </c>
      <c r="N7537" t="n">
        <v>0</v>
      </c>
      <c r="O7537" t="n">
        <v>0</v>
      </c>
      <c r="P7537" t="n">
        <v>0</v>
      </c>
      <c r="Q7537" t="n">
        <v>0</v>
      </c>
      <c r="R7537" s="2" t="inlineStr"/>
    </row>
    <row r="7538" ht="15" customHeight="1">
      <c r="A7538" t="inlineStr">
        <is>
          <t>A 62049-2021</t>
        </is>
      </c>
      <c r="B7538" s="1" t="n">
        <v>44501</v>
      </c>
      <c r="C7538" s="1" t="n">
        <v>45212</v>
      </c>
      <c r="D7538" t="inlineStr">
        <is>
          <t>VÄSTRA GÖTALANDS LÄN</t>
        </is>
      </c>
      <c r="E7538" t="inlineStr">
        <is>
          <t>VÅRGÅRDA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61994-2021</t>
        </is>
      </c>
      <c r="B7539" s="1" t="n">
        <v>44502</v>
      </c>
      <c r="C7539" s="1" t="n">
        <v>45212</v>
      </c>
      <c r="D7539" t="inlineStr">
        <is>
          <t>VÄSTRA GÖTALANDS LÄN</t>
        </is>
      </c>
      <c r="E7539" t="inlineStr">
        <is>
          <t>TRANEMO</t>
        </is>
      </c>
      <c r="F7539" t="inlineStr">
        <is>
          <t>Sveaskog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61975-2021</t>
        </is>
      </c>
      <c r="B7540" s="1" t="n">
        <v>44502</v>
      </c>
      <c r="C7540" s="1" t="n">
        <v>45212</v>
      </c>
      <c r="D7540" t="inlineStr">
        <is>
          <t>VÄSTRA GÖTALANDS LÄN</t>
        </is>
      </c>
      <c r="E7540" t="inlineStr">
        <is>
          <t>TIBRO</t>
        </is>
      </c>
      <c r="F7540" t="inlineStr">
        <is>
          <t>Kommuner</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62007-2021</t>
        </is>
      </c>
      <c r="B7541" s="1" t="n">
        <v>44502</v>
      </c>
      <c r="C7541" s="1" t="n">
        <v>45212</v>
      </c>
      <c r="D7541" t="inlineStr">
        <is>
          <t>VÄSTRA GÖTALANDS LÄN</t>
        </is>
      </c>
      <c r="E7541" t="inlineStr">
        <is>
          <t>STENUNGSUND</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62710-2021</t>
        </is>
      </c>
      <c r="B7542" s="1" t="n">
        <v>44502</v>
      </c>
      <c r="C7542" s="1" t="n">
        <v>45212</v>
      </c>
      <c r="D7542" t="inlineStr">
        <is>
          <t>VÄSTRA GÖTALANDS LÄN</t>
        </is>
      </c>
      <c r="E7542" t="inlineStr">
        <is>
          <t>ESSUNGA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62128-2021</t>
        </is>
      </c>
      <c r="B7543" s="1" t="n">
        <v>44502</v>
      </c>
      <c r="C7543" s="1" t="n">
        <v>45212</v>
      </c>
      <c r="D7543" t="inlineStr">
        <is>
          <t>VÄSTRA GÖTALANDS LÄN</t>
        </is>
      </c>
      <c r="E7543" t="inlineStr">
        <is>
          <t>KUNGÄLV</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61986-2021</t>
        </is>
      </c>
      <c r="B7544" s="1" t="n">
        <v>44502</v>
      </c>
      <c r="C7544" s="1" t="n">
        <v>45212</v>
      </c>
      <c r="D7544" t="inlineStr">
        <is>
          <t>VÄSTRA GÖTALANDS LÄN</t>
        </is>
      </c>
      <c r="E7544" t="inlineStr">
        <is>
          <t>TIBRO</t>
        </is>
      </c>
      <c r="F7544" t="inlineStr">
        <is>
          <t>Kommuner</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62303-2021</t>
        </is>
      </c>
      <c r="B7545" s="1" t="n">
        <v>44503</v>
      </c>
      <c r="C7545" s="1" t="n">
        <v>45212</v>
      </c>
      <c r="D7545" t="inlineStr">
        <is>
          <t>VÄSTRA GÖTALANDS LÄN</t>
        </is>
      </c>
      <c r="E7545" t="inlineStr">
        <is>
          <t>DALS-ED</t>
        </is>
      </c>
      <c r="F7545" t="inlineStr">
        <is>
          <t>Kyrkan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62339-2021</t>
        </is>
      </c>
      <c r="B7546" s="1" t="n">
        <v>44503</v>
      </c>
      <c r="C7546" s="1" t="n">
        <v>45212</v>
      </c>
      <c r="D7546" t="inlineStr">
        <is>
          <t>VÄSTRA GÖTALANDS LÄN</t>
        </is>
      </c>
      <c r="E7546" t="inlineStr">
        <is>
          <t>TÖREBODA</t>
        </is>
      </c>
      <c r="G7546" t="n">
        <v>5.1</v>
      </c>
      <c r="H7546" t="n">
        <v>0</v>
      </c>
      <c r="I7546" t="n">
        <v>0</v>
      </c>
      <c r="J7546" t="n">
        <v>0</v>
      </c>
      <c r="K7546" t="n">
        <v>0</v>
      </c>
      <c r="L7546" t="n">
        <v>0</v>
      </c>
      <c r="M7546" t="n">
        <v>0</v>
      </c>
      <c r="N7546" t="n">
        <v>0</v>
      </c>
      <c r="O7546" t="n">
        <v>0</v>
      </c>
      <c r="P7546" t="n">
        <v>0</v>
      </c>
      <c r="Q7546" t="n">
        <v>0</v>
      </c>
      <c r="R7546" s="2" t="inlineStr"/>
    </row>
    <row r="7547" ht="15" customHeight="1">
      <c r="A7547" t="inlineStr">
        <is>
          <t>A 62633-2021</t>
        </is>
      </c>
      <c r="B7547" s="1" t="n">
        <v>44503</v>
      </c>
      <c r="C7547" s="1" t="n">
        <v>45212</v>
      </c>
      <c r="D7547" t="inlineStr">
        <is>
          <t>VÄSTRA GÖTALANDS LÄN</t>
        </is>
      </c>
      <c r="E7547" t="inlineStr">
        <is>
          <t>TÖREBODA</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62701-2021</t>
        </is>
      </c>
      <c r="B7548" s="1" t="n">
        <v>44503</v>
      </c>
      <c r="C7548" s="1" t="n">
        <v>45212</v>
      </c>
      <c r="D7548" t="inlineStr">
        <is>
          <t>VÄSTRA GÖTALANDS LÄN</t>
        </is>
      </c>
      <c r="E7548" t="inlineStr">
        <is>
          <t>STENUNGSUND</t>
        </is>
      </c>
      <c r="F7548" t="inlineStr">
        <is>
          <t>Kyrkan</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62473-2021</t>
        </is>
      </c>
      <c r="B7549" s="1" t="n">
        <v>44503</v>
      </c>
      <c r="C7549" s="1" t="n">
        <v>45212</v>
      </c>
      <c r="D7549" t="inlineStr">
        <is>
          <t>VÄSTRA GÖTALANDS LÄN</t>
        </is>
      </c>
      <c r="E7549" t="inlineStr">
        <is>
          <t>TANUM</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62503-2021</t>
        </is>
      </c>
      <c r="B7550" s="1" t="n">
        <v>44503</v>
      </c>
      <c r="C7550" s="1" t="n">
        <v>45212</v>
      </c>
      <c r="D7550" t="inlineStr">
        <is>
          <t>VÄSTRA GÖTALANDS LÄN</t>
        </is>
      </c>
      <c r="E7550" t="inlineStr">
        <is>
          <t>ESSUNGA</t>
        </is>
      </c>
      <c r="G7550" t="n">
        <v>3.3</v>
      </c>
      <c r="H7550" t="n">
        <v>0</v>
      </c>
      <c r="I7550" t="n">
        <v>0</v>
      </c>
      <c r="J7550" t="n">
        <v>0</v>
      </c>
      <c r="K7550" t="n">
        <v>0</v>
      </c>
      <c r="L7550" t="n">
        <v>0</v>
      </c>
      <c r="M7550" t="n">
        <v>0</v>
      </c>
      <c r="N7550" t="n">
        <v>0</v>
      </c>
      <c r="O7550" t="n">
        <v>0</v>
      </c>
      <c r="P7550" t="n">
        <v>0</v>
      </c>
      <c r="Q7550" t="n">
        <v>0</v>
      </c>
      <c r="R7550" s="2" t="inlineStr"/>
    </row>
    <row r="7551" ht="15" customHeight="1">
      <c r="A7551" t="inlineStr">
        <is>
          <t>A 62527-2021</t>
        </is>
      </c>
      <c r="B7551" s="1" t="n">
        <v>44503</v>
      </c>
      <c r="C7551" s="1" t="n">
        <v>45212</v>
      </c>
      <c r="D7551" t="inlineStr">
        <is>
          <t>VÄSTRA GÖTALANDS LÄN</t>
        </is>
      </c>
      <c r="E7551" t="inlineStr">
        <is>
          <t>LIDKÖPING</t>
        </is>
      </c>
      <c r="G7551" t="n">
        <v>22.6</v>
      </c>
      <c r="H7551" t="n">
        <v>0</v>
      </c>
      <c r="I7551" t="n">
        <v>0</v>
      </c>
      <c r="J7551" t="n">
        <v>0</v>
      </c>
      <c r="K7551" t="n">
        <v>0</v>
      </c>
      <c r="L7551" t="n">
        <v>0</v>
      </c>
      <c r="M7551" t="n">
        <v>0</v>
      </c>
      <c r="N7551" t="n">
        <v>0</v>
      </c>
      <c r="O7551" t="n">
        <v>0</v>
      </c>
      <c r="P7551" t="n">
        <v>0</v>
      </c>
      <c r="Q7551" t="n">
        <v>0</v>
      </c>
      <c r="R7551" s="2" t="inlineStr"/>
    </row>
    <row r="7552" ht="15" customHeight="1">
      <c r="A7552" t="inlineStr">
        <is>
          <t>A 62409-2021</t>
        </is>
      </c>
      <c r="B7552" s="1" t="n">
        <v>44503</v>
      </c>
      <c r="C7552" s="1" t="n">
        <v>45212</v>
      </c>
      <c r="D7552" t="inlineStr">
        <is>
          <t>VÄSTRA GÖTALANDS LÄN</t>
        </is>
      </c>
      <c r="E7552" t="inlineStr">
        <is>
          <t>FALKÖPING</t>
        </is>
      </c>
      <c r="F7552" t="inlineStr">
        <is>
          <t>Naturvårdsverket</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62536-2021</t>
        </is>
      </c>
      <c r="B7553" s="1" t="n">
        <v>44503</v>
      </c>
      <c r="C7553" s="1" t="n">
        <v>45212</v>
      </c>
      <c r="D7553" t="inlineStr">
        <is>
          <t>VÄSTRA GÖTALANDS LÄN</t>
        </is>
      </c>
      <c r="E7553" t="inlineStr">
        <is>
          <t>ESSUNGA</t>
        </is>
      </c>
      <c r="G7553" t="n">
        <v>5.1</v>
      </c>
      <c r="H7553" t="n">
        <v>0</v>
      </c>
      <c r="I7553" t="n">
        <v>0</v>
      </c>
      <c r="J7553" t="n">
        <v>0</v>
      </c>
      <c r="K7553" t="n">
        <v>0</v>
      </c>
      <c r="L7553" t="n">
        <v>0</v>
      </c>
      <c r="M7553" t="n">
        <v>0</v>
      </c>
      <c r="N7553" t="n">
        <v>0</v>
      </c>
      <c r="O7553" t="n">
        <v>0</v>
      </c>
      <c r="P7553" t="n">
        <v>0</v>
      </c>
      <c r="Q7553" t="n">
        <v>0</v>
      </c>
      <c r="R7553" s="2" t="inlineStr"/>
    </row>
    <row r="7554" ht="15" customHeight="1">
      <c r="A7554" t="inlineStr">
        <is>
          <t>A 62632-2021</t>
        </is>
      </c>
      <c r="B7554" s="1" t="n">
        <v>44503</v>
      </c>
      <c r="C7554" s="1" t="n">
        <v>45212</v>
      </c>
      <c r="D7554" t="inlineStr">
        <is>
          <t>VÄSTRA GÖTALANDS LÄN</t>
        </is>
      </c>
      <c r="E7554" t="inlineStr">
        <is>
          <t>TÖREBODA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62849-2021</t>
        </is>
      </c>
      <c r="B7555" s="1" t="n">
        <v>44504</v>
      </c>
      <c r="C7555" s="1" t="n">
        <v>45212</v>
      </c>
      <c r="D7555" t="inlineStr">
        <is>
          <t>VÄSTRA GÖTALANDS LÄN</t>
        </is>
      </c>
      <c r="E7555" t="inlineStr">
        <is>
          <t>DALS-ED</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62884-2021</t>
        </is>
      </c>
      <c r="B7556" s="1" t="n">
        <v>44504</v>
      </c>
      <c r="C7556" s="1" t="n">
        <v>45212</v>
      </c>
      <c r="D7556" t="inlineStr">
        <is>
          <t>VÄSTRA GÖTALANDS LÄN</t>
        </is>
      </c>
      <c r="E7556" t="inlineStr">
        <is>
          <t>GÖTEBORG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62992-2021</t>
        </is>
      </c>
      <c r="B7557" s="1" t="n">
        <v>44504</v>
      </c>
      <c r="C7557" s="1" t="n">
        <v>45212</v>
      </c>
      <c r="D7557" t="inlineStr">
        <is>
          <t>VÄSTRA GÖTALANDS LÄN</t>
        </is>
      </c>
      <c r="E7557" t="inlineStr">
        <is>
          <t>VARA</t>
        </is>
      </c>
      <c r="G7557" t="n">
        <v>0.7</v>
      </c>
      <c r="H7557" t="n">
        <v>0</v>
      </c>
      <c r="I7557" t="n">
        <v>0</v>
      </c>
      <c r="J7557" t="n">
        <v>0</v>
      </c>
      <c r="K7557" t="n">
        <v>0</v>
      </c>
      <c r="L7557" t="n">
        <v>0</v>
      </c>
      <c r="M7557" t="n">
        <v>0</v>
      </c>
      <c r="N7557" t="n">
        <v>0</v>
      </c>
      <c r="O7557" t="n">
        <v>0</v>
      </c>
      <c r="P7557" t="n">
        <v>0</v>
      </c>
      <c r="Q7557" t="n">
        <v>0</v>
      </c>
      <c r="R7557" s="2" t="inlineStr"/>
    </row>
    <row r="7558" ht="15" customHeight="1">
      <c r="A7558" t="inlineStr">
        <is>
          <t>A 62751-2021</t>
        </is>
      </c>
      <c r="B7558" s="1" t="n">
        <v>44504</v>
      </c>
      <c r="C7558" s="1" t="n">
        <v>45212</v>
      </c>
      <c r="D7558" t="inlineStr">
        <is>
          <t>VÄSTRA GÖTALANDS LÄN</t>
        </is>
      </c>
      <c r="E7558" t="inlineStr">
        <is>
          <t>FÄRGELANDA</t>
        </is>
      </c>
      <c r="G7558" t="n">
        <v>7.1</v>
      </c>
      <c r="H7558" t="n">
        <v>0</v>
      </c>
      <c r="I7558" t="n">
        <v>0</v>
      </c>
      <c r="J7558" t="n">
        <v>0</v>
      </c>
      <c r="K7558" t="n">
        <v>0</v>
      </c>
      <c r="L7558" t="n">
        <v>0</v>
      </c>
      <c r="M7558" t="n">
        <v>0</v>
      </c>
      <c r="N7558" t="n">
        <v>0</v>
      </c>
      <c r="O7558" t="n">
        <v>0</v>
      </c>
      <c r="P7558" t="n">
        <v>0</v>
      </c>
      <c r="Q7558" t="n">
        <v>0</v>
      </c>
      <c r="R7558" s="2" t="inlineStr"/>
    </row>
    <row r="7559" ht="15" customHeight="1">
      <c r="A7559" t="inlineStr">
        <is>
          <t>A 62837-2021</t>
        </is>
      </c>
      <c r="B7559" s="1" t="n">
        <v>44504</v>
      </c>
      <c r="C7559" s="1" t="n">
        <v>45212</v>
      </c>
      <c r="D7559" t="inlineStr">
        <is>
          <t>VÄSTRA GÖTALANDS LÄN</t>
        </is>
      </c>
      <c r="E7559" t="inlineStr">
        <is>
          <t>TANUM</t>
        </is>
      </c>
      <c r="G7559" t="n">
        <v>6</v>
      </c>
      <c r="H7559" t="n">
        <v>0</v>
      </c>
      <c r="I7559" t="n">
        <v>0</v>
      </c>
      <c r="J7559" t="n">
        <v>0</v>
      </c>
      <c r="K7559" t="n">
        <v>0</v>
      </c>
      <c r="L7559" t="n">
        <v>0</v>
      </c>
      <c r="M7559" t="n">
        <v>0</v>
      </c>
      <c r="N7559" t="n">
        <v>0</v>
      </c>
      <c r="O7559" t="n">
        <v>0</v>
      </c>
      <c r="P7559" t="n">
        <v>0</v>
      </c>
      <c r="Q7559" t="n">
        <v>0</v>
      </c>
      <c r="R7559" s="2" t="inlineStr"/>
    </row>
    <row r="7560" ht="15" customHeight="1">
      <c r="A7560" t="inlineStr">
        <is>
          <t>A 62946-2021</t>
        </is>
      </c>
      <c r="B7560" s="1" t="n">
        <v>44504</v>
      </c>
      <c r="C7560" s="1" t="n">
        <v>45212</v>
      </c>
      <c r="D7560" t="inlineStr">
        <is>
          <t>VÄSTRA GÖTALANDS LÄN</t>
        </is>
      </c>
      <c r="E7560" t="inlineStr">
        <is>
          <t>BORÅS</t>
        </is>
      </c>
      <c r="G7560" t="n">
        <v>5.6</v>
      </c>
      <c r="H7560" t="n">
        <v>0</v>
      </c>
      <c r="I7560" t="n">
        <v>0</v>
      </c>
      <c r="J7560" t="n">
        <v>0</v>
      </c>
      <c r="K7560" t="n">
        <v>0</v>
      </c>
      <c r="L7560" t="n">
        <v>0</v>
      </c>
      <c r="M7560" t="n">
        <v>0</v>
      </c>
      <c r="N7560" t="n">
        <v>0</v>
      </c>
      <c r="O7560" t="n">
        <v>0</v>
      </c>
      <c r="P7560" t="n">
        <v>0</v>
      </c>
      <c r="Q7560" t="n">
        <v>0</v>
      </c>
      <c r="R7560" s="2" t="inlineStr"/>
    </row>
    <row r="7561" ht="15" customHeight="1">
      <c r="A7561" t="inlineStr">
        <is>
          <t>A 63683-2021</t>
        </is>
      </c>
      <c r="B7561" s="1" t="n">
        <v>44504</v>
      </c>
      <c r="C7561" s="1" t="n">
        <v>45212</v>
      </c>
      <c r="D7561" t="inlineStr">
        <is>
          <t>VÄSTRA GÖTALANDS LÄN</t>
        </is>
      </c>
      <c r="E7561" t="inlineStr">
        <is>
          <t>ÅMÅL</t>
        </is>
      </c>
      <c r="G7561" t="n">
        <v>4.5</v>
      </c>
      <c r="H7561" t="n">
        <v>0</v>
      </c>
      <c r="I7561" t="n">
        <v>0</v>
      </c>
      <c r="J7561" t="n">
        <v>0</v>
      </c>
      <c r="K7561" t="n">
        <v>0</v>
      </c>
      <c r="L7561" t="n">
        <v>0</v>
      </c>
      <c r="M7561" t="n">
        <v>0</v>
      </c>
      <c r="N7561" t="n">
        <v>0</v>
      </c>
      <c r="O7561" t="n">
        <v>0</v>
      </c>
      <c r="P7561" t="n">
        <v>0</v>
      </c>
      <c r="Q7561" t="n">
        <v>0</v>
      </c>
      <c r="R7561" s="2" t="inlineStr"/>
    </row>
    <row r="7562" ht="15" customHeight="1">
      <c r="A7562" t="inlineStr">
        <is>
          <t>A 62988-2021</t>
        </is>
      </c>
      <c r="B7562" s="1" t="n">
        <v>44505</v>
      </c>
      <c r="C7562" s="1" t="n">
        <v>45212</v>
      </c>
      <c r="D7562" t="inlineStr">
        <is>
          <t>VÄSTRA GÖTALANDS LÄN</t>
        </is>
      </c>
      <c r="E7562" t="inlineStr">
        <is>
          <t>VARA</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63101-2021</t>
        </is>
      </c>
      <c r="B7563" s="1" t="n">
        <v>44505</v>
      </c>
      <c r="C7563" s="1" t="n">
        <v>45212</v>
      </c>
      <c r="D7563" t="inlineStr">
        <is>
          <t>VÄSTRA GÖTALANDS LÄN</t>
        </is>
      </c>
      <c r="E7563" t="inlineStr">
        <is>
          <t>MARK</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63214-2021</t>
        </is>
      </c>
      <c r="B7564" s="1" t="n">
        <v>44505</v>
      </c>
      <c r="C7564" s="1" t="n">
        <v>45212</v>
      </c>
      <c r="D7564" t="inlineStr">
        <is>
          <t>VÄSTRA GÖTALANDS LÄN</t>
        </is>
      </c>
      <c r="E7564" t="inlineStr">
        <is>
          <t>ÅMÅL</t>
        </is>
      </c>
      <c r="G7564" t="n">
        <v>4</v>
      </c>
      <c r="H7564" t="n">
        <v>0</v>
      </c>
      <c r="I7564" t="n">
        <v>0</v>
      </c>
      <c r="J7564" t="n">
        <v>0</v>
      </c>
      <c r="K7564" t="n">
        <v>0</v>
      </c>
      <c r="L7564" t="n">
        <v>0</v>
      </c>
      <c r="M7564" t="n">
        <v>0</v>
      </c>
      <c r="N7564" t="n">
        <v>0</v>
      </c>
      <c r="O7564" t="n">
        <v>0</v>
      </c>
      <c r="P7564" t="n">
        <v>0</v>
      </c>
      <c r="Q7564" t="n">
        <v>0</v>
      </c>
      <c r="R7564" s="2" t="inlineStr"/>
    </row>
    <row r="7565" ht="15" customHeight="1">
      <c r="A7565" t="inlineStr">
        <is>
          <t>A 63068-2021</t>
        </is>
      </c>
      <c r="B7565" s="1" t="n">
        <v>44505</v>
      </c>
      <c r="C7565" s="1" t="n">
        <v>45212</v>
      </c>
      <c r="D7565" t="inlineStr">
        <is>
          <t>VÄSTRA GÖTALANDS LÄN</t>
        </is>
      </c>
      <c r="E7565" t="inlineStr">
        <is>
          <t>BENGTSFORS</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63142-2021</t>
        </is>
      </c>
      <c r="B7566" s="1" t="n">
        <v>44505</v>
      </c>
      <c r="C7566" s="1" t="n">
        <v>45212</v>
      </c>
      <c r="D7566" t="inlineStr">
        <is>
          <t>VÄSTRA GÖTALANDS LÄN</t>
        </is>
      </c>
      <c r="E7566" t="inlineStr">
        <is>
          <t>VÅRGÅRDA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63323-2021</t>
        </is>
      </c>
      <c r="B7567" s="1" t="n">
        <v>44506</v>
      </c>
      <c r="C7567" s="1" t="n">
        <v>45212</v>
      </c>
      <c r="D7567" t="inlineStr">
        <is>
          <t>VÄSTRA GÖTALANDS LÄN</t>
        </is>
      </c>
      <c r="E7567" t="inlineStr">
        <is>
          <t>TANUM</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63357-2021</t>
        </is>
      </c>
      <c r="B7568" s="1" t="n">
        <v>44506</v>
      </c>
      <c r="C7568" s="1" t="n">
        <v>45212</v>
      </c>
      <c r="D7568" t="inlineStr">
        <is>
          <t>VÄSTRA GÖTALANDS LÄN</t>
        </is>
      </c>
      <c r="E7568" t="inlineStr">
        <is>
          <t>TANUM</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63170-2021</t>
        </is>
      </c>
      <c r="B7569" s="1" t="n">
        <v>44506</v>
      </c>
      <c r="C7569" s="1" t="n">
        <v>45212</v>
      </c>
      <c r="D7569" t="inlineStr">
        <is>
          <t>VÄSTRA GÖTALANDS LÄN</t>
        </is>
      </c>
      <c r="E7569" t="inlineStr">
        <is>
          <t>ULRICEHAMN</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63326-2021</t>
        </is>
      </c>
      <c r="B7570" s="1" t="n">
        <v>44506</v>
      </c>
      <c r="C7570" s="1" t="n">
        <v>45212</v>
      </c>
      <c r="D7570" t="inlineStr">
        <is>
          <t>VÄSTRA GÖTALANDS LÄN</t>
        </is>
      </c>
      <c r="E7570" t="inlineStr">
        <is>
          <t>TANUM</t>
        </is>
      </c>
      <c r="G7570" t="n">
        <v>5</v>
      </c>
      <c r="H7570" t="n">
        <v>0</v>
      </c>
      <c r="I7570" t="n">
        <v>0</v>
      </c>
      <c r="J7570" t="n">
        <v>0</v>
      </c>
      <c r="K7570" t="n">
        <v>0</v>
      </c>
      <c r="L7570" t="n">
        <v>0</v>
      </c>
      <c r="M7570" t="n">
        <v>0</v>
      </c>
      <c r="N7570" t="n">
        <v>0</v>
      </c>
      <c r="O7570" t="n">
        <v>0</v>
      </c>
      <c r="P7570" t="n">
        <v>0</v>
      </c>
      <c r="Q7570" t="n">
        <v>0</v>
      </c>
      <c r="R7570" s="2" t="inlineStr"/>
    </row>
    <row r="7571" ht="15" customHeight="1">
      <c r="A7571" t="inlineStr">
        <is>
          <t>A 63363-2021</t>
        </is>
      </c>
      <c r="B7571" s="1" t="n">
        <v>44506</v>
      </c>
      <c r="C7571" s="1" t="n">
        <v>45212</v>
      </c>
      <c r="D7571" t="inlineStr">
        <is>
          <t>VÄSTRA GÖTALANDS LÄN</t>
        </is>
      </c>
      <c r="E7571" t="inlineStr">
        <is>
          <t>TANUM</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63333-2021</t>
        </is>
      </c>
      <c r="B7572" s="1" t="n">
        <v>44506</v>
      </c>
      <c r="C7572" s="1" t="n">
        <v>45212</v>
      </c>
      <c r="D7572" t="inlineStr">
        <is>
          <t>VÄSTRA GÖTALANDS LÄN</t>
        </is>
      </c>
      <c r="E7572" t="inlineStr">
        <is>
          <t>TANUM</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63341-2021</t>
        </is>
      </c>
      <c r="B7573" s="1" t="n">
        <v>44506</v>
      </c>
      <c r="C7573" s="1" t="n">
        <v>45212</v>
      </c>
      <c r="D7573" t="inlineStr">
        <is>
          <t>VÄSTRA GÖTALANDS LÄN</t>
        </is>
      </c>
      <c r="E7573" t="inlineStr">
        <is>
          <t>TANUM</t>
        </is>
      </c>
      <c r="G7573" t="n">
        <v>0.9</v>
      </c>
      <c r="H7573" t="n">
        <v>0</v>
      </c>
      <c r="I7573" t="n">
        <v>0</v>
      </c>
      <c r="J7573" t="n">
        <v>0</v>
      </c>
      <c r="K7573" t="n">
        <v>0</v>
      </c>
      <c r="L7573" t="n">
        <v>0</v>
      </c>
      <c r="M7573" t="n">
        <v>0</v>
      </c>
      <c r="N7573" t="n">
        <v>0</v>
      </c>
      <c r="O7573" t="n">
        <v>0</v>
      </c>
      <c r="P7573" t="n">
        <v>0</v>
      </c>
      <c r="Q7573" t="n">
        <v>0</v>
      </c>
      <c r="R7573" s="2" t="inlineStr"/>
    </row>
    <row r="7574" ht="15" customHeight="1">
      <c r="A7574" t="inlineStr">
        <is>
          <t>A 63370-2021</t>
        </is>
      </c>
      <c r="B7574" s="1" t="n">
        <v>44506</v>
      </c>
      <c r="C7574" s="1" t="n">
        <v>45212</v>
      </c>
      <c r="D7574" t="inlineStr">
        <is>
          <t>VÄSTRA GÖTALANDS LÄN</t>
        </is>
      </c>
      <c r="E7574" t="inlineStr">
        <is>
          <t>TANUM</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63198-2021</t>
        </is>
      </c>
      <c r="B7575" s="1" t="n">
        <v>44507</v>
      </c>
      <c r="C7575" s="1" t="n">
        <v>45212</v>
      </c>
      <c r="D7575" t="inlineStr">
        <is>
          <t>VÄSTRA GÖTALANDS LÄN</t>
        </is>
      </c>
      <c r="E7575" t="inlineStr">
        <is>
          <t>GÖTENE</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63182-2021</t>
        </is>
      </c>
      <c r="B7576" s="1" t="n">
        <v>44507</v>
      </c>
      <c r="C7576" s="1" t="n">
        <v>45212</v>
      </c>
      <c r="D7576" t="inlineStr">
        <is>
          <t>VÄSTRA GÖTALANDS LÄN</t>
        </is>
      </c>
      <c r="E7576" t="inlineStr">
        <is>
          <t>TÖREBODA</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63383-2021</t>
        </is>
      </c>
      <c r="B7577" s="1" t="n">
        <v>44508</v>
      </c>
      <c r="C7577" s="1" t="n">
        <v>45212</v>
      </c>
      <c r="D7577" t="inlineStr">
        <is>
          <t>VÄSTRA GÖTALANDS LÄN</t>
        </is>
      </c>
      <c r="E7577" t="inlineStr">
        <is>
          <t>TIDAHOLM</t>
        </is>
      </c>
      <c r="G7577" t="n">
        <v>5</v>
      </c>
      <c r="H7577" t="n">
        <v>0</v>
      </c>
      <c r="I7577" t="n">
        <v>0</v>
      </c>
      <c r="J7577" t="n">
        <v>0</v>
      </c>
      <c r="K7577" t="n">
        <v>0</v>
      </c>
      <c r="L7577" t="n">
        <v>0</v>
      </c>
      <c r="M7577" t="n">
        <v>0</v>
      </c>
      <c r="N7577" t="n">
        <v>0</v>
      </c>
      <c r="O7577" t="n">
        <v>0</v>
      </c>
      <c r="P7577" t="n">
        <v>0</v>
      </c>
      <c r="Q7577" t="n">
        <v>0</v>
      </c>
      <c r="R7577" s="2" t="inlineStr"/>
    </row>
    <row r="7578" ht="15" customHeight="1">
      <c r="A7578" t="inlineStr">
        <is>
          <t>A 64052-2021</t>
        </is>
      </c>
      <c r="B7578" s="1" t="n">
        <v>44508</v>
      </c>
      <c r="C7578" s="1" t="n">
        <v>45212</v>
      </c>
      <c r="D7578" t="inlineStr">
        <is>
          <t>VÄSTRA GÖTALANDS LÄN</t>
        </is>
      </c>
      <c r="E7578" t="inlineStr">
        <is>
          <t>TÖREBODA</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63257-2021</t>
        </is>
      </c>
      <c r="B7579" s="1" t="n">
        <v>44508</v>
      </c>
      <c r="C7579" s="1" t="n">
        <v>45212</v>
      </c>
      <c r="D7579" t="inlineStr">
        <is>
          <t>VÄSTRA GÖTALANDS LÄN</t>
        </is>
      </c>
      <c r="E7579" t="inlineStr">
        <is>
          <t>HJO</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63358-2021</t>
        </is>
      </c>
      <c r="B7580" s="1" t="n">
        <v>44508</v>
      </c>
      <c r="C7580" s="1" t="n">
        <v>45212</v>
      </c>
      <c r="D7580" t="inlineStr">
        <is>
          <t>VÄSTRA GÖTALANDS LÄN</t>
        </is>
      </c>
      <c r="E7580" t="inlineStr">
        <is>
          <t>TÖREBODA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63401-2021</t>
        </is>
      </c>
      <c r="B7581" s="1" t="n">
        <v>44508</v>
      </c>
      <c r="C7581" s="1" t="n">
        <v>45212</v>
      </c>
      <c r="D7581" t="inlineStr">
        <is>
          <t>VÄSTRA GÖTALANDS LÄN</t>
        </is>
      </c>
      <c r="E7581" t="inlineStr">
        <is>
          <t>BENGTSFORS</t>
        </is>
      </c>
      <c r="G7581" t="n">
        <v>0.4</v>
      </c>
      <c r="H7581" t="n">
        <v>0</v>
      </c>
      <c r="I7581" t="n">
        <v>0</v>
      </c>
      <c r="J7581" t="n">
        <v>0</v>
      </c>
      <c r="K7581" t="n">
        <v>0</v>
      </c>
      <c r="L7581" t="n">
        <v>0</v>
      </c>
      <c r="M7581" t="n">
        <v>0</v>
      </c>
      <c r="N7581" t="n">
        <v>0</v>
      </c>
      <c r="O7581" t="n">
        <v>0</v>
      </c>
      <c r="P7581" t="n">
        <v>0</v>
      </c>
      <c r="Q7581" t="n">
        <v>0</v>
      </c>
      <c r="R7581" s="2" t="inlineStr"/>
    </row>
    <row r="7582" ht="15" customHeight="1">
      <c r="A7582" t="inlineStr">
        <is>
          <t>A 63539-2021</t>
        </is>
      </c>
      <c r="B7582" s="1" t="n">
        <v>44508</v>
      </c>
      <c r="C7582" s="1" t="n">
        <v>45212</v>
      </c>
      <c r="D7582" t="inlineStr">
        <is>
          <t>VÄSTRA GÖTALANDS LÄN</t>
        </is>
      </c>
      <c r="E7582" t="inlineStr">
        <is>
          <t>MELLERUD</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63596-2021</t>
        </is>
      </c>
      <c r="B7583" s="1" t="n">
        <v>44508</v>
      </c>
      <c r="C7583" s="1" t="n">
        <v>45212</v>
      </c>
      <c r="D7583" t="inlineStr">
        <is>
          <t>VÄSTRA GÖTALANDS LÄN</t>
        </is>
      </c>
      <c r="E7583" t="inlineStr">
        <is>
          <t>HÄRRYDA</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63222-2021</t>
        </is>
      </c>
      <c r="B7584" s="1" t="n">
        <v>44508</v>
      </c>
      <c r="C7584" s="1" t="n">
        <v>45212</v>
      </c>
      <c r="D7584" t="inlineStr">
        <is>
          <t>VÄSTRA GÖTALANDS LÄN</t>
        </is>
      </c>
      <c r="E7584" t="inlineStr">
        <is>
          <t>TANUM</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63378-2021</t>
        </is>
      </c>
      <c r="B7585" s="1" t="n">
        <v>44508</v>
      </c>
      <c r="C7585" s="1" t="n">
        <v>45212</v>
      </c>
      <c r="D7585" t="inlineStr">
        <is>
          <t>VÄSTRA GÖTALANDS LÄN</t>
        </is>
      </c>
      <c r="E7585" t="inlineStr">
        <is>
          <t>TIDAHOLM</t>
        </is>
      </c>
      <c r="G7585" t="n">
        <v>6</v>
      </c>
      <c r="H7585" t="n">
        <v>0</v>
      </c>
      <c r="I7585" t="n">
        <v>0</v>
      </c>
      <c r="J7585" t="n">
        <v>0</v>
      </c>
      <c r="K7585" t="n">
        <v>0</v>
      </c>
      <c r="L7585" t="n">
        <v>0</v>
      </c>
      <c r="M7585" t="n">
        <v>0</v>
      </c>
      <c r="N7585" t="n">
        <v>0</v>
      </c>
      <c r="O7585" t="n">
        <v>0</v>
      </c>
      <c r="P7585" t="n">
        <v>0</v>
      </c>
      <c r="Q7585" t="n">
        <v>0</v>
      </c>
      <c r="R7585" s="2" t="inlineStr"/>
    </row>
    <row r="7586" ht="15" customHeight="1">
      <c r="A7586" t="inlineStr">
        <is>
          <t>A 63592-2021</t>
        </is>
      </c>
      <c r="B7586" s="1" t="n">
        <v>44508</v>
      </c>
      <c r="C7586" s="1" t="n">
        <v>45212</v>
      </c>
      <c r="D7586" t="inlineStr">
        <is>
          <t>VÄSTRA GÖTALANDS LÄN</t>
        </is>
      </c>
      <c r="E7586" t="inlineStr">
        <is>
          <t>HÄRRYDA</t>
        </is>
      </c>
      <c r="G7586" t="n">
        <v>8.699999999999999</v>
      </c>
      <c r="H7586" t="n">
        <v>0</v>
      </c>
      <c r="I7586" t="n">
        <v>0</v>
      </c>
      <c r="J7586" t="n">
        <v>0</v>
      </c>
      <c r="K7586" t="n">
        <v>0</v>
      </c>
      <c r="L7586" t="n">
        <v>0</v>
      </c>
      <c r="M7586" t="n">
        <v>0</v>
      </c>
      <c r="N7586" t="n">
        <v>0</v>
      </c>
      <c r="O7586" t="n">
        <v>0</v>
      </c>
      <c r="P7586" t="n">
        <v>0</v>
      </c>
      <c r="Q7586" t="n">
        <v>0</v>
      </c>
      <c r="R7586" s="2" t="inlineStr"/>
    </row>
    <row r="7587" ht="15" customHeight="1">
      <c r="A7587" t="inlineStr">
        <is>
          <t>A 63734-2021</t>
        </is>
      </c>
      <c r="B7587" s="1" t="n">
        <v>44508</v>
      </c>
      <c r="C7587" s="1" t="n">
        <v>45212</v>
      </c>
      <c r="D7587" t="inlineStr">
        <is>
          <t>VÄSTRA GÖTALANDS LÄN</t>
        </is>
      </c>
      <c r="E7587" t="inlineStr">
        <is>
          <t>BENGTSFORS</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63248-2021</t>
        </is>
      </c>
      <c r="B7588" s="1" t="n">
        <v>44508</v>
      </c>
      <c r="C7588" s="1" t="n">
        <v>45212</v>
      </c>
      <c r="D7588" t="inlineStr">
        <is>
          <t>VÄSTRA GÖTALANDS LÄN</t>
        </is>
      </c>
      <c r="E7588" t="inlineStr">
        <is>
          <t>HJO</t>
        </is>
      </c>
      <c r="G7588" t="n">
        <v>1.6</v>
      </c>
      <c r="H7588" t="n">
        <v>0</v>
      </c>
      <c r="I7588" t="n">
        <v>0</v>
      </c>
      <c r="J7588" t="n">
        <v>0</v>
      </c>
      <c r="K7588" t="n">
        <v>0</v>
      </c>
      <c r="L7588" t="n">
        <v>0</v>
      </c>
      <c r="M7588" t="n">
        <v>0</v>
      </c>
      <c r="N7588" t="n">
        <v>0</v>
      </c>
      <c r="O7588" t="n">
        <v>0</v>
      </c>
      <c r="P7588" t="n">
        <v>0</v>
      </c>
      <c r="Q7588" t="n">
        <v>0</v>
      </c>
      <c r="R7588" s="2" t="inlineStr"/>
    </row>
    <row r="7589" ht="15" customHeight="1">
      <c r="A7589" t="inlineStr">
        <is>
          <t>A 63395-2021</t>
        </is>
      </c>
      <c r="B7589" s="1" t="n">
        <v>44508</v>
      </c>
      <c r="C7589" s="1" t="n">
        <v>45212</v>
      </c>
      <c r="D7589" t="inlineStr">
        <is>
          <t>VÄSTRA GÖTALANDS LÄN</t>
        </is>
      </c>
      <c r="E7589" t="inlineStr">
        <is>
          <t>VÄNERSBORG</t>
        </is>
      </c>
      <c r="G7589" t="n">
        <v>2.4</v>
      </c>
      <c r="H7589" t="n">
        <v>0</v>
      </c>
      <c r="I7589" t="n">
        <v>0</v>
      </c>
      <c r="J7589" t="n">
        <v>0</v>
      </c>
      <c r="K7589" t="n">
        <v>0</v>
      </c>
      <c r="L7589" t="n">
        <v>0</v>
      </c>
      <c r="M7589" t="n">
        <v>0</v>
      </c>
      <c r="N7589" t="n">
        <v>0</v>
      </c>
      <c r="O7589" t="n">
        <v>0</v>
      </c>
      <c r="P7589" t="n">
        <v>0</v>
      </c>
      <c r="Q7589" t="n">
        <v>0</v>
      </c>
      <c r="R7589" s="2" t="inlineStr"/>
    </row>
    <row r="7590" ht="15" customHeight="1">
      <c r="A7590" t="inlineStr">
        <is>
          <t>A 63595-2021</t>
        </is>
      </c>
      <c r="B7590" s="1" t="n">
        <v>44508</v>
      </c>
      <c r="C7590" s="1" t="n">
        <v>45212</v>
      </c>
      <c r="D7590" t="inlineStr">
        <is>
          <t>VÄSTRA GÖTALANDS LÄN</t>
        </is>
      </c>
      <c r="E7590" t="inlineStr">
        <is>
          <t>HÄRRYDA</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63749-2021</t>
        </is>
      </c>
      <c r="B7591" s="1" t="n">
        <v>44509</v>
      </c>
      <c r="C7591" s="1" t="n">
        <v>45212</v>
      </c>
      <c r="D7591" t="inlineStr">
        <is>
          <t>VÄSTRA GÖTALANDS LÄN</t>
        </is>
      </c>
      <c r="E7591" t="inlineStr">
        <is>
          <t>TÖREBODA</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63772-2021</t>
        </is>
      </c>
      <c r="B7592" s="1" t="n">
        <v>44509</v>
      </c>
      <c r="C7592" s="1" t="n">
        <v>45212</v>
      </c>
      <c r="D7592" t="inlineStr">
        <is>
          <t>VÄSTRA GÖTALANDS LÄN</t>
        </is>
      </c>
      <c r="E7592" t="inlineStr">
        <is>
          <t>TÖREBODA</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63878-2021</t>
        </is>
      </c>
      <c r="B7593" s="1" t="n">
        <v>44509</v>
      </c>
      <c r="C7593" s="1" t="n">
        <v>45212</v>
      </c>
      <c r="D7593" t="inlineStr">
        <is>
          <t>VÄSTRA GÖTALANDS LÄN</t>
        </is>
      </c>
      <c r="E7593" t="inlineStr">
        <is>
          <t>UDDEVALLA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63901-2021</t>
        </is>
      </c>
      <c r="B7594" s="1" t="n">
        <v>44509</v>
      </c>
      <c r="C7594" s="1" t="n">
        <v>45212</v>
      </c>
      <c r="D7594" t="inlineStr">
        <is>
          <t>VÄSTRA GÖTALANDS LÄN</t>
        </is>
      </c>
      <c r="E7594" t="inlineStr">
        <is>
          <t>MUNKEDAL</t>
        </is>
      </c>
      <c r="G7594" t="n">
        <v>3.6</v>
      </c>
      <c r="H7594" t="n">
        <v>0</v>
      </c>
      <c r="I7594" t="n">
        <v>0</v>
      </c>
      <c r="J7594" t="n">
        <v>0</v>
      </c>
      <c r="K7594" t="n">
        <v>0</v>
      </c>
      <c r="L7594" t="n">
        <v>0</v>
      </c>
      <c r="M7594" t="n">
        <v>0</v>
      </c>
      <c r="N7594" t="n">
        <v>0</v>
      </c>
      <c r="O7594" t="n">
        <v>0</v>
      </c>
      <c r="P7594" t="n">
        <v>0</v>
      </c>
      <c r="Q7594" t="n">
        <v>0</v>
      </c>
      <c r="R7594" s="2" t="inlineStr"/>
    </row>
    <row r="7595" ht="15" customHeight="1">
      <c r="A7595" t="inlineStr">
        <is>
          <t>A 63950-2021</t>
        </is>
      </c>
      <c r="B7595" s="1" t="n">
        <v>44509</v>
      </c>
      <c r="C7595" s="1" t="n">
        <v>45212</v>
      </c>
      <c r="D7595" t="inlineStr">
        <is>
          <t>VÄSTRA GÖTALANDS LÄN</t>
        </is>
      </c>
      <c r="E7595" t="inlineStr">
        <is>
          <t>TIDAHOLM</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63823-2021</t>
        </is>
      </c>
      <c r="B7596" s="1" t="n">
        <v>44509</v>
      </c>
      <c r="C7596" s="1" t="n">
        <v>45212</v>
      </c>
      <c r="D7596" t="inlineStr">
        <is>
          <t>VÄSTRA GÖTALANDS LÄN</t>
        </is>
      </c>
      <c r="E7596" t="inlineStr">
        <is>
          <t>MELLERUD</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63785-2021</t>
        </is>
      </c>
      <c r="B7597" s="1" t="n">
        <v>44509</v>
      </c>
      <c r="C7597" s="1" t="n">
        <v>45212</v>
      </c>
      <c r="D7597" t="inlineStr">
        <is>
          <t>VÄSTRA GÖTALANDS LÄN</t>
        </is>
      </c>
      <c r="E7597" t="inlineStr">
        <is>
          <t>TRANEMO</t>
        </is>
      </c>
      <c r="G7597" t="n">
        <v>1.4</v>
      </c>
      <c r="H7597" t="n">
        <v>0</v>
      </c>
      <c r="I7597" t="n">
        <v>0</v>
      </c>
      <c r="J7597" t="n">
        <v>0</v>
      </c>
      <c r="K7597" t="n">
        <v>0</v>
      </c>
      <c r="L7597" t="n">
        <v>0</v>
      </c>
      <c r="M7597" t="n">
        <v>0</v>
      </c>
      <c r="N7597" t="n">
        <v>0</v>
      </c>
      <c r="O7597" t="n">
        <v>0</v>
      </c>
      <c r="P7597" t="n">
        <v>0</v>
      </c>
      <c r="Q7597" t="n">
        <v>0</v>
      </c>
      <c r="R7597" s="2" t="inlineStr"/>
    </row>
    <row r="7598" ht="15" customHeight="1">
      <c r="A7598" t="inlineStr">
        <is>
          <t>A 64067-2021</t>
        </is>
      </c>
      <c r="B7598" s="1" t="n">
        <v>44509</v>
      </c>
      <c r="C7598" s="1" t="n">
        <v>45212</v>
      </c>
      <c r="D7598" t="inlineStr">
        <is>
          <t>VÄSTRA GÖTALANDS LÄN</t>
        </is>
      </c>
      <c r="E7598" t="inlineStr">
        <is>
          <t>ÅMÅL</t>
        </is>
      </c>
      <c r="F7598" t="inlineStr">
        <is>
          <t>Bergvik skog väst AB</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63778-2021</t>
        </is>
      </c>
      <c r="B7599" s="1" t="n">
        <v>44509</v>
      </c>
      <c r="C7599" s="1" t="n">
        <v>45212</v>
      </c>
      <c r="D7599" t="inlineStr">
        <is>
          <t>VÄSTRA GÖTALANDS LÄN</t>
        </is>
      </c>
      <c r="E7599" t="inlineStr">
        <is>
          <t>TÖREBODA</t>
        </is>
      </c>
      <c r="G7599" t="n">
        <v>2.1</v>
      </c>
      <c r="H7599" t="n">
        <v>0</v>
      </c>
      <c r="I7599" t="n">
        <v>0</v>
      </c>
      <c r="J7599" t="n">
        <v>0</v>
      </c>
      <c r="K7599" t="n">
        <v>0</v>
      </c>
      <c r="L7599" t="n">
        <v>0</v>
      </c>
      <c r="M7599" t="n">
        <v>0</v>
      </c>
      <c r="N7599" t="n">
        <v>0</v>
      </c>
      <c r="O7599" t="n">
        <v>0</v>
      </c>
      <c r="P7599" t="n">
        <v>0</v>
      </c>
      <c r="Q7599" t="n">
        <v>0</v>
      </c>
      <c r="R7599" s="2" t="inlineStr"/>
    </row>
    <row r="7600" ht="15" customHeight="1">
      <c r="A7600" t="inlineStr">
        <is>
          <t>A 64140-2021</t>
        </is>
      </c>
      <c r="B7600" s="1" t="n">
        <v>44510</v>
      </c>
      <c r="C7600" s="1" t="n">
        <v>45212</v>
      </c>
      <c r="D7600" t="inlineStr">
        <is>
          <t>VÄSTRA GÖTALANDS LÄN</t>
        </is>
      </c>
      <c r="E7600" t="inlineStr">
        <is>
          <t>MARK</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64199-2021</t>
        </is>
      </c>
      <c r="B7601" s="1" t="n">
        <v>44510</v>
      </c>
      <c r="C7601" s="1" t="n">
        <v>45212</v>
      </c>
      <c r="D7601" t="inlineStr">
        <is>
          <t>VÄSTRA GÖTALANDS LÄN</t>
        </is>
      </c>
      <c r="E7601" t="inlineStr">
        <is>
          <t>ALE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64020-2021</t>
        </is>
      </c>
      <c r="B7602" s="1" t="n">
        <v>44510</v>
      </c>
      <c r="C7602" s="1" t="n">
        <v>45212</v>
      </c>
      <c r="D7602" t="inlineStr">
        <is>
          <t>VÄSTRA GÖTALANDS LÄN</t>
        </is>
      </c>
      <c r="E7602" t="inlineStr">
        <is>
          <t>STRÖMSTAD</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64211-2021</t>
        </is>
      </c>
      <c r="B7603" s="1" t="n">
        <v>44510</v>
      </c>
      <c r="C7603" s="1" t="n">
        <v>45212</v>
      </c>
      <c r="D7603" t="inlineStr">
        <is>
          <t>VÄSTRA GÖTALANDS LÄN</t>
        </is>
      </c>
      <c r="E7603" t="inlineStr">
        <is>
          <t>ALINGSÅS</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64223-2021</t>
        </is>
      </c>
      <c r="B7604" s="1" t="n">
        <v>44510</v>
      </c>
      <c r="C7604" s="1" t="n">
        <v>45212</v>
      </c>
      <c r="D7604" t="inlineStr">
        <is>
          <t>VÄSTRA GÖTALANDS LÄN</t>
        </is>
      </c>
      <c r="E7604" t="inlineStr">
        <is>
          <t>BORÅS</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64389-2021</t>
        </is>
      </c>
      <c r="B7605" s="1" t="n">
        <v>44511</v>
      </c>
      <c r="C7605" s="1" t="n">
        <v>45212</v>
      </c>
      <c r="D7605" t="inlineStr">
        <is>
          <t>VÄSTRA GÖTALANDS LÄN</t>
        </is>
      </c>
      <c r="E7605" t="inlineStr">
        <is>
          <t>VÅRGÅRDA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64386-2021</t>
        </is>
      </c>
      <c r="B7606" s="1" t="n">
        <v>44511</v>
      </c>
      <c r="C7606" s="1" t="n">
        <v>45212</v>
      </c>
      <c r="D7606" t="inlineStr">
        <is>
          <t>VÄSTRA GÖTALANDS LÄN</t>
        </is>
      </c>
      <c r="E7606" t="inlineStr">
        <is>
          <t>VÅRGÅRDA</t>
        </is>
      </c>
      <c r="G7606" t="n">
        <v>3.7</v>
      </c>
      <c r="H7606" t="n">
        <v>0</v>
      </c>
      <c r="I7606" t="n">
        <v>0</v>
      </c>
      <c r="J7606" t="n">
        <v>0</v>
      </c>
      <c r="K7606" t="n">
        <v>0</v>
      </c>
      <c r="L7606" t="n">
        <v>0</v>
      </c>
      <c r="M7606" t="n">
        <v>0</v>
      </c>
      <c r="N7606" t="n">
        <v>0</v>
      </c>
      <c r="O7606" t="n">
        <v>0</v>
      </c>
      <c r="P7606" t="n">
        <v>0</v>
      </c>
      <c r="Q7606" t="n">
        <v>0</v>
      </c>
      <c r="R7606" s="2" t="inlineStr"/>
    </row>
    <row r="7607" ht="15" customHeight="1">
      <c r="A7607" t="inlineStr">
        <is>
          <t>A 64396-2021</t>
        </is>
      </c>
      <c r="B7607" s="1" t="n">
        <v>44511</v>
      </c>
      <c r="C7607" s="1" t="n">
        <v>45212</v>
      </c>
      <c r="D7607" t="inlineStr">
        <is>
          <t>VÄSTRA GÖTALANDS LÄN</t>
        </is>
      </c>
      <c r="E7607" t="inlineStr">
        <is>
          <t>VÅRGÅRDA</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64338-2021</t>
        </is>
      </c>
      <c r="B7608" s="1" t="n">
        <v>44511</v>
      </c>
      <c r="C7608" s="1" t="n">
        <v>45212</v>
      </c>
      <c r="D7608" t="inlineStr">
        <is>
          <t>VÄSTRA GÖTALANDS LÄN</t>
        </is>
      </c>
      <c r="E7608" t="inlineStr">
        <is>
          <t>DALS-ED</t>
        </is>
      </c>
      <c r="G7608" t="n">
        <v>5.6</v>
      </c>
      <c r="H7608" t="n">
        <v>0</v>
      </c>
      <c r="I7608" t="n">
        <v>0</v>
      </c>
      <c r="J7608" t="n">
        <v>0</v>
      </c>
      <c r="K7608" t="n">
        <v>0</v>
      </c>
      <c r="L7608" t="n">
        <v>0</v>
      </c>
      <c r="M7608" t="n">
        <v>0</v>
      </c>
      <c r="N7608" t="n">
        <v>0</v>
      </c>
      <c r="O7608" t="n">
        <v>0</v>
      </c>
      <c r="P7608" t="n">
        <v>0</v>
      </c>
      <c r="Q7608" t="n">
        <v>0</v>
      </c>
      <c r="R7608" s="2" t="inlineStr"/>
    </row>
    <row r="7609" ht="15" customHeight="1">
      <c r="A7609" t="inlineStr">
        <is>
          <t>A 64724-2021</t>
        </is>
      </c>
      <c r="B7609" s="1" t="n">
        <v>44511</v>
      </c>
      <c r="C7609" s="1" t="n">
        <v>45212</v>
      </c>
      <c r="D7609" t="inlineStr">
        <is>
          <t>VÄSTRA GÖTALANDS LÄN</t>
        </is>
      </c>
      <c r="E7609" t="inlineStr">
        <is>
          <t>TIDAHOLM</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64746-2021</t>
        </is>
      </c>
      <c r="B7610" s="1" t="n">
        <v>44512</v>
      </c>
      <c r="C7610" s="1" t="n">
        <v>45212</v>
      </c>
      <c r="D7610" t="inlineStr">
        <is>
          <t>VÄSTRA GÖTALANDS LÄN</t>
        </is>
      </c>
      <c r="E7610" t="inlineStr">
        <is>
          <t>ULRICEHAMN</t>
        </is>
      </c>
      <c r="F7610" t="inlineStr">
        <is>
          <t>Sveaskog</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64794-2021</t>
        </is>
      </c>
      <c r="B7611" s="1" t="n">
        <v>44512</v>
      </c>
      <c r="C7611" s="1" t="n">
        <v>45212</v>
      </c>
      <c r="D7611" t="inlineStr">
        <is>
          <t>VÄSTRA GÖTALANDS LÄN</t>
        </is>
      </c>
      <c r="E7611" t="inlineStr">
        <is>
          <t>ULRICEHAMN</t>
        </is>
      </c>
      <c r="F7611" t="inlineStr">
        <is>
          <t>Sveaskog</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64837-2021</t>
        </is>
      </c>
      <c r="B7612" s="1" t="n">
        <v>44512</v>
      </c>
      <c r="C7612" s="1" t="n">
        <v>45212</v>
      </c>
      <c r="D7612" t="inlineStr">
        <is>
          <t>VÄSTRA GÖTALANDS LÄN</t>
        </is>
      </c>
      <c r="E7612" t="inlineStr">
        <is>
          <t>BENGTSFORS</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64927-2021</t>
        </is>
      </c>
      <c r="B7613" s="1" t="n">
        <v>44512</v>
      </c>
      <c r="C7613" s="1" t="n">
        <v>45212</v>
      </c>
      <c r="D7613" t="inlineStr">
        <is>
          <t>VÄSTRA GÖTALANDS LÄN</t>
        </is>
      </c>
      <c r="E7613" t="inlineStr">
        <is>
          <t>TIDAHOLM</t>
        </is>
      </c>
      <c r="G7613" t="n">
        <v>4.5</v>
      </c>
      <c r="H7613" t="n">
        <v>0</v>
      </c>
      <c r="I7613" t="n">
        <v>0</v>
      </c>
      <c r="J7613" t="n">
        <v>0</v>
      </c>
      <c r="K7613" t="n">
        <v>0</v>
      </c>
      <c r="L7613" t="n">
        <v>0</v>
      </c>
      <c r="M7613" t="n">
        <v>0</v>
      </c>
      <c r="N7613" t="n">
        <v>0</v>
      </c>
      <c r="O7613" t="n">
        <v>0</v>
      </c>
      <c r="P7613" t="n">
        <v>0</v>
      </c>
      <c r="Q7613" t="n">
        <v>0</v>
      </c>
      <c r="R7613" s="2" t="inlineStr"/>
    </row>
    <row r="7614" ht="15" customHeight="1">
      <c r="A7614" t="inlineStr">
        <is>
          <t>A 64762-2021</t>
        </is>
      </c>
      <c r="B7614" s="1" t="n">
        <v>44512</v>
      </c>
      <c r="C7614" s="1" t="n">
        <v>45212</v>
      </c>
      <c r="D7614" t="inlineStr">
        <is>
          <t>VÄSTRA GÖTALANDS LÄN</t>
        </is>
      </c>
      <c r="E7614" t="inlineStr">
        <is>
          <t>ULRICEHAMN</t>
        </is>
      </c>
      <c r="F7614" t="inlineStr">
        <is>
          <t>Sveaskog</t>
        </is>
      </c>
      <c r="G7614" t="n">
        <v>8.4</v>
      </c>
      <c r="H7614" t="n">
        <v>0</v>
      </c>
      <c r="I7614" t="n">
        <v>0</v>
      </c>
      <c r="J7614" t="n">
        <v>0</v>
      </c>
      <c r="K7614" t="n">
        <v>0</v>
      </c>
      <c r="L7614" t="n">
        <v>0</v>
      </c>
      <c r="M7614" t="n">
        <v>0</v>
      </c>
      <c r="N7614" t="n">
        <v>0</v>
      </c>
      <c r="O7614" t="n">
        <v>0</v>
      </c>
      <c r="P7614" t="n">
        <v>0</v>
      </c>
      <c r="Q7614" t="n">
        <v>0</v>
      </c>
      <c r="R7614" s="2" t="inlineStr"/>
    </row>
    <row r="7615" ht="15" customHeight="1">
      <c r="A7615" t="inlineStr">
        <is>
          <t>A 64832-2021</t>
        </is>
      </c>
      <c r="B7615" s="1" t="n">
        <v>44512</v>
      </c>
      <c r="C7615" s="1" t="n">
        <v>45212</v>
      </c>
      <c r="D7615" t="inlineStr">
        <is>
          <t>VÄSTRA GÖTALANDS LÄN</t>
        </is>
      </c>
      <c r="E7615" t="inlineStr">
        <is>
          <t>ULRICEHAMN</t>
        </is>
      </c>
      <c r="G7615" t="n">
        <v>19.4</v>
      </c>
      <c r="H7615" t="n">
        <v>0</v>
      </c>
      <c r="I7615" t="n">
        <v>0</v>
      </c>
      <c r="J7615" t="n">
        <v>0</v>
      </c>
      <c r="K7615" t="n">
        <v>0</v>
      </c>
      <c r="L7615" t="n">
        <v>0</v>
      </c>
      <c r="M7615" t="n">
        <v>0</v>
      </c>
      <c r="N7615" t="n">
        <v>0</v>
      </c>
      <c r="O7615" t="n">
        <v>0</v>
      </c>
      <c r="P7615" t="n">
        <v>0</v>
      </c>
      <c r="Q7615" t="n">
        <v>0</v>
      </c>
      <c r="R7615" s="2" t="inlineStr"/>
    </row>
    <row r="7616" ht="15" customHeight="1">
      <c r="A7616" t="inlineStr">
        <is>
          <t>A 64871-2021</t>
        </is>
      </c>
      <c r="B7616" s="1" t="n">
        <v>44512</v>
      </c>
      <c r="C7616" s="1" t="n">
        <v>45212</v>
      </c>
      <c r="D7616" t="inlineStr">
        <is>
          <t>VÄSTRA GÖTALANDS LÄN</t>
        </is>
      </c>
      <c r="E7616" t="inlineStr">
        <is>
          <t>TIBRO</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64888-2021</t>
        </is>
      </c>
      <c r="B7617" s="1" t="n">
        <v>44512</v>
      </c>
      <c r="C7617" s="1" t="n">
        <v>45212</v>
      </c>
      <c r="D7617" t="inlineStr">
        <is>
          <t>VÄSTRA GÖTALANDS LÄN</t>
        </is>
      </c>
      <c r="E7617" t="inlineStr">
        <is>
          <t>GULLSPÅNG</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64930-2021</t>
        </is>
      </c>
      <c r="B7618" s="1" t="n">
        <v>44512</v>
      </c>
      <c r="C7618" s="1" t="n">
        <v>45212</v>
      </c>
      <c r="D7618" t="inlineStr">
        <is>
          <t>VÄSTRA GÖTALANDS LÄN</t>
        </is>
      </c>
      <c r="E7618" t="inlineStr">
        <is>
          <t>TIDAHOLM</t>
        </is>
      </c>
      <c r="G7618" t="n">
        <v>3.7</v>
      </c>
      <c r="H7618" t="n">
        <v>0</v>
      </c>
      <c r="I7618" t="n">
        <v>0</v>
      </c>
      <c r="J7618" t="n">
        <v>0</v>
      </c>
      <c r="K7618" t="n">
        <v>0</v>
      </c>
      <c r="L7618" t="n">
        <v>0</v>
      </c>
      <c r="M7618" t="n">
        <v>0</v>
      </c>
      <c r="N7618" t="n">
        <v>0</v>
      </c>
      <c r="O7618" t="n">
        <v>0</v>
      </c>
      <c r="P7618" t="n">
        <v>0</v>
      </c>
      <c r="Q7618" t="n">
        <v>0</v>
      </c>
      <c r="R7618" s="2" t="inlineStr"/>
    </row>
    <row r="7619" ht="15" customHeight="1">
      <c r="A7619" t="inlineStr">
        <is>
          <t>A 64749-2021</t>
        </is>
      </c>
      <c r="B7619" s="1" t="n">
        <v>44512</v>
      </c>
      <c r="C7619" s="1" t="n">
        <v>45212</v>
      </c>
      <c r="D7619" t="inlineStr">
        <is>
          <t>VÄSTRA GÖTALANDS LÄN</t>
        </is>
      </c>
      <c r="E7619" t="inlineStr">
        <is>
          <t>ULRICEHAMN</t>
        </is>
      </c>
      <c r="F7619" t="inlineStr">
        <is>
          <t>Sveaskog</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64779-2021</t>
        </is>
      </c>
      <c r="B7620" s="1" t="n">
        <v>44512</v>
      </c>
      <c r="C7620" s="1" t="n">
        <v>45212</v>
      </c>
      <c r="D7620" t="inlineStr">
        <is>
          <t>VÄSTRA GÖTALANDS LÄN</t>
        </is>
      </c>
      <c r="E7620" t="inlineStr">
        <is>
          <t>TIDAHOLM</t>
        </is>
      </c>
      <c r="F7620" t="inlineStr">
        <is>
          <t>Kyrkan</t>
        </is>
      </c>
      <c r="G7620" t="n">
        <v>11.5</v>
      </c>
      <c r="H7620" t="n">
        <v>0</v>
      </c>
      <c r="I7620" t="n">
        <v>0</v>
      </c>
      <c r="J7620" t="n">
        <v>0</v>
      </c>
      <c r="K7620" t="n">
        <v>0</v>
      </c>
      <c r="L7620" t="n">
        <v>0</v>
      </c>
      <c r="M7620" t="n">
        <v>0</v>
      </c>
      <c r="N7620" t="n">
        <v>0</v>
      </c>
      <c r="O7620" t="n">
        <v>0</v>
      </c>
      <c r="P7620" t="n">
        <v>0</v>
      </c>
      <c r="Q7620" t="n">
        <v>0</v>
      </c>
      <c r="R7620" s="2" t="inlineStr"/>
    </row>
    <row r="7621" ht="15" customHeight="1">
      <c r="A7621" t="inlineStr">
        <is>
          <t>A 64800-2021</t>
        </is>
      </c>
      <c r="B7621" s="1" t="n">
        <v>44512</v>
      </c>
      <c r="C7621" s="1" t="n">
        <v>45212</v>
      </c>
      <c r="D7621" t="inlineStr">
        <is>
          <t>VÄSTRA GÖTALANDS LÄN</t>
        </is>
      </c>
      <c r="E7621" t="inlineStr">
        <is>
          <t>ULRICEHAMN</t>
        </is>
      </c>
      <c r="F7621" t="inlineStr">
        <is>
          <t>Sveaskog</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64929-2021</t>
        </is>
      </c>
      <c r="B7622" s="1" t="n">
        <v>44512</v>
      </c>
      <c r="C7622" s="1" t="n">
        <v>45212</v>
      </c>
      <c r="D7622" t="inlineStr">
        <is>
          <t>VÄSTRA GÖTALANDS LÄN</t>
        </is>
      </c>
      <c r="E7622" t="inlineStr">
        <is>
          <t>TIDAHOLM</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64665-2021</t>
        </is>
      </c>
      <c r="B7623" s="1" t="n">
        <v>44512</v>
      </c>
      <c r="C7623" s="1" t="n">
        <v>45212</v>
      </c>
      <c r="D7623" t="inlineStr">
        <is>
          <t>VÄSTRA GÖTALANDS LÄN</t>
        </is>
      </c>
      <c r="E7623" t="inlineStr">
        <is>
          <t>BORÅS</t>
        </is>
      </c>
      <c r="G7623" t="n">
        <v>2.1</v>
      </c>
      <c r="H7623" t="n">
        <v>0</v>
      </c>
      <c r="I7623" t="n">
        <v>0</v>
      </c>
      <c r="J7623" t="n">
        <v>0</v>
      </c>
      <c r="K7623" t="n">
        <v>0</v>
      </c>
      <c r="L7623" t="n">
        <v>0</v>
      </c>
      <c r="M7623" t="n">
        <v>0</v>
      </c>
      <c r="N7623" t="n">
        <v>0</v>
      </c>
      <c r="O7623" t="n">
        <v>0</v>
      </c>
      <c r="P7623" t="n">
        <v>0</v>
      </c>
      <c r="Q7623" t="n">
        <v>0</v>
      </c>
      <c r="R7623" s="2" t="inlineStr"/>
    </row>
    <row r="7624" ht="15" customHeight="1">
      <c r="A7624" t="inlineStr">
        <is>
          <t>A 64773-2021</t>
        </is>
      </c>
      <c r="B7624" s="1" t="n">
        <v>44512</v>
      </c>
      <c r="C7624" s="1" t="n">
        <v>45212</v>
      </c>
      <c r="D7624" t="inlineStr">
        <is>
          <t>VÄSTRA GÖTALANDS LÄN</t>
        </is>
      </c>
      <c r="E7624" t="inlineStr">
        <is>
          <t>FALKÖPING</t>
        </is>
      </c>
      <c r="G7624" t="n">
        <v>1.5</v>
      </c>
      <c r="H7624" t="n">
        <v>0</v>
      </c>
      <c r="I7624" t="n">
        <v>0</v>
      </c>
      <c r="J7624" t="n">
        <v>0</v>
      </c>
      <c r="K7624" t="n">
        <v>0</v>
      </c>
      <c r="L7624" t="n">
        <v>0</v>
      </c>
      <c r="M7624" t="n">
        <v>0</v>
      </c>
      <c r="N7624" t="n">
        <v>0</v>
      </c>
      <c r="O7624" t="n">
        <v>0</v>
      </c>
      <c r="P7624" t="n">
        <v>0</v>
      </c>
      <c r="Q7624" t="n">
        <v>0</v>
      </c>
      <c r="R7624" s="2" t="inlineStr"/>
    </row>
    <row r="7625" ht="15" customHeight="1">
      <c r="A7625" t="inlineStr">
        <is>
          <t>A 64788-2021</t>
        </is>
      </c>
      <c r="B7625" s="1" t="n">
        <v>44512</v>
      </c>
      <c r="C7625" s="1" t="n">
        <v>45212</v>
      </c>
      <c r="D7625" t="inlineStr">
        <is>
          <t>VÄSTRA GÖTALANDS LÄN</t>
        </is>
      </c>
      <c r="E7625" t="inlineStr">
        <is>
          <t>ULRICEHAMN</t>
        </is>
      </c>
      <c r="F7625" t="inlineStr">
        <is>
          <t>Sveaskog</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64926-2021</t>
        </is>
      </c>
      <c r="B7626" s="1" t="n">
        <v>44512</v>
      </c>
      <c r="C7626" s="1" t="n">
        <v>45212</v>
      </c>
      <c r="D7626" t="inlineStr">
        <is>
          <t>VÄSTRA GÖTALANDS LÄN</t>
        </is>
      </c>
      <c r="E7626" t="inlineStr">
        <is>
          <t>TIDAHOLM</t>
        </is>
      </c>
      <c r="G7626" t="n">
        <v>1.7</v>
      </c>
      <c r="H7626" t="n">
        <v>0</v>
      </c>
      <c r="I7626" t="n">
        <v>0</v>
      </c>
      <c r="J7626" t="n">
        <v>0</v>
      </c>
      <c r="K7626" t="n">
        <v>0</v>
      </c>
      <c r="L7626" t="n">
        <v>0</v>
      </c>
      <c r="M7626" t="n">
        <v>0</v>
      </c>
      <c r="N7626" t="n">
        <v>0</v>
      </c>
      <c r="O7626" t="n">
        <v>0</v>
      </c>
      <c r="P7626" t="n">
        <v>0</v>
      </c>
      <c r="Q7626" t="n">
        <v>0</v>
      </c>
      <c r="R7626" s="2" t="inlineStr"/>
    </row>
    <row r="7627" ht="15" customHeight="1">
      <c r="A7627" t="inlineStr">
        <is>
          <t>A 64977-2021</t>
        </is>
      </c>
      <c r="B7627" s="1" t="n">
        <v>44513</v>
      </c>
      <c r="C7627" s="1" t="n">
        <v>45212</v>
      </c>
      <c r="D7627" t="inlineStr">
        <is>
          <t>VÄSTRA GÖTALANDS LÄN</t>
        </is>
      </c>
      <c r="E7627" t="inlineStr">
        <is>
          <t>BENGTSFORS</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65237-2021</t>
        </is>
      </c>
      <c r="B7628" s="1" t="n">
        <v>44513</v>
      </c>
      <c r="C7628" s="1" t="n">
        <v>45212</v>
      </c>
      <c r="D7628" t="inlineStr">
        <is>
          <t>VÄSTRA GÖTALANDS LÄN</t>
        </is>
      </c>
      <c r="E7628" t="inlineStr">
        <is>
          <t>TANUM</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64999-2021</t>
        </is>
      </c>
      <c r="B7629" s="1" t="n">
        <v>44514</v>
      </c>
      <c r="C7629" s="1" t="n">
        <v>45212</v>
      </c>
      <c r="D7629" t="inlineStr">
        <is>
          <t>VÄSTRA GÖTALANDS LÄN</t>
        </is>
      </c>
      <c r="E7629" t="inlineStr">
        <is>
          <t>ÅMÅL</t>
        </is>
      </c>
      <c r="G7629" t="n">
        <v>5</v>
      </c>
      <c r="H7629" t="n">
        <v>0</v>
      </c>
      <c r="I7629" t="n">
        <v>0</v>
      </c>
      <c r="J7629" t="n">
        <v>0</v>
      </c>
      <c r="K7629" t="n">
        <v>0</v>
      </c>
      <c r="L7629" t="n">
        <v>0</v>
      </c>
      <c r="M7629" t="n">
        <v>0</v>
      </c>
      <c r="N7629" t="n">
        <v>0</v>
      </c>
      <c r="O7629" t="n">
        <v>0</v>
      </c>
      <c r="P7629" t="n">
        <v>0</v>
      </c>
      <c r="Q7629" t="n">
        <v>0</v>
      </c>
      <c r="R7629" s="2" t="inlineStr"/>
    </row>
    <row r="7630" ht="15" customHeight="1">
      <c r="A7630" t="inlineStr">
        <is>
          <t>A 64998-2021</t>
        </is>
      </c>
      <c r="B7630" s="1" t="n">
        <v>44514</v>
      </c>
      <c r="C7630" s="1" t="n">
        <v>45212</v>
      </c>
      <c r="D7630" t="inlineStr">
        <is>
          <t>VÄSTRA GÖTALANDS LÄN</t>
        </is>
      </c>
      <c r="E7630" t="inlineStr">
        <is>
          <t>ULRICEHAMN</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64997-2021</t>
        </is>
      </c>
      <c r="B7631" s="1" t="n">
        <v>44514</v>
      </c>
      <c r="C7631" s="1" t="n">
        <v>45212</v>
      </c>
      <c r="D7631" t="inlineStr">
        <is>
          <t>VÄSTRA GÖTALANDS LÄN</t>
        </is>
      </c>
      <c r="E7631" t="inlineStr">
        <is>
          <t>TRANEMO</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65004-2021</t>
        </is>
      </c>
      <c r="B7632" s="1" t="n">
        <v>44514</v>
      </c>
      <c r="C7632" s="1" t="n">
        <v>45212</v>
      </c>
      <c r="D7632" t="inlineStr">
        <is>
          <t>VÄSTRA GÖTALANDS LÄN</t>
        </is>
      </c>
      <c r="E7632" t="inlineStr">
        <is>
          <t>TROLLHÄTTAN</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65083-2021</t>
        </is>
      </c>
      <c r="B7633" s="1" t="n">
        <v>44515</v>
      </c>
      <c r="C7633" s="1" t="n">
        <v>45212</v>
      </c>
      <c r="D7633" t="inlineStr">
        <is>
          <t>VÄSTRA GÖTALANDS LÄN</t>
        </is>
      </c>
      <c r="E7633" t="inlineStr">
        <is>
          <t>HERRLJUNGA</t>
        </is>
      </c>
      <c r="G7633" t="n">
        <v>3.1</v>
      </c>
      <c r="H7633" t="n">
        <v>0</v>
      </c>
      <c r="I7633" t="n">
        <v>0</v>
      </c>
      <c r="J7633" t="n">
        <v>0</v>
      </c>
      <c r="K7633" t="n">
        <v>0</v>
      </c>
      <c r="L7633" t="n">
        <v>0</v>
      </c>
      <c r="M7633" t="n">
        <v>0</v>
      </c>
      <c r="N7633" t="n">
        <v>0</v>
      </c>
      <c r="O7633" t="n">
        <v>0</v>
      </c>
      <c r="P7633" t="n">
        <v>0</v>
      </c>
      <c r="Q7633" t="n">
        <v>0</v>
      </c>
      <c r="R7633" s="2" t="inlineStr"/>
    </row>
    <row r="7634" ht="15" customHeight="1">
      <c r="A7634" t="inlineStr">
        <is>
          <t>A 65094-2021</t>
        </is>
      </c>
      <c r="B7634" s="1" t="n">
        <v>44515</v>
      </c>
      <c r="C7634" s="1" t="n">
        <v>45212</v>
      </c>
      <c r="D7634" t="inlineStr">
        <is>
          <t>VÄSTRA GÖTALANDS LÄN</t>
        </is>
      </c>
      <c r="E7634" t="inlineStr">
        <is>
          <t>HERRLJUNGA</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65222-2021</t>
        </is>
      </c>
      <c r="B7635" s="1" t="n">
        <v>44515</v>
      </c>
      <c r="C7635" s="1" t="n">
        <v>45212</v>
      </c>
      <c r="D7635" t="inlineStr">
        <is>
          <t>VÄSTRA GÖTALANDS LÄN</t>
        </is>
      </c>
      <c r="E7635" t="inlineStr">
        <is>
          <t>ALE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65254-2021</t>
        </is>
      </c>
      <c r="B7636" s="1" t="n">
        <v>44515</v>
      </c>
      <c r="C7636" s="1" t="n">
        <v>45212</v>
      </c>
      <c r="D7636" t="inlineStr">
        <is>
          <t>VÄSTRA GÖTALANDS LÄN</t>
        </is>
      </c>
      <c r="E7636" t="inlineStr">
        <is>
          <t>TROLLHÄTTAN</t>
        </is>
      </c>
      <c r="G7636" t="n">
        <v>6.4</v>
      </c>
      <c r="H7636" t="n">
        <v>0</v>
      </c>
      <c r="I7636" t="n">
        <v>0</v>
      </c>
      <c r="J7636" t="n">
        <v>0</v>
      </c>
      <c r="K7636" t="n">
        <v>0</v>
      </c>
      <c r="L7636" t="n">
        <v>0</v>
      </c>
      <c r="M7636" t="n">
        <v>0</v>
      </c>
      <c r="N7636" t="n">
        <v>0</v>
      </c>
      <c r="O7636" t="n">
        <v>0</v>
      </c>
      <c r="P7636" t="n">
        <v>0</v>
      </c>
      <c r="Q7636" t="n">
        <v>0</v>
      </c>
      <c r="R7636" s="2" t="inlineStr"/>
    </row>
    <row r="7637" ht="15" customHeight="1">
      <c r="A7637" t="inlineStr">
        <is>
          <t>A 65327-2021</t>
        </is>
      </c>
      <c r="B7637" s="1" t="n">
        <v>44515</v>
      </c>
      <c r="C7637" s="1" t="n">
        <v>45212</v>
      </c>
      <c r="D7637" t="inlineStr">
        <is>
          <t>VÄSTRA GÖTALANDS LÄN</t>
        </is>
      </c>
      <c r="E7637" t="inlineStr">
        <is>
          <t>MUNKEDAL</t>
        </is>
      </c>
      <c r="G7637" t="n">
        <v>4.4</v>
      </c>
      <c r="H7637" t="n">
        <v>0</v>
      </c>
      <c r="I7637" t="n">
        <v>0</v>
      </c>
      <c r="J7637" t="n">
        <v>0</v>
      </c>
      <c r="K7637" t="n">
        <v>0</v>
      </c>
      <c r="L7637" t="n">
        <v>0</v>
      </c>
      <c r="M7637" t="n">
        <v>0</v>
      </c>
      <c r="N7637" t="n">
        <v>0</v>
      </c>
      <c r="O7637" t="n">
        <v>0</v>
      </c>
      <c r="P7637" t="n">
        <v>0</v>
      </c>
      <c r="Q7637" t="n">
        <v>0</v>
      </c>
      <c r="R7637" s="2" t="inlineStr"/>
    </row>
    <row r="7638" ht="15" customHeight="1">
      <c r="A7638" t="inlineStr">
        <is>
          <t>A 65084-2021</t>
        </is>
      </c>
      <c r="B7638" s="1" t="n">
        <v>44515</v>
      </c>
      <c r="C7638" s="1" t="n">
        <v>45212</v>
      </c>
      <c r="D7638" t="inlineStr">
        <is>
          <t>VÄSTRA GÖTALANDS LÄN</t>
        </is>
      </c>
      <c r="E7638" t="inlineStr">
        <is>
          <t>HERRLJUNGA</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65303-2021</t>
        </is>
      </c>
      <c r="B7639" s="1" t="n">
        <v>44515</v>
      </c>
      <c r="C7639" s="1" t="n">
        <v>45212</v>
      </c>
      <c r="D7639" t="inlineStr">
        <is>
          <t>VÄSTRA GÖTALANDS LÄN</t>
        </is>
      </c>
      <c r="E7639" t="inlineStr">
        <is>
          <t>VÅRGÅRDA</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65329-2021</t>
        </is>
      </c>
      <c r="B7640" s="1" t="n">
        <v>44515</v>
      </c>
      <c r="C7640" s="1" t="n">
        <v>45212</v>
      </c>
      <c r="D7640" t="inlineStr">
        <is>
          <t>VÄSTRA GÖTALANDS LÄN</t>
        </is>
      </c>
      <c r="E7640" t="inlineStr">
        <is>
          <t>HJO</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65078-2021</t>
        </is>
      </c>
      <c r="B7641" s="1" t="n">
        <v>44515</v>
      </c>
      <c r="C7641" s="1" t="n">
        <v>45212</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65090-2021</t>
        </is>
      </c>
      <c r="B7642" s="1" t="n">
        <v>44515</v>
      </c>
      <c r="C7642" s="1" t="n">
        <v>45212</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65226-2021</t>
        </is>
      </c>
      <c r="B7643" s="1" t="n">
        <v>44515</v>
      </c>
      <c r="C7643" s="1" t="n">
        <v>45212</v>
      </c>
      <c r="D7643" t="inlineStr">
        <is>
          <t>VÄSTRA GÖTALANDS LÄN</t>
        </is>
      </c>
      <c r="E7643" t="inlineStr">
        <is>
          <t>ALE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65064-2021</t>
        </is>
      </c>
      <c r="B7644" s="1" t="n">
        <v>44515</v>
      </c>
      <c r="C7644" s="1" t="n">
        <v>45212</v>
      </c>
      <c r="D7644" t="inlineStr">
        <is>
          <t>VÄSTRA GÖTALANDS LÄN</t>
        </is>
      </c>
      <c r="E7644" t="inlineStr">
        <is>
          <t>BORÅS</t>
        </is>
      </c>
      <c r="G7644" t="n">
        <v>8.6</v>
      </c>
      <c r="H7644" t="n">
        <v>0</v>
      </c>
      <c r="I7644" t="n">
        <v>0</v>
      </c>
      <c r="J7644" t="n">
        <v>0</v>
      </c>
      <c r="K7644" t="n">
        <v>0</v>
      </c>
      <c r="L7644" t="n">
        <v>0</v>
      </c>
      <c r="M7644" t="n">
        <v>0</v>
      </c>
      <c r="N7644" t="n">
        <v>0</v>
      </c>
      <c r="O7644" t="n">
        <v>0</v>
      </c>
      <c r="P7644" t="n">
        <v>0</v>
      </c>
      <c r="Q7644" t="n">
        <v>0</v>
      </c>
      <c r="R7644" s="2" t="inlineStr"/>
    </row>
    <row r="7645" ht="15" customHeight="1">
      <c r="A7645" t="inlineStr">
        <is>
          <t>A 65082-2021</t>
        </is>
      </c>
      <c r="B7645" s="1" t="n">
        <v>44515</v>
      </c>
      <c r="C7645" s="1" t="n">
        <v>45212</v>
      </c>
      <c r="D7645" t="inlineStr">
        <is>
          <t>VÄSTRA GÖTALANDS LÄN</t>
        </is>
      </c>
      <c r="E7645" t="inlineStr">
        <is>
          <t>HERRLJUNGA</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65092-2021</t>
        </is>
      </c>
      <c r="B7646" s="1" t="n">
        <v>44515</v>
      </c>
      <c r="C7646" s="1" t="n">
        <v>45212</v>
      </c>
      <c r="D7646" t="inlineStr">
        <is>
          <t>VÄSTRA GÖTALANDS LÄN</t>
        </is>
      </c>
      <c r="E7646" t="inlineStr">
        <is>
          <t>HERRLJUNGA</t>
        </is>
      </c>
      <c r="G7646" t="n">
        <v>0.8</v>
      </c>
      <c r="H7646" t="n">
        <v>0</v>
      </c>
      <c r="I7646" t="n">
        <v>0</v>
      </c>
      <c r="J7646" t="n">
        <v>0</v>
      </c>
      <c r="K7646" t="n">
        <v>0</v>
      </c>
      <c r="L7646" t="n">
        <v>0</v>
      </c>
      <c r="M7646" t="n">
        <v>0</v>
      </c>
      <c r="N7646" t="n">
        <v>0</v>
      </c>
      <c r="O7646" t="n">
        <v>0</v>
      </c>
      <c r="P7646" t="n">
        <v>0</v>
      </c>
      <c r="Q7646" t="n">
        <v>0</v>
      </c>
      <c r="R7646" s="2" t="inlineStr"/>
    </row>
    <row r="7647" ht="15" customHeight="1">
      <c r="A7647" t="inlineStr">
        <is>
          <t>A 65210-2021</t>
        </is>
      </c>
      <c r="B7647" s="1" t="n">
        <v>44515</v>
      </c>
      <c r="C7647" s="1" t="n">
        <v>45212</v>
      </c>
      <c r="D7647" t="inlineStr">
        <is>
          <t>VÄSTRA GÖTALANDS LÄN</t>
        </is>
      </c>
      <c r="E7647" t="inlineStr">
        <is>
          <t>ALINGSÅS</t>
        </is>
      </c>
      <c r="G7647" t="n">
        <v>1.4</v>
      </c>
      <c r="H7647" t="n">
        <v>0</v>
      </c>
      <c r="I7647" t="n">
        <v>0</v>
      </c>
      <c r="J7647" t="n">
        <v>0</v>
      </c>
      <c r="K7647" t="n">
        <v>0</v>
      </c>
      <c r="L7647" t="n">
        <v>0</v>
      </c>
      <c r="M7647" t="n">
        <v>0</v>
      </c>
      <c r="N7647" t="n">
        <v>0</v>
      </c>
      <c r="O7647" t="n">
        <v>0</v>
      </c>
      <c r="P7647" t="n">
        <v>0</v>
      </c>
      <c r="Q7647" t="n">
        <v>0</v>
      </c>
      <c r="R7647" s="2" t="inlineStr"/>
    </row>
    <row r="7648" ht="15" customHeight="1">
      <c r="A7648" t="inlineStr">
        <is>
          <t>A 65608-2021</t>
        </is>
      </c>
      <c r="B7648" s="1" t="n">
        <v>44516</v>
      </c>
      <c r="C7648" s="1" t="n">
        <v>45212</v>
      </c>
      <c r="D7648" t="inlineStr">
        <is>
          <t>VÄSTRA GÖTALANDS LÄN</t>
        </is>
      </c>
      <c r="E7648" t="inlineStr">
        <is>
          <t>TROLLHÄTTAN</t>
        </is>
      </c>
      <c r="G7648" t="n">
        <v>7.3</v>
      </c>
      <c r="H7648" t="n">
        <v>0</v>
      </c>
      <c r="I7648" t="n">
        <v>0</v>
      </c>
      <c r="J7648" t="n">
        <v>0</v>
      </c>
      <c r="K7648" t="n">
        <v>0</v>
      </c>
      <c r="L7648" t="n">
        <v>0</v>
      </c>
      <c r="M7648" t="n">
        <v>0</v>
      </c>
      <c r="N7648" t="n">
        <v>0</v>
      </c>
      <c r="O7648" t="n">
        <v>0</v>
      </c>
      <c r="P7648" t="n">
        <v>0</v>
      </c>
      <c r="Q7648" t="n">
        <v>0</v>
      </c>
      <c r="R7648" s="2" t="inlineStr"/>
    </row>
    <row r="7649" ht="15" customHeight="1">
      <c r="A7649" t="inlineStr">
        <is>
          <t>A 65714-2021</t>
        </is>
      </c>
      <c r="B7649" s="1" t="n">
        <v>44516</v>
      </c>
      <c r="C7649" s="1" t="n">
        <v>45212</v>
      </c>
      <c r="D7649" t="inlineStr">
        <is>
          <t>VÄSTRA GÖTALANDS LÄN</t>
        </is>
      </c>
      <c r="E7649" t="inlineStr">
        <is>
          <t>MÖLNDAL</t>
        </is>
      </c>
      <c r="F7649" t="inlineStr">
        <is>
          <t>Kommuner</t>
        </is>
      </c>
      <c r="G7649" t="n">
        <v>29</v>
      </c>
      <c r="H7649" t="n">
        <v>0</v>
      </c>
      <c r="I7649" t="n">
        <v>0</v>
      </c>
      <c r="J7649" t="n">
        <v>0</v>
      </c>
      <c r="K7649" t="n">
        <v>0</v>
      </c>
      <c r="L7649" t="n">
        <v>0</v>
      </c>
      <c r="M7649" t="n">
        <v>0</v>
      </c>
      <c r="N7649" t="n">
        <v>0</v>
      </c>
      <c r="O7649" t="n">
        <v>0</v>
      </c>
      <c r="P7649" t="n">
        <v>0</v>
      </c>
      <c r="Q7649" t="n">
        <v>0</v>
      </c>
      <c r="R7649" s="2" t="inlineStr"/>
    </row>
    <row r="7650" ht="15" customHeight="1">
      <c r="A7650" t="inlineStr">
        <is>
          <t>A 65804-2021</t>
        </is>
      </c>
      <c r="B7650" s="1" t="n">
        <v>44516</v>
      </c>
      <c r="C7650" s="1" t="n">
        <v>45212</v>
      </c>
      <c r="D7650" t="inlineStr">
        <is>
          <t>VÄSTRA GÖTALANDS LÄN</t>
        </is>
      </c>
      <c r="E7650" t="inlineStr">
        <is>
          <t>SKÖVDE</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65457-2021</t>
        </is>
      </c>
      <c r="B7651" s="1" t="n">
        <v>44516</v>
      </c>
      <c r="C7651" s="1" t="n">
        <v>45212</v>
      </c>
      <c r="D7651" t="inlineStr">
        <is>
          <t>VÄSTRA GÖTALANDS LÄN</t>
        </is>
      </c>
      <c r="E7651" t="inlineStr">
        <is>
          <t>UDDEVALLA</t>
        </is>
      </c>
      <c r="G7651" t="n">
        <v>8.5</v>
      </c>
      <c r="H7651" t="n">
        <v>0</v>
      </c>
      <c r="I7651" t="n">
        <v>0</v>
      </c>
      <c r="J7651" t="n">
        <v>0</v>
      </c>
      <c r="K7651" t="n">
        <v>0</v>
      </c>
      <c r="L7651" t="n">
        <v>0</v>
      </c>
      <c r="M7651" t="n">
        <v>0</v>
      </c>
      <c r="N7651" t="n">
        <v>0</v>
      </c>
      <c r="O7651" t="n">
        <v>0</v>
      </c>
      <c r="P7651" t="n">
        <v>0</v>
      </c>
      <c r="Q7651" t="n">
        <v>0</v>
      </c>
      <c r="R7651" s="2" t="inlineStr"/>
    </row>
    <row r="7652" ht="15" customHeight="1">
      <c r="A7652" t="inlineStr">
        <is>
          <t>A 65571-2021</t>
        </is>
      </c>
      <c r="B7652" s="1" t="n">
        <v>44516</v>
      </c>
      <c r="C7652" s="1" t="n">
        <v>45212</v>
      </c>
      <c r="D7652" t="inlineStr">
        <is>
          <t>VÄSTRA GÖTALANDS LÄN</t>
        </is>
      </c>
      <c r="E7652" t="inlineStr">
        <is>
          <t>ALINGSÅS</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65674-2021</t>
        </is>
      </c>
      <c r="B7653" s="1" t="n">
        <v>44516</v>
      </c>
      <c r="C7653" s="1" t="n">
        <v>45212</v>
      </c>
      <c r="D7653" t="inlineStr">
        <is>
          <t>VÄSTRA GÖTALANDS LÄN</t>
        </is>
      </c>
      <c r="E7653" t="inlineStr">
        <is>
          <t>BENGTSFORS</t>
        </is>
      </c>
      <c r="G7653" t="n">
        <v>9.800000000000001</v>
      </c>
      <c r="H7653" t="n">
        <v>0</v>
      </c>
      <c r="I7653" t="n">
        <v>0</v>
      </c>
      <c r="J7653" t="n">
        <v>0</v>
      </c>
      <c r="K7653" t="n">
        <v>0</v>
      </c>
      <c r="L7653" t="n">
        <v>0</v>
      </c>
      <c r="M7653" t="n">
        <v>0</v>
      </c>
      <c r="N7653" t="n">
        <v>0</v>
      </c>
      <c r="O7653" t="n">
        <v>0</v>
      </c>
      <c r="P7653" t="n">
        <v>0</v>
      </c>
      <c r="Q7653" t="n">
        <v>0</v>
      </c>
      <c r="R7653" s="2" t="inlineStr"/>
    </row>
    <row r="7654" ht="15" customHeight="1">
      <c r="A7654" t="inlineStr">
        <is>
          <t>A 65763-2021</t>
        </is>
      </c>
      <c r="B7654" s="1" t="n">
        <v>44516</v>
      </c>
      <c r="C7654" s="1" t="n">
        <v>45212</v>
      </c>
      <c r="D7654" t="inlineStr">
        <is>
          <t>VÄSTRA GÖTALANDS LÄN</t>
        </is>
      </c>
      <c r="E7654" t="inlineStr">
        <is>
          <t>BENGTSFORS</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65458-2021</t>
        </is>
      </c>
      <c r="B7655" s="1" t="n">
        <v>44516</v>
      </c>
      <c r="C7655" s="1" t="n">
        <v>45212</v>
      </c>
      <c r="D7655" t="inlineStr">
        <is>
          <t>VÄSTRA GÖTALANDS LÄN</t>
        </is>
      </c>
      <c r="E7655" t="inlineStr">
        <is>
          <t>MARIESTAD</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65472-2021</t>
        </is>
      </c>
      <c r="B7656" s="1" t="n">
        <v>44516</v>
      </c>
      <c r="C7656" s="1" t="n">
        <v>45212</v>
      </c>
      <c r="D7656" t="inlineStr">
        <is>
          <t>VÄSTRA GÖTALANDS LÄN</t>
        </is>
      </c>
      <c r="E7656" t="inlineStr">
        <is>
          <t>MARIESTAD</t>
        </is>
      </c>
      <c r="F7656" t="inlineStr">
        <is>
          <t>Sveaskog</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65624-2021</t>
        </is>
      </c>
      <c r="B7657" s="1" t="n">
        <v>44516</v>
      </c>
      <c r="C7657" s="1" t="n">
        <v>45212</v>
      </c>
      <c r="D7657" t="inlineStr">
        <is>
          <t>VÄSTRA GÖTALANDS LÄN</t>
        </is>
      </c>
      <c r="E7657" t="inlineStr">
        <is>
          <t>ALINGSÅS</t>
        </is>
      </c>
      <c r="G7657" t="n">
        <v>1.8</v>
      </c>
      <c r="H7657" t="n">
        <v>0</v>
      </c>
      <c r="I7657" t="n">
        <v>0</v>
      </c>
      <c r="J7657" t="n">
        <v>0</v>
      </c>
      <c r="K7657" t="n">
        <v>0</v>
      </c>
      <c r="L7657" t="n">
        <v>0</v>
      </c>
      <c r="M7657" t="n">
        <v>0</v>
      </c>
      <c r="N7657" t="n">
        <v>0</v>
      </c>
      <c r="O7657" t="n">
        <v>0</v>
      </c>
      <c r="P7657" t="n">
        <v>0</v>
      </c>
      <c r="Q7657" t="n">
        <v>0</v>
      </c>
      <c r="R7657" s="2" t="inlineStr"/>
    </row>
    <row r="7658" ht="15" customHeight="1">
      <c r="A7658" t="inlineStr">
        <is>
          <t>A 65934-2021</t>
        </is>
      </c>
      <c r="B7658" s="1" t="n">
        <v>44517</v>
      </c>
      <c r="C7658" s="1" t="n">
        <v>45212</v>
      </c>
      <c r="D7658" t="inlineStr">
        <is>
          <t>VÄSTRA GÖTALANDS LÄN</t>
        </is>
      </c>
      <c r="E7658" t="inlineStr">
        <is>
          <t>TANUM</t>
        </is>
      </c>
      <c r="G7658" t="n">
        <v>1</v>
      </c>
      <c r="H7658" t="n">
        <v>0</v>
      </c>
      <c r="I7658" t="n">
        <v>0</v>
      </c>
      <c r="J7658" t="n">
        <v>0</v>
      </c>
      <c r="K7658" t="n">
        <v>0</v>
      </c>
      <c r="L7658" t="n">
        <v>0</v>
      </c>
      <c r="M7658" t="n">
        <v>0</v>
      </c>
      <c r="N7658" t="n">
        <v>0</v>
      </c>
      <c r="O7658" t="n">
        <v>0</v>
      </c>
      <c r="P7658" t="n">
        <v>0</v>
      </c>
      <c r="Q7658" t="n">
        <v>0</v>
      </c>
      <c r="R7658" s="2" t="inlineStr"/>
    </row>
    <row r="7659" ht="15" customHeight="1">
      <c r="A7659" t="inlineStr">
        <is>
          <t>A 65965-2021</t>
        </is>
      </c>
      <c r="B7659" s="1" t="n">
        <v>44517</v>
      </c>
      <c r="C7659" s="1" t="n">
        <v>45212</v>
      </c>
      <c r="D7659" t="inlineStr">
        <is>
          <t>VÄSTRA GÖTALANDS LÄN</t>
        </is>
      </c>
      <c r="E7659" t="inlineStr">
        <is>
          <t>SVENLJUNGA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66109-2021</t>
        </is>
      </c>
      <c r="B7660" s="1" t="n">
        <v>44517</v>
      </c>
      <c r="C7660" s="1" t="n">
        <v>45212</v>
      </c>
      <c r="D7660" t="inlineStr">
        <is>
          <t>VÄSTRA GÖTALANDS LÄN</t>
        </is>
      </c>
      <c r="E7660" t="inlineStr">
        <is>
          <t>SVENLJUNGA</t>
        </is>
      </c>
      <c r="G7660" t="n">
        <v>3</v>
      </c>
      <c r="H7660" t="n">
        <v>0</v>
      </c>
      <c r="I7660" t="n">
        <v>0</v>
      </c>
      <c r="J7660" t="n">
        <v>0</v>
      </c>
      <c r="K7660" t="n">
        <v>0</v>
      </c>
      <c r="L7660" t="n">
        <v>0</v>
      </c>
      <c r="M7660" t="n">
        <v>0</v>
      </c>
      <c r="N7660" t="n">
        <v>0</v>
      </c>
      <c r="O7660" t="n">
        <v>0</v>
      </c>
      <c r="P7660" t="n">
        <v>0</v>
      </c>
      <c r="Q7660" t="n">
        <v>0</v>
      </c>
      <c r="R7660" s="2" t="inlineStr"/>
    </row>
    <row r="7661" ht="15" customHeight="1">
      <c r="A7661" t="inlineStr">
        <is>
          <t>A 66018-2021</t>
        </is>
      </c>
      <c r="B7661" s="1" t="n">
        <v>44517</v>
      </c>
      <c r="C7661" s="1" t="n">
        <v>45212</v>
      </c>
      <c r="D7661" t="inlineStr">
        <is>
          <t>VÄSTRA GÖTALANDS LÄN</t>
        </is>
      </c>
      <c r="E7661" t="inlineStr">
        <is>
          <t>SVENLJUNGA</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66104-2021</t>
        </is>
      </c>
      <c r="B7662" s="1" t="n">
        <v>44517</v>
      </c>
      <c r="C7662" s="1" t="n">
        <v>45212</v>
      </c>
      <c r="D7662" t="inlineStr">
        <is>
          <t>VÄSTRA GÖTALANDS LÄN</t>
        </is>
      </c>
      <c r="E7662" t="inlineStr">
        <is>
          <t>LERUM</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65961-2021</t>
        </is>
      </c>
      <c r="B7663" s="1" t="n">
        <v>44517</v>
      </c>
      <c r="C7663" s="1" t="n">
        <v>45212</v>
      </c>
      <c r="D7663" t="inlineStr">
        <is>
          <t>VÄSTRA GÖTALANDS LÄN</t>
        </is>
      </c>
      <c r="E7663" t="inlineStr">
        <is>
          <t>SVENLJUNGA</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65974-2021</t>
        </is>
      </c>
      <c r="B7664" s="1" t="n">
        <v>44517</v>
      </c>
      <c r="C7664" s="1" t="n">
        <v>45212</v>
      </c>
      <c r="D7664" t="inlineStr">
        <is>
          <t>VÄSTRA GÖTALANDS LÄN</t>
        </is>
      </c>
      <c r="E7664" t="inlineStr">
        <is>
          <t>SVENLJUNGA</t>
        </is>
      </c>
      <c r="G7664" t="n">
        <v>4.4</v>
      </c>
      <c r="H7664" t="n">
        <v>0</v>
      </c>
      <c r="I7664" t="n">
        <v>0</v>
      </c>
      <c r="J7664" t="n">
        <v>0</v>
      </c>
      <c r="K7664" t="n">
        <v>0</v>
      </c>
      <c r="L7664" t="n">
        <v>0</v>
      </c>
      <c r="M7664" t="n">
        <v>0</v>
      </c>
      <c r="N7664" t="n">
        <v>0</v>
      </c>
      <c r="O7664" t="n">
        <v>0</v>
      </c>
      <c r="P7664" t="n">
        <v>0</v>
      </c>
      <c r="Q7664" t="n">
        <v>0</v>
      </c>
      <c r="R7664" s="2" t="inlineStr"/>
    </row>
    <row r="7665" ht="15" customHeight="1">
      <c r="A7665" t="inlineStr">
        <is>
          <t>A 66369-2021</t>
        </is>
      </c>
      <c r="B7665" s="1" t="n">
        <v>44518</v>
      </c>
      <c r="C7665" s="1" t="n">
        <v>45212</v>
      </c>
      <c r="D7665" t="inlineStr">
        <is>
          <t>VÄSTRA GÖTALANDS LÄN</t>
        </is>
      </c>
      <c r="E7665" t="inlineStr">
        <is>
          <t>MARK</t>
        </is>
      </c>
      <c r="F7665" t="inlineStr">
        <is>
          <t>Kyrkan</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66391-2021</t>
        </is>
      </c>
      <c r="B7666" s="1" t="n">
        <v>44518</v>
      </c>
      <c r="C7666" s="1" t="n">
        <v>45212</v>
      </c>
      <c r="D7666" t="inlineStr">
        <is>
          <t>VÄSTRA GÖTALANDS LÄN</t>
        </is>
      </c>
      <c r="E7666" t="inlineStr">
        <is>
          <t>BENGTSFORS</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66386-2021</t>
        </is>
      </c>
      <c r="B7667" s="1" t="n">
        <v>44518</v>
      </c>
      <c r="C7667" s="1" t="n">
        <v>45212</v>
      </c>
      <c r="D7667" t="inlineStr">
        <is>
          <t>VÄSTRA GÖTALANDS LÄN</t>
        </is>
      </c>
      <c r="E7667" t="inlineStr">
        <is>
          <t>VÅRGÅRDA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66405-2021</t>
        </is>
      </c>
      <c r="B7668" s="1" t="n">
        <v>44518</v>
      </c>
      <c r="C7668" s="1" t="n">
        <v>45212</v>
      </c>
      <c r="D7668" t="inlineStr">
        <is>
          <t>VÄSTRA GÖTALANDS LÄN</t>
        </is>
      </c>
      <c r="E7668" t="inlineStr">
        <is>
          <t>FÄRGELANDA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66583-2021</t>
        </is>
      </c>
      <c r="B7669" s="1" t="n">
        <v>44519</v>
      </c>
      <c r="C7669" s="1" t="n">
        <v>45212</v>
      </c>
      <c r="D7669" t="inlineStr">
        <is>
          <t>VÄSTRA GÖTALANDS LÄN</t>
        </is>
      </c>
      <c r="E7669" t="inlineStr">
        <is>
          <t>TIDAHOLM</t>
        </is>
      </c>
      <c r="G7669" t="n">
        <v>2.1</v>
      </c>
      <c r="H7669" t="n">
        <v>0</v>
      </c>
      <c r="I7669" t="n">
        <v>0</v>
      </c>
      <c r="J7669" t="n">
        <v>0</v>
      </c>
      <c r="K7669" t="n">
        <v>0</v>
      </c>
      <c r="L7669" t="n">
        <v>0</v>
      </c>
      <c r="M7669" t="n">
        <v>0</v>
      </c>
      <c r="N7669" t="n">
        <v>0</v>
      </c>
      <c r="O7669" t="n">
        <v>0</v>
      </c>
      <c r="P7669" t="n">
        <v>0</v>
      </c>
      <c r="Q7669" t="n">
        <v>0</v>
      </c>
      <c r="R7669" s="2" t="inlineStr"/>
    </row>
    <row r="7670" ht="15" customHeight="1">
      <c r="A7670" t="inlineStr">
        <is>
          <t>A 66732-2021</t>
        </is>
      </c>
      <c r="B7670" s="1" t="n">
        <v>44520</v>
      </c>
      <c r="C7670" s="1" t="n">
        <v>45212</v>
      </c>
      <c r="D7670" t="inlineStr">
        <is>
          <t>VÄSTRA GÖTALANDS LÄN</t>
        </is>
      </c>
      <c r="E7670" t="inlineStr">
        <is>
          <t>ULRICEHAMN</t>
        </is>
      </c>
      <c r="F7670" t="inlineStr">
        <is>
          <t>Sveaskog</t>
        </is>
      </c>
      <c r="G7670" t="n">
        <v>5.4</v>
      </c>
      <c r="H7670" t="n">
        <v>0</v>
      </c>
      <c r="I7670" t="n">
        <v>0</v>
      </c>
      <c r="J7670" t="n">
        <v>0</v>
      </c>
      <c r="K7670" t="n">
        <v>0</v>
      </c>
      <c r="L7670" t="n">
        <v>0</v>
      </c>
      <c r="M7670" t="n">
        <v>0</v>
      </c>
      <c r="N7670" t="n">
        <v>0</v>
      </c>
      <c r="O7670" t="n">
        <v>0</v>
      </c>
      <c r="P7670" t="n">
        <v>0</v>
      </c>
      <c r="Q7670" t="n">
        <v>0</v>
      </c>
      <c r="R7670" s="2" t="inlineStr"/>
    </row>
    <row r="7671" ht="15" customHeight="1">
      <c r="A7671" t="inlineStr">
        <is>
          <t>A 66771-2021</t>
        </is>
      </c>
      <c r="B7671" s="1" t="n">
        <v>44521</v>
      </c>
      <c r="C7671" s="1" t="n">
        <v>45212</v>
      </c>
      <c r="D7671" t="inlineStr">
        <is>
          <t>VÄSTRA GÖTALANDS LÄN</t>
        </is>
      </c>
      <c r="E7671" t="inlineStr">
        <is>
          <t>MARIESTAD</t>
        </is>
      </c>
      <c r="G7671" t="n">
        <v>5.6</v>
      </c>
      <c r="H7671" t="n">
        <v>0</v>
      </c>
      <c r="I7671" t="n">
        <v>0</v>
      </c>
      <c r="J7671" t="n">
        <v>0</v>
      </c>
      <c r="K7671" t="n">
        <v>0</v>
      </c>
      <c r="L7671" t="n">
        <v>0</v>
      </c>
      <c r="M7671" t="n">
        <v>0</v>
      </c>
      <c r="N7671" t="n">
        <v>0</v>
      </c>
      <c r="O7671" t="n">
        <v>0</v>
      </c>
      <c r="P7671" t="n">
        <v>0</v>
      </c>
      <c r="Q7671" t="n">
        <v>0</v>
      </c>
      <c r="R7671" s="2" t="inlineStr"/>
    </row>
    <row r="7672" ht="15" customHeight="1">
      <c r="A7672" t="inlineStr">
        <is>
          <t>A 66772-2021</t>
        </is>
      </c>
      <c r="B7672" s="1" t="n">
        <v>44521</v>
      </c>
      <c r="C7672" s="1" t="n">
        <v>45212</v>
      </c>
      <c r="D7672" t="inlineStr">
        <is>
          <t>VÄSTRA GÖTALANDS LÄN</t>
        </is>
      </c>
      <c r="E7672" t="inlineStr">
        <is>
          <t>MARIESTAD</t>
        </is>
      </c>
      <c r="G7672" t="n">
        <v>0.3</v>
      </c>
      <c r="H7672" t="n">
        <v>0</v>
      </c>
      <c r="I7672" t="n">
        <v>0</v>
      </c>
      <c r="J7672" t="n">
        <v>0</v>
      </c>
      <c r="K7672" t="n">
        <v>0</v>
      </c>
      <c r="L7672" t="n">
        <v>0</v>
      </c>
      <c r="M7672" t="n">
        <v>0</v>
      </c>
      <c r="N7672" t="n">
        <v>0</v>
      </c>
      <c r="O7672" t="n">
        <v>0</v>
      </c>
      <c r="P7672" t="n">
        <v>0</v>
      </c>
      <c r="Q7672" t="n">
        <v>0</v>
      </c>
      <c r="R7672" s="2" t="inlineStr"/>
    </row>
    <row r="7673" ht="15" customHeight="1">
      <c r="A7673" t="inlineStr">
        <is>
          <t>A 66967-2021</t>
        </is>
      </c>
      <c r="B7673" s="1" t="n">
        <v>44522</v>
      </c>
      <c r="C7673" s="1" t="n">
        <v>45212</v>
      </c>
      <c r="D7673" t="inlineStr">
        <is>
          <t>VÄSTRA GÖTALANDS LÄN</t>
        </is>
      </c>
      <c r="E7673" t="inlineStr">
        <is>
          <t>GRÄSTORP</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66960-2021</t>
        </is>
      </c>
      <c r="B7674" s="1" t="n">
        <v>44522</v>
      </c>
      <c r="C7674" s="1" t="n">
        <v>45212</v>
      </c>
      <c r="D7674" t="inlineStr">
        <is>
          <t>VÄSTRA GÖTALANDS LÄN</t>
        </is>
      </c>
      <c r="E7674" t="inlineStr">
        <is>
          <t>TROLLHÄTTAN</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66904-2021</t>
        </is>
      </c>
      <c r="B7675" s="1" t="n">
        <v>44522</v>
      </c>
      <c r="C7675" s="1" t="n">
        <v>45212</v>
      </c>
      <c r="D7675" t="inlineStr">
        <is>
          <t>VÄSTRA GÖTALANDS LÄN</t>
        </is>
      </c>
      <c r="E7675" t="inlineStr">
        <is>
          <t>MARK</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66945-2021</t>
        </is>
      </c>
      <c r="B7676" s="1" t="n">
        <v>44522</v>
      </c>
      <c r="C7676" s="1" t="n">
        <v>45212</v>
      </c>
      <c r="D7676" t="inlineStr">
        <is>
          <t>VÄSTRA GÖTALANDS LÄN</t>
        </is>
      </c>
      <c r="E7676" t="inlineStr">
        <is>
          <t>TANUM</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66953-2021</t>
        </is>
      </c>
      <c r="B7677" s="1" t="n">
        <v>44522</v>
      </c>
      <c r="C7677" s="1" t="n">
        <v>45212</v>
      </c>
      <c r="D7677" t="inlineStr">
        <is>
          <t>VÄSTRA GÖTALANDS LÄN</t>
        </is>
      </c>
      <c r="E7677" t="inlineStr">
        <is>
          <t>FÄRGELANDA</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66827-2021</t>
        </is>
      </c>
      <c r="B7678" s="1" t="n">
        <v>44522</v>
      </c>
      <c r="C7678" s="1" t="n">
        <v>45212</v>
      </c>
      <c r="D7678" t="inlineStr">
        <is>
          <t>VÄSTRA GÖTALANDS LÄN</t>
        </is>
      </c>
      <c r="E7678" t="inlineStr">
        <is>
          <t>LILLA EDET</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67142-2021</t>
        </is>
      </c>
      <c r="B7679" s="1" t="n">
        <v>44523</v>
      </c>
      <c r="C7679" s="1" t="n">
        <v>45212</v>
      </c>
      <c r="D7679" t="inlineStr">
        <is>
          <t>VÄSTRA GÖTALANDS LÄN</t>
        </is>
      </c>
      <c r="E7679" t="inlineStr">
        <is>
          <t>MARIESTAD</t>
        </is>
      </c>
      <c r="G7679" t="n">
        <v>3.7</v>
      </c>
      <c r="H7679" t="n">
        <v>0</v>
      </c>
      <c r="I7679" t="n">
        <v>0</v>
      </c>
      <c r="J7679" t="n">
        <v>0</v>
      </c>
      <c r="K7679" t="n">
        <v>0</v>
      </c>
      <c r="L7679" t="n">
        <v>0</v>
      </c>
      <c r="M7679" t="n">
        <v>0</v>
      </c>
      <c r="N7679" t="n">
        <v>0</v>
      </c>
      <c r="O7679" t="n">
        <v>0</v>
      </c>
      <c r="P7679" t="n">
        <v>0</v>
      </c>
      <c r="Q7679" t="n">
        <v>0</v>
      </c>
      <c r="R7679" s="2" t="inlineStr"/>
    </row>
    <row r="7680" ht="15" customHeight="1">
      <c r="A7680" t="inlineStr">
        <is>
          <t>A 67369-2021</t>
        </is>
      </c>
      <c r="B7680" s="1" t="n">
        <v>44523</v>
      </c>
      <c r="C7680" s="1" t="n">
        <v>45212</v>
      </c>
      <c r="D7680" t="inlineStr">
        <is>
          <t>VÄSTRA GÖTALANDS LÄN</t>
        </is>
      </c>
      <c r="E7680" t="inlineStr">
        <is>
          <t>TRANEMO</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67146-2021</t>
        </is>
      </c>
      <c r="B7681" s="1" t="n">
        <v>44523</v>
      </c>
      <c r="C7681" s="1" t="n">
        <v>45212</v>
      </c>
      <c r="D7681" t="inlineStr">
        <is>
          <t>VÄSTRA GÖTALANDS LÄN</t>
        </is>
      </c>
      <c r="E7681" t="inlineStr">
        <is>
          <t>MARIESTAD</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67254-2021</t>
        </is>
      </c>
      <c r="B7682" s="1" t="n">
        <v>44523</v>
      </c>
      <c r="C7682" s="1" t="n">
        <v>45212</v>
      </c>
      <c r="D7682" t="inlineStr">
        <is>
          <t>VÄSTRA GÖTALANDS LÄN</t>
        </is>
      </c>
      <c r="E7682" t="inlineStr">
        <is>
          <t>VÄNERSBORG</t>
        </is>
      </c>
      <c r="G7682" t="n">
        <v>3.9</v>
      </c>
      <c r="H7682" t="n">
        <v>0</v>
      </c>
      <c r="I7682" t="n">
        <v>0</v>
      </c>
      <c r="J7682" t="n">
        <v>0</v>
      </c>
      <c r="K7682" t="n">
        <v>0</v>
      </c>
      <c r="L7682" t="n">
        <v>0</v>
      </c>
      <c r="M7682" t="n">
        <v>0</v>
      </c>
      <c r="N7682" t="n">
        <v>0</v>
      </c>
      <c r="O7682" t="n">
        <v>0</v>
      </c>
      <c r="P7682" t="n">
        <v>0</v>
      </c>
      <c r="Q7682" t="n">
        <v>0</v>
      </c>
      <c r="R7682" s="2" t="inlineStr"/>
    </row>
    <row r="7683" ht="15" customHeight="1">
      <c r="A7683" t="inlineStr">
        <is>
          <t>A 67160-2021</t>
        </is>
      </c>
      <c r="B7683" s="1" t="n">
        <v>44523</v>
      </c>
      <c r="C7683" s="1" t="n">
        <v>45212</v>
      </c>
      <c r="D7683" t="inlineStr">
        <is>
          <t>VÄSTRA GÖTALANDS LÄN</t>
        </is>
      </c>
      <c r="E7683" t="inlineStr">
        <is>
          <t>ALE</t>
        </is>
      </c>
      <c r="G7683" t="n">
        <v>2.2</v>
      </c>
      <c r="H7683" t="n">
        <v>0</v>
      </c>
      <c r="I7683" t="n">
        <v>0</v>
      </c>
      <c r="J7683" t="n">
        <v>0</v>
      </c>
      <c r="K7683" t="n">
        <v>0</v>
      </c>
      <c r="L7683" t="n">
        <v>0</v>
      </c>
      <c r="M7683" t="n">
        <v>0</v>
      </c>
      <c r="N7683" t="n">
        <v>0</v>
      </c>
      <c r="O7683" t="n">
        <v>0</v>
      </c>
      <c r="P7683" t="n">
        <v>0</v>
      </c>
      <c r="Q7683" t="n">
        <v>0</v>
      </c>
      <c r="R7683" s="2" t="inlineStr"/>
    </row>
    <row r="7684" ht="15" customHeight="1">
      <c r="A7684" t="inlineStr">
        <is>
          <t>A 67324-2021</t>
        </is>
      </c>
      <c r="B7684" s="1" t="n">
        <v>44523</v>
      </c>
      <c r="C7684" s="1" t="n">
        <v>45212</v>
      </c>
      <c r="D7684" t="inlineStr">
        <is>
          <t>VÄSTRA GÖTALANDS LÄN</t>
        </is>
      </c>
      <c r="E7684" t="inlineStr">
        <is>
          <t>TROLLHÄTTAN</t>
        </is>
      </c>
      <c r="G7684" t="n">
        <v>7.4</v>
      </c>
      <c r="H7684" t="n">
        <v>0</v>
      </c>
      <c r="I7684" t="n">
        <v>0</v>
      </c>
      <c r="J7684" t="n">
        <v>0</v>
      </c>
      <c r="K7684" t="n">
        <v>0</v>
      </c>
      <c r="L7684" t="n">
        <v>0</v>
      </c>
      <c r="M7684" t="n">
        <v>0</v>
      </c>
      <c r="N7684" t="n">
        <v>0</v>
      </c>
      <c r="O7684" t="n">
        <v>0</v>
      </c>
      <c r="P7684" t="n">
        <v>0</v>
      </c>
      <c r="Q7684" t="n">
        <v>0</v>
      </c>
      <c r="R7684" s="2" t="inlineStr"/>
    </row>
    <row r="7685" ht="15" customHeight="1">
      <c r="A7685" t="inlineStr">
        <is>
          <t>A 67165-2021</t>
        </is>
      </c>
      <c r="B7685" s="1" t="n">
        <v>44523</v>
      </c>
      <c r="C7685" s="1" t="n">
        <v>45212</v>
      </c>
      <c r="D7685" t="inlineStr">
        <is>
          <t>VÄSTRA GÖTALANDS LÄN</t>
        </is>
      </c>
      <c r="E7685" t="inlineStr">
        <is>
          <t>ALE</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67233-2021</t>
        </is>
      </c>
      <c r="B7686" s="1" t="n">
        <v>44523</v>
      </c>
      <c r="C7686" s="1" t="n">
        <v>45212</v>
      </c>
      <c r="D7686" t="inlineStr">
        <is>
          <t>VÄSTRA GÖTALANDS LÄN</t>
        </is>
      </c>
      <c r="E7686" t="inlineStr">
        <is>
          <t>MUNKEDAL</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67260-2021</t>
        </is>
      </c>
      <c r="B7687" s="1" t="n">
        <v>44523</v>
      </c>
      <c r="C7687" s="1" t="n">
        <v>45212</v>
      </c>
      <c r="D7687" t="inlineStr">
        <is>
          <t>VÄSTRA GÖTALANDS LÄN</t>
        </is>
      </c>
      <c r="E7687" t="inlineStr">
        <is>
          <t>UDDEVALLA</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67463-2021</t>
        </is>
      </c>
      <c r="B7688" s="1" t="n">
        <v>44524</v>
      </c>
      <c r="C7688" s="1" t="n">
        <v>45212</v>
      </c>
      <c r="D7688" t="inlineStr">
        <is>
          <t>VÄSTRA GÖTALANDS LÄN</t>
        </is>
      </c>
      <c r="E7688" t="inlineStr">
        <is>
          <t>ÅMÅL</t>
        </is>
      </c>
      <c r="G7688" t="n">
        <v>4.4</v>
      </c>
      <c r="H7688" t="n">
        <v>0</v>
      </c>
      <c r="I7688" t="n">
        <v>0</v>
      </c>
      <c r="J7688" t="n">
        <v>0</v>
      </c>
      <c r="K7688" t="n">
        <v>0</v>
      </c>
      <c r="L7688" t="n">
        <v>0</v>
      </c>
      <c r="M7688" t="n">
        <v>0</v>
      </c>
      <c r="N7688" t="n">
        <v>0</v>
      </c>
      <c r="O7688" t="n">
        <v>0</v>
      </c>
      <c r="P7688" t="n">
        <v>0</v>
      </c>
      <c r="Q7688" t="n">
        <v>0</v>
      </c>
      <c r="R7688" s="2" t="inlineStr"/>
    </row>
    <row r="7689" ht="15" customHeight="1">
      <c r="A7689" t="inlineStr">
        <is>
          <t>A 67777-2021</t>
        </is>
      </c>
      <c r="B7689" s="1" t="n">
        <v>44524</v>
      </c>
      <c r="C7689" s="1" t="n">
        <v>45212</v>
      </c>
      <c r="D7689" t="inlineStr">
        <is>
          <t>VÄSTRA GÖTALANDS LÄN</t>
        </is>
      </c>
      <c r="E7689" t="inlineStr">
        <is>
          <t>BENGTSFORS</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67959-2021</t>
        </is>
      </c>
      <c r="B7690" s="1" t="n">
        <v>44525</v>
      </c>
      <c r="C7690" s="1" t="n">
        <v>45212</v>
      </c>
      <c r="D7690" t="inlineStr">
        <is>
          <t>VÄSTRA GÖTALANDS LÄN</t>
        </is>
      </c>
      <c r="E7690" t="inlineStr">
        <is>
          <t>FÄRGELANDA</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68517-2021</t>
        </is>
      </c>
      <c r="B7691" s="1" t="n">
        <v>44525</v>
      </c>
      <c r="C7691" s="1" t="n">
        <v>45212</v>
      </c>
      <c r="D7691" t="inlineStr">
        <is>
          <t>VÄSTRA GÖTALANDS LÄN</t>
        </is>
      </c>
      <c r="E7691" t="inlineStr">
        <is>
          <t>GULLSPÅNG</t>
        </is>
      </c>
      <c r="G7691" t="n">
        <v>4.9</v>
      </c>
      <c r="H7691" t="n">
        <v>0</v>
      </c>
      <c r="I7691" t="n">
        <v>0</v>
      </c>
      <c r="J7691" t="n">
        <v>0</v>
      </c>
      <c r="K7691" t="n">
        <v>0</v>
      </c>
      <c r="L7691" t="n">
        <v>0</v>
      </c>
      <c r="M7691" t="n">
        <v>0</v>
      </c>
      <c r="N7691" t="n">
        <v>0</v>
      </c>
      <c r="O7691" t="n">
        <v>0</v>
      </c>
      <c r="P7691" t="n">
        <v>0</v>
      </c>
      <c r="Q7691" t="n">
        <v>0</v>
      </c>
      <c r="R7691" s="2" t="inlineStr"/>
    </row>
    <row r="7692" ht="15" customHeight="1">
      <c r="A7692" t="inlineStr">
        <is>
          <t>A 67782-2021</t>
        </is>
      </c>
      <c r="B7692" s="1" t="n">
        <v>44525</v>
      </c>
      <c r="C7692" s="1" t="n">
        <v>45212</v>
      </c>
      <c r="D7692" t="inlineStr">
        <is>
          <t>VÄSTRA GÖTALANDS LÄN</t>
        </is>
      </c>
      <c r="E7692" t="inlineStr">
        <is>
          <t>HERRLJUNGA</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68214-2021</t>
        </is>
      </c>
      <c r="B7693" s="1" t="n">
        <v>44525</v>
      </c>
      <c r="C7693" s="1" t="n">
        <v>45212</v>
      </c>
      <c r="D7693" t="inlineStr">
        <is>
          <t>VÄSTRA GÖTALANDS LÄN</t>
        </is>
      </c>
      <c r="E7693" t="inlineStr">
        <is>
          <t>TANUM</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67773-2021</t>
        </is>
      </c>
      <c r="B7694" s="1" t="n">
        <v>44525</v>
      </c>
      <c r="C7694" s="1" t="n">
        <v>45212</v>
      </c>
      <c r="D7694" t="inlineStr">
        <is>
          <t>VÄSTRA GÖTALANDS LÄN</t>
        </is>
      </c>
      <c r="E7694" t="inlineStr">
        <is>
          <t>TRANEMO</t>
        </is>
      </c>
      <c r="F7694" t="inlineStr">
        <is>
          <t>Sveaskog</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67798-2021</t>
        </is>
      </c>
      <c r="B7695" s="1" t="n">
        <v>44525</v>
      </c>
      <c r="C7695" s="1" t="n">
        <v>45212</v>
      </c>
      <c r="D7695" t="inlineStr">
        <is>
          <t>VÄSTRA GÖTALANDS LÄN</t>
        </is>
      </c>
      <c r="E7695" t="inlineStr">
        <is>
          <t>HÄRRYDA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67875-2021</t>
        </is>
      </c>
      <c r="B7696" s="1" t="n">
        <v>44525</v>
      </c>
      <c r="C7696" s="1" t="n">
        <v>45212</v>
      </c>
      <c r="D7696" t="inlineStr">
        <is>
          <t>VÄSTRA GÖTALANDS LÄN</t>
        </is>
      </c>
      <c r="E7696" t="inlineStr">
        <is>
          <t>STRÖMSTAD</t>
        </is>
      </c>
      <c r="G7696" t="n">
        <v>15.5</v>
      </c>
      <c r="H7696" t="n">
        <v>0</v>
      </c>
      <c r="I7696" t="n">
        <v>0</v>
      </c>
      <c r="J7696" t="n">
        <v>0</v>
      </c>
      <c r="K7696" t="n">
        <v>0</v>
      </c>
      <c r="L7696" t="n">
        <v>0</v>
      </c>
      <c r="M7696" t="n">
        <v>0</v>
      </c>
      <c r="N7696" t="n">
        <v>0</v>
      </c>
      <c r="O7696" t="n">
        <v>0</v>
      </c>
      <c r="P7696" t="n">
        <v>0</v>
      </c>
      <c r="Q7696" t="n">
        <v>0</v>
      </c>
      <c r="R7696" s="2" t="inlineStr"/>
    </row>
    <row r="7697" ht="15" customHeight="1">
      <c r="A7697" t="inlineStr">
        <is>
          <t>A 68243-2021</t>
        </is>
      </c>
      <c r="B7697" s="1" t="n">
        <v>44525</v>
      </c>
      <c r="C7697" s="1" t="n">
        <v>45212</v>
      </c>
      <c r="D7697" t="inlineStr">
        <is>
          <t>VÄSTRA GÖTALANDS LÄN</t>
        </is>
      </c>
      <c r="E7697" t="inlineStr">
        <is>
          <t>STRÖMSTAD</t>
        </is>
      </c>
      <c r="G7697" t="n">
        <v>2.4</v>
      </c>
      <c r="H7697" t="n">
        <v>0</v>
      </c>
      <c r="I7697" t="n">
        <v>0</v>
      </c>
      <c r="J7697" t="n">
        <v>0</v>
      </c>
      <c r="K7697" t="n">
        <v>0</v>
      </c>
      <c r="L7697" t="n">
        <v>0</v>
      </c>
      <c r="M7697" t="n">
        <v>0</v>
      </c>
      <c r="N7697" t="n">
        <v>0</v>
      </c>
      <c r="O7697" t="n">
        <v>0</v>
      </c>
      <c r="P7697" t="n">
        <v>0</v>
      </c>
      <c r="Q7697" t="n">
        <v>0</v>
      </c>
      <c r="R7697" s="2" t="inlineStr"/>
    </row>
    <row r="7698" ht="15" customHeight="1">
      <c r="A7698" t="inlineStr">
        <is>
          <t>A 67955-2021</t>
        </is>
      </c>
      <c r="B7698" s="1" t="n">
        <v>44525</v>
      </c>
      <c r="C7698" s="1" t="n">
        <v>45212</v>
      </c>
      <c r="D7698" t="inlineStr">
        <is>
          <t>VÄSTRA GÖTALANDS LÄN</t>
        </is>
      </c>
      <c r="E7698" t="inlineStr">
        <is>
          <t>ÅMÅL</t>
        </is>
      </c>
      <c r="F7698" t="inlineStr">
        <is>
          <t>Kyrkan</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68218-2021</t>
        </is>
      </c>
      <c r="B7699" s="1" t="n">
        <v>44525</v>
      </c>
      <c r="C7699" s="1" t="n">
        <v>45212</v>
      </c>
      <c r="D7699" t="inlineStr">
        <is>
          <t>VÄSTRA GÖTALANDS LÄN</t>
        </is>
      </c>
      <c r="E7699" t="inlineStr">
        <is>
          <t>MUNKEDAL</t>
        </is>
      </c>
      <c r="F7699" t="inlineStr">
        <is>
          <t>Övriga Aktiebolag</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68144-2021</t>
        </is>
      </c>
      <c r="B7700" s="1" t="n">
        <v>44526</v>
      </c>
      <c r="C7700" s="1" t="n">
        <v>45212</v>
      </c>
      <c r="D7700" t="inlineStr">
        <is>
          <t>VÄSTRA GÖTALANDS LÄN</t>
        </is>
      </c>
      <c r="E7700" t="inlineStr">
        <is>
          <t>BENGTSFORS</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68392-2021</t>
        </is>
      </c>
      <c r="B7701" s="1" t="n">
        <v>44526</v>
      </c>
      <c r="C7701" s="1" t="n">
        <v>45212</v>
      </c>
      <c r="D7701" t="inlineStr">
        <is>
          <t>VÄSTRA GÖTALANDS LÄN</t>
        </is>
      </c>
      <c r="E7701" t="inlineStr">
        <is>
          <t>STRÖMSTAD</t>
        </is>
      </c>
      <c r="G7701" t="n">
        <v>2.9</v>
      </c>
      <c r="H7701" t="n">
        <v>0</v>
      </c>
      <c r="I7701" t="n">
        <v>0</v>
      </c>
      <c r="J7701" t="n">
        <v>0</v>
      </c>
      <c r="K7701" t="n">
        <v>0</v>
      </c>
      <c r="L7701" t="n">
        <v>0</v>
      </c>
      <c r="M7701" t="n">
        <v>0</v>
      </c>
      <c r="N7701" t="n">
        <v>0</v>
      </c>
      <c r="O7701" t="n">
        <v>0</v>
      </c>
      <c r="P7701" t="n">
        <v>0</v>
      </c>
      <c r="Q7701" t="n">
        <v>0</v>
      </c>
      <c r="R7701" s="2" t="inlineStr"/>
    </row>
    <row r="7702" ht="15" customHeight="1">
      <c r="A7702" t="inlineStr">
        <is>
          <t>A 68173-2021</t>
        </is>
      </c>
      <c r="B7702" s="1" t="n">
        <v>44526</v>
      </c>
      <c r="C7702" s="1" t="n">
        <v>45212</v>
      </c>
      <c r="D7702" t="inlineStr">
        <is>
          <t>VÄSTRA GÖTALANDS LÄN</t>
        </is>
      </c>
      <c r="E7702" t="inlineStr">
        <is>
          <t>MUNKEDAL</t>
        </is>
      </c>
      <c r="G7702" t="n">
        <v>10.8</v>
      </c>
      <c r="H7702" t="n">
        <v>0</v>
      </c>
      <c r="I7702" t="n">
        <v>0</v>
      </c>
      <c r="J7702" t="n">
        <v>0</v>
      </c>
      <c r="K7702" t="n">
        <v>0</v>
      </c>
      <c r="L7702" t="n">
        <v>0</v>
      </c>
      <c r="M7702" t="n">
        <v>0</v>
      </c>
      <c r="N7702" t="n">
        <v>0</v>
      </c>
      <c r="O7702" t="n">
        <v>0</v>
      </c>
      <c r="P7702" t="n">
        <v>0</v>
      </c>
      <c r="Q7702" t="n">
        <v>0</v>
      </c>
      <c r="R7702" s="2" t="inlineStr"/>
    </row>
    <row r="7703" ht="15" customHeight="1">
      <c r="A7703" t="inlineStr">
        <is>
          <t>A 68333-2021</t>
        </is>
      </c>
      <c r="B7703" s="1" t="n">
        <v>44527</v>
      </c>
      <c r="C7703" s="1" t="n">
        <v>45212</v>
      </c>
      <c r="D7703" t="inlineStr">
        <is>
          <t>VÄSTRA GÖTALANDS LÄN</t>
        </is>
      </c>
      <c r="E7703" t="inlineStr">
        <is>
          <t>MUNKEDAL</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68365-2021</t>
        </is>
      </c>
      <c r="B7704" s="1" t="n">
        <v>44529</v>
      </c>
      <c r="C7704" s="1" t="n">
        <v>45212</v>
      </c>
      <c r="D7704" t="inlineStr">
        <is>
          <t>VÄSTRA GÖTALANDS LÄN</t>
        </is>
      </c>
      <c r="E7704" t="inlineStr">
        <is>
          <t>TRANEMO</t>
        </is>
      </c>
      <c r="G7704" t="n">
        <v>2.3</v>
      </c>
      <c r="H7704" t="n">
        <v>0</v>
      </c>
      <c r="I7704" t="n">
        <v>0</v>
      </c>
      <c r="J7704" t="n">
        <v>0</v>
      </c>
      <c r="K7704" t="n">
        <v>0</v>
      </c>
      <c r="L7704" t="n">
        <v>0</v>
      </c>
      <c r="M7704" t="n">
        <v>0</v>
      </c>
      <c r="N7704" t="n">
        <v>0</v>
      </c>
      <c r="O7704" t="n">
        <v>0</v>
      </c>
      <c r="P7704" t="n">
        <v>0</v>
      </c>
      <c r="Q7704" t="n">
        <v>0</v>
      </c>
      <c r="R7704" s="2" t="inlineStr"/>
    </row>
    <row r="7705" ht="15" customHeight="1">
      <c r="A7705" t="inlineStr">
        <is>
          <t>A 68489-2021</t>
        </is>
      </c>
      <c r="B7705" s="1" t="n">
        <v>44529</v>
      </c>
      <c r="C7705" s="1" t="n">
        <v>45212</v>
      </c>
      <c r="D7705" t="inlineStr">
        <is>
          <t>VÄSTRA GÖTALANDS LÄN</t>
        </is>
      </c>
      <c r="E7705" t="inlineStr">
        <is>
          <t>LERUM</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68511-2021</t>
        </is>
      </c>
      <c r="B7706" s="1" t="n">
        <v>44529</v>
      </c>
      <c r="C7706" s="1" t="n">
        <v>45212</v>
      </c>
      <c r="D7706" t="inlineStr">
        <is>
          <t>VÄSTRA GÖTALANDS LÄN</t>
        </is>
      </c>
      <c r="E7706" t="inlineStr">
        <is>
          <t>TIDAHOLM</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68631-2021</t>
        </is>
      </c>
      <c r="B7707" s="1" t="n">
        <v>44529</v>
      </c>
      <c r="C7707" s="1" t="n">
        <v>45212</v>
      </c>
      <c r="D7707" t="inlineStr">
        <is>
          <t>VÄSTRA GÖTALANDS LÄN</t>
        </is>
      </c>
      <c r="E7707" t="inlineStr">
        <is>
          <t>TIDAHOLM</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68704-2021</t>
        </is>
      </c>
      <c r="B7708" s="1" t="n">
        <v>44529</v>
      </c>
      <c r="C7708" s="1" t="n">
        <v>45212</v>
      </c>
      <c r="D7708" t="inlineStr">
        <is>
          <t>VÄSTRA GÖTALANDS LÄN</t>
        </is>
      </c>
      <c r="E7708" t="inlineStr">
        <is>
          <t>UDDEVALLA</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68727-2021</t>
        </is>
      </c>
      <c r="B7709" s="1" t="n">
        <v>44529</v>
      </c>
      <c r="C7709" s="1" t="n">
        <v>45212</v>
      </c>
      <c r="D7709" t="inlineStr">
        <is>
          <t>VÄSTRA GÖTALANDS LÄN</t>
        </is>
      </c>
      <c r="E7709" t="inlineStr">
        <is>
          <t>ORUST</t>
        </is>
      </c>
      <c r="G7709" t="n">
        <v>2.6</v>
      </c>
      <c r="H7709" t="n">
        <v>0</v>
      </c>
      <c r="I7709" t="n">
        <v>0</v>
      </c>
      <c r="J7709" t="n">
        <v>0</v>
      </c>
      <c r="K7709" t="n">
        <v>0</v>
      </c>
      <c r="L7709" t="n">
        <v>0</v>
      </c>
      <c r="M7709" t="n">
        <v>0</v>
      </c>
      <c r="N7709" t="n">
        <v>0</v>
      </c>
      <c r="O7709" t="n">
        <v>0</v>
      </c>
      <c r="P7709" t="n">
        <v>0</v>
      </c>
      <c r="Q7709" t="n">
        <v>0</v>
      </c>
      <c r="R7709" s="2" t="inlineStr"/>
    </row>
    <row r="7710" ht="15" customHeight="1">
      <c r="A7710" t="inlineStr">
        <is>
          <t>A 68658-2021</t>
        </is>
      </c>
      <c r="B7710" s="1" t="n">
        <v>44529</v>
      </c>
      <c r="C7710" s="1" t="n">
        <v>45212</v>
      </c>
      <c r="D7710" t="inlineStr">
        <is>
          <t>VÄSTRA GÖTALANDS LÄN</t>
        </is>
      </c>
      <c r="E7710" t="inlineStr">
        <is>
          <t>FALKÖPING</t>
        </is>
      </c>
      <c r="G7710" t="n">
        <v>3.1</v>
      </c>
      <c r="H7710" t="n">
        <v>0</v>
      </c>
      <c r="I7710" t="n">
        <v>0</v>
      </c>
      <c r="J7710" t="n">
        <v>0</v>
      </c>
      <c r="K7710" t="n">
        <v>0</v>
      </c>
      <c r="L7710" t="n">
        <v>0</v>
      </c>
      <c r="M7710" t="n">
        <v>0</v>
      </c>
      <c r="N7710" t="n">
        <v>0</v>
      </c>
      <c r="O7710" t="n">
        <v>0</v>
      </c>
      <c r="P7710" t="n">
        <v>0</v>
      </c>
      <c r="Q7710" t="n">
        <v>0</v>
      </c>
      <c r="R7710" s="2" t="inlineStr"/>
    </row>
    <row r="7711" ht="15" customHeight="1">
      <c r="A7711" t="inlineStr">
        <is>
          <t>A 68702-2021</t>
        </is>
      </c>
      <c r="B7711" s="1" t="n">
        <v>44529</v>
      </c>
      <c r="C7711" s="1" t="n">
        <v>45212</v>
      </c>
      <c r="D7711" t="inlineStr">
        <is>
          <t>VÄSTRA GÖTALANDS LÄN</t>
        </is>
      </c>
      <c r="E7711" t="inlineStr">
        <is>
          <t>UDDEVALLA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68633-2021</t>
        </is>
      </c>
      <c r="B7712" s="1" t="n">
        <v>44529</v>
      </c>
      <c r="C7712" s="1" t="n">
        <v>45212</v>
      </c>
      <c r="D7712" t="inlineStr">
        <is>
          <t>VÄSTRA GÖTALANDS LÄN</t>
        </is>
      </c>
      <c r="E7712" t="inlineStr">
        <is>
          <t>FÄRGELANDA</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68660-2021</t>
        </is>
      </c>
      <c r="B7713" s="1" t="n">
        <v>44529</v>
      </c>
      <c r="C7713" s="1" t="n">
        <v>45212</v>
      </c>
      <c r="D7713" t="inlineStr">
        <is>
          <t>VÄSTRA GÖTALANDS LÄN</t>
        </is>
      </c>
      <c r="E7713" t="inlineStr">
        <is>
          <t>FALKÖPING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68400-2021</t>
        </is>
      </c>
      <c r="B7714" s="1" t="n">
        <v>44529</v>
      </c>
      <c r="C7714" s="1" t="n">
        <v>45212</v>
      </c>
      <c r="D7714" t="inlineStr">
        <is>
          <t>VÄSTRA GÖTALANDS LÄN</t>
        </is>
      </c>
      <c r="E7714" t="inlineStr">
        <is>
          <t>TROLLHÄTTAN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68640-2021</t>
        </is>
      </c>
      <c r="B7715" s="1" t="n">
        <v>44529</v>
      </c>
      <c r="C7715" s="1" t="n">
        <v>45212</v>
      </c>
      <c r="D7715" t="inlineStr">
        <is>
          <t>VÄSTRA GÖTALANDS LÄN</t>
        </is>
      </c>
      <c r="E7715" t="inlineStr">
        <is>
          <t>TIDAHOLM</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68656-2021</t>
        </is>
      </c>
      <c r="B7716" s="1" t="n">
        <v>44529</v>
      </c>
      <c r="C7716" s="1" t="n">
        <v>45212</v>
      </c>
      <c r="D7716" t="inlineStr">
        <is>
          <t>VÄSTRA GÖTALANDS LÄN</t>
        </is>
      </c>
      <c r="E7716" t="inlineStr">
        <is>
          <t>FALKÖPING</t>
        </is>
      </c>
      <c r="G7716" t="n">
        <v>3.2</v>
      </c>
      <c r="H7716" t="n">
        <v>0</v>
      </c>
      <c r="I7716" t="n">
        <v>0</v>
      </c>
      <c r="J7716" t="n">
        <v>0</v>
      </c>
      <c r="K7716" t="n">
        <v>0</v>
      </c>
      <c r="L7716" t="n">
        <v>0</v>
      </c>
      <c r="M7716" t="n">
        <v>0</v>
      </c>
      <c r="N7716" t="n">
        <v>0</v>
      </c>
      <c r="O7716" t="n">
        <v>0</v>
      </c>
      <c r="P7716" t="n">
        <v>0</v>
      </c>
      <c r="Q7716" t="n">
        <v>0</v>
      </c>
      <c r="R7716" s="2" t="inlineStr"/>
    </row>
    <row r="7717" ht="15" customHeight="1">
      <c r="A7717" t="inlineStr">
        <is>
          <t>A 68680-2021</t>
        </is>
      </c>
      <c r="B7717" s="1" t="n">
        <v>44529</v>
      </c>
      <c r="C7717" s="1" t="n">
        <v>45212</v>
      </c>
      <c r="D7717" t="inlineStr">
        <is>
          <t>VÄSTRA GÖTALANDS LÄN</t>
        </is>
      </c>
      <c r="E7717" t="inlineStr">
        <is>
          <t>GÖTENE</t>
        </is>
      </c>
      <c r="G7717" t="n">
        <v>4.9</v>
      </c>
      <c r="H7717" t="n">
        <v>0</v>
      </c>
      <c r="I7717" t="n">
        <v>0</v>
      </c>
      <c r="J7717" t="n">
        <v>0</v>
      </c>
      <c r="K7717" t="n">
        <v>0</v>
      </c>
      <c r="L7717" t="n">
        <v>0</v>
      </c>
      <c r="M7717" t="n">
        <v>0</v>
      </c>
      <c r="N7717" t="n">
        <v>0</v>
      </c>
      <c r="O7717" t="n">
        <v>0</v>
      </c>
      <c r="P7717" t="n">
        <v>0</v>
      </c>
      <c r="Q7717" t="n">
        <v>0</v>
      </c>
      <c r="R7717" s="2" t="inlineStr"/>
    </row>
    <row r="7718" ht="15" customHeight="1">
      <c r="A7718" t="inlineStr">
        <is>
          <t>A 68739-2021</t>
        </is>
      </c>
      <c r="B7718" s="1" t="n">
        <v>44529</v>
      </c>
      <c r="C7718" s="1" t="n">
        <v>45212</v>
      </c>
      <c r="D7718" t="inlineStr">
        <is>
          <t>VÄSTRA GÖTALANDS LÄN</t>
        </is>
      </c>
      <c r="E7718" t="inlineStr">
        <is>
          <t>LYSEKIL</t>
        </is>
      </c>
      <c r="G7718" t="n">
        <v>1.1</v>
      </c>
      <c r="H7718" t="n">
        <v>0</v>
      </c>
      <c r="I7718" t="n">
        <v>0</v>
      </c>
      <c r="J7718" t="n">
        <v>0</v>
      </c>
      <c r="K7718" t="n">
        <v>0</v>
      </c>
      <c r="L7718" t="n">
        <v>0</v>
      </c>
      <c r="M7718" t="n">
        <v>0</v>
      </c>
      <c r="N7718" t="n">
        <v>0</v>
      </c>
      <c r="O7718" t="n">
        <v>0</v>
      </c>
      <c r="P7718" t="n">
        <v>0</v>
      </c>
      <c r="Q7718" t="n">
        <v>0</v>
      </c>
      <c r="R7718" s="2" t="inlineStr"/>
    </row>
    <row r="7719" ht="15" customHeight="1">
      <c r="A7719" t="inlineStr">
        <is>
          <t>A 68802-2021</t>
        </is>
      </c>
      <c r="B7719" s="1" t="n">
        <v>44529</v>
      </c>
      <c r="C7719" s="1" t="n">
        <v>45212</v>
      </c>
      <c r="D7719" t="inlineStr">
        <is>
          <t>VÄSTRA GÖTALANDS LÄN</t>
        </is>
      </c>
      <c r="E7719" t="inlineStr">
        <is>
          <t>KARLSBORG</t>
        </is>
      </c>
      <c r="G7719" t="n">
        <v>0.7</v>
      </c>
      <c r="H7719" t="n">
        <v>0</v>
      </c>
      <c r="I7719" t="n">
        <v>0</v>
      </c>
      <c r="J7719" t="n">
        <v>0</v>
      </c>
      <c r="K7719" t="n">
        <v>0</v>
      </c>
      <c r="L7719" t="n">
        <v>0</v>
      </c>
      <c r="M7719" t="n">
        <v>0</v>
      </c>
      <c r="N7719" t="n">
        <v>0</v>
      </c>
      <c r="O7719" t="n">
        <v>0</v>
      </c>
      <c r="P7719" t="n">
        <v>0</v>
      </c>
      <c r="Q7719" t="n">
        <v>0</v>
      </c>
      <c r="R7719" s="2" t="inlineStr"/>
    </row>
    <row r="7720" ht="15" customHeight="1">
      <c r="A7720" t="inlineStr">
        <is>
          <t>A 69114-2021</t>
        </is>
      </c>
      <c r="B7720" s="1" t="n">
        <v>44530</v>
      </c>
      <c r="C7720" s="1" t="n">
        <v>45212</v>
      </c>
      <c r="D7720" t="inlineStr">
        <is>
          <t>VÄSTRA GÖTALANDS LÄN</t>
        </is>
      </c>
      <c r="E7720" t="inlineStr">
        <is>
          <t>ULRICEHAMN</t>
        </is>
      </c>
      <c r="G7720" t="n">
        <v>5.8</v>
      </c>
      <c r="H7720" t="n">
        <v>0</v>
      </c>
      <c r="I7720" t="n">
        <v>0</v>
      </c>
      <c r="J7720" t="n">
        <v>0</v>
      </c>
      <c r="K7720" t="n">
        <v>0</v>
      </c>
      <c r="L7720" t="n">
        <v>0</v>
      </c>
      <c r="M7720" t="n">
        <v>0</v>
      </c>
      <c r="N7720" t="n">
        <v>0</v>
      </c>
      <c r="O7720" t="n">
        <v>0</v>
      </c>
      <c r="P7720" t="n">
        <v>0</v>
      </c>
      <c r="Q7720" t="n">
        <v>0</v>
      </c>
      <c r="R7720" s="2" t="inlineStr"/>
    </row>
    <row r="7721" ht="15" customHeight="1">
      <c r="A7721" t="inlineStr">
        <is>
          <t>A 68950-2021</t>
        </is>
      </c>
      <c r="B7721" s="1" t="n">
        <v>44530</v>
      </c>
      <c r="C7721" s="1" t="n">
        <v>45212</v>
      </c>
      <c r="D7721" t="inlineStr">
        <is>
          <t>VÄSTRA GÖTALANDS LÄN</t>
        </is>
      </c>
      <c r="E7721" t="inlineStr">
        <is>
          <t>UDDEVALLA</t>
        </is>
      </c>
      <c r="G7721" t="n">
        <v>11.8</v>
      </c>
      <c r="H7721" t="n">
        <v>0</v>
      </c>
      <c r="I7721" t="n">
        <v>0</v>
      </c>
      <c r="J7721" t="n">
        <v>0</v>
      </c>
      <c r="K7721" t="n">
        <v>0</v>
      </c>
      <c r="L7721" t="n">
        <v>0</v>
      </c>
      <c r="M7721" t="n">
        <v>0</v>
      </c>
      <c r="N7721" t="n">
        <v>0</v>
      </c>
      <c r="O7721" t="n">
        <v>0</v>
      </c>
      <c r="P7721" t="n">
        <v>0</v>
      </c>
      <c r="Q7721" t="n">
        <v>0</v>
      </c>
      <c r="R7721" s="2" t="inlineStr"/>
    </row>
    <row r="7722" ht="15" customHeight="1">
      <c r="A7722" t="inlineStr">
        <is>
          <t>A 69092-2021</t>
        </is>
      </c>
      <c r="B7722" s="1" t="n">
        <v>44530</v>
      </c>
      <c r="C7722" s="1" t="n">
        <v>45212</v>
      </c>
      <c r="D7722" t="inlineStr">
        <is>
          <t>VÄSTRA GÖTALANDS LÄN</t>
        </is>
      </c>
      <c r="E7722" t="inlineStr">
        <is>
          <t>SVENLJUNGA</t>
        </is>
      </c>
      <c r="F7722" t="inlineStr">
        <is>
          <t>Kommuner</t>
        </is>
      </c>
      <c r="G7722" t="n">
        <v>5</v>
      </c>
      <c r="H7722" t="n">
        <v>0</v>
      </c>
      <c r="I7722" t="n">
        <v>0</v>
      </c>
      <c r="J7722" t="n">
        <v>0</v>
      </c>
      <c r="K7722" t="n">
        <v>0</v>
      </c>
      <c r="L7722" t="n">
        <v>0</v>
      </c>
      <c r="M7722" t="n">
        <v>0</v>
      </c>
      <c r="N7722" t="n">
        <v>0</v>
      </c>
      <c r="O7722" t="n">
        <v>0</v>
      </c>
      <c r="P7722" t="n">
        <v>0</v>
      </c>
      <c r="Q7722" t="n">
        <v>0</v>
      </c>
      <c r="R7722" s="2" t="inlineStr"/>
    </row>
    <row r="7723" ht="15" customHeight="1">
      <c r="A7723" t="inlineStr">
        <is>
          <t>A 68922-2021</t>
        </is>
      </c>
      <c r="B7723" s="1" t="n">
        <v>44530</v>
      </c>
      <c r="C7723" s="1" t="n">
        <v>45212</v>
      </c>
      <c r="D7723" t="inlineStr">
        <is>
          <t>VÄSTRA GÖTALANDS LÄN</t>
        </is>
      </c>
      <c r="E7723" t="inlineStr">
        <is>
          <t>MARIESTAD</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69036-2021</t>
        </is>
      </c>
      <c r="B7724" s="1" t="n">
        <v>44530</v>
      </c>
      <c r="C7724" s="1" t="n">
        <v>45212</v>
      </c>
      <c r="D7724" t="inlineStr">
        <is>
          <t>VÄSTRA GÖTALANDS LÄN</t>
        </is>
      </c>
      <c r="E7724" t="inlineStr">
        <is>
          <t>TRANEMO</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69071-2021</t>
        </is>
      </c>
      <c r="B7725" s="1" t="n">
        <v>44530</v>
      </c>
      <c r="C7725" s="1" t="n">
        <v>45212</v>
      </c>
      <c r="D7725" t="inlineStr">
        <is>
          <t>VÄSTRA GÖTALANDS LÄN</t>
        </is>
      </c>
      <c r="E7725" t="inlineStr">
        <is>
          <t>TRANEMO</t>
        </is>
      </c>
      <c r="G7725" t="n">
        <v>2.2</v>
      </c>
      <c r="H7725" t="n">
        <v>0</v>
      </c>
      <c r="I7725" t="n">
        <v>0</v>
      </c>
      <c r="J7725" t="n">
        <v>0</v>
      </c>
      <c r="K7725" t="n">
        <v>0</v>
      </c>
      <c r="L7725" t="n">
        <v>0</v>
      </c>
      <c r="M7725" t="n">
        <v>0</v>
      </c>
      <c r="N7725" t="n">
        <v>0</v>
      </c>
      <c r="O7725" t="n">
        <v>0</v>
      </c>
      <c r="P7725" t="n">
        <v>0</v>
      </c>
      <c r="Q7725" t="n">
        <v>0</v>
      </c>
      <c r="R7725" s="2" t="inlineStr"/>
    </row>
    <row r="7726" ht="15" customHeight="1">
      <c r="A7726" t="inlineStr">
        <is>
          <t>A 69667-2021</t>
        </is>
      </c>
      <c r="B7726" s="1" t="n">
        <v>44531</v>
      </c>
      <c r="C7726" s="1" t="n">
        <v>45212</v>
      </c>
      <c r="D7726" t="inlineStr">
        <is>
          <t>VÄSTRA GÖTALANDS LÄN</t>
        </is>
      </c>
      <c r="E7726" t="inlineStr">
        <is>
          <t>VÄNERSBORG</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69322-2021</t>
        </is>
      </c>
      <c r="B7727" s="1" t="n">
        <v>44531</v>
      </c>
      <c r="C7727" s="1" t="n">
        <v>45212</v>
      </c>
      <c r="D7727" t="inlineStr">
        <is>
          <t>VÄSTRA GÖTALANDS LÄN</t>
        </is>
      </c>
      <c r="E7727" t="inlineStr">
        <is>
          <t>ULRICEHAMN</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69341-2021</t>
        </is>
      </c>
      <c r="B7728" s="1" t="n">
        <v>44531</v>
      </c>
      <c r="C7728" s="1" t="n">
        <v>45212</v>
      </c>
      <c r="D7728" t="inlineStr">
        <is>
          <t>VÄSTRA GÖTALANDS LÄN</t>
        </is>
      </c>
      <c r="E7728" t="inlineStr">
        <is>
          <t>KARLSBORG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69438-2021</t>
        </is>
      </c>
      <c r="B7729" s="1" t="n">
        <v>44531</v>
      </c>
      <c r="C7729" s="1" t="n">
        <v>45212</v>
      </c>
      <c r="D7729" t="inlineStr">
        <is>
          <t>VÄSTRA GÖTALANDS LÄN</t>
        </is>
      </c>
      <c r="E7729" t="inlineStr">
        <is>
          <t>TIDAHOLM</t>
        </is>
      </c>
      <c r="F7729" t="inlineStr">
        <is>
          <t>Kyrkan</t>
        </is>
      </c>
      <c r="G7729" t="n">
        <v>3.9</v>
      </c>
      <c r="H7729" t="n">
        <v>0</v>
      </c>
      <c r="I7729" t="n">
        <v>0</v>
      </c>
      <c r="J7729" t="n">
        <v>0</v>
      </c>
      <c r="K7729" t="n">
        <v>0</v>
      </c>
      <c r="L7729" t="n">
        <v>0</v>
      </c>
      <c r="M7729" t="n">
        <v>0</v>
      </c>
      <c r="N7729" t="n">
        <v>0</v>
      </c>
      <c r="O7729" t="n">
        <v>0</v>
      </c>
      <c r="P7729" t="n">
        <v>0</v>
      </c>
      <c r="Q7729" t="n">
        <v>0</v>
      </c>
      <c r="R7729" s="2" t="inlineStr"/>
    </row>
    <row r="7730" ht="15" customHeight="1">
      <c r="A7730" t="inlineStr">
        <is>
          <t>A 69446-2021</t>
        </is>
      </c>
      <c r="B7730" s="1" t="n">
        <v>44531</v>
      </c>
      <c r="C7730" s="1" t="n">
        <v>45212</v>
      </c>
      <c r="D7730" t="inlineStr">
        <is>
          <t>VÄSTRA GÖTALANDS LÄN</t>
        </is>
      </c>
      <c r="E7730" t="inlineStr">
        <is>
          <t>TIDAHOLM</t>
        </is>
      </c>
      <c r="F7730" t="inlineStr">
        <is>
          <t>Kyrkan</t>
        </is>
      </c>
      <c r="G7730" t="n">
        <v>8.800000000000001</v>
      </c>
      <c r="H7730" t="n">
        <v>0</v>
      </c>
      <c r="I7730" t="n">
        <v>0</v>
      </c>
      <c r="J7730" t="n">
        <v>0</v>
      </c>
      <c r="K7730" t="n">
        <v>0</v>
      </c>
      <c r="L7730" t="n">
        <v>0</v>
      </c>
      <c r="M7730" t="n">
        <v>0</v>
      </c>
      <c r="N7730" t="n">
        <v>0</v>
      </c>
      <c r="O7730" t="n">
        <v>0</v>
      </c>
      <c r="P7730" t="n">
        <v>0</v>
      </c>
      <c r="Q7730" t="n">
        <v>0</v>
      </c>
      <c r="R7730" s="2" t="inlineStr"/>
    </row>
    <row r="7731" ht="15" customHeight="1">
      <c r="A7731" t="inlineStr">
        <is>
          <t>A 69487-2021</t>
        </is>
      </c>
      <c r="B7731" s="1" t="n">
        <v>44531</v>
      </c>
      <c r="C7731" s="1" t="n">
        <v>45212</v>
      </c>
      <c r="D7731" t="inlineStr">
        <is>
          <t>VÄSTRA GÖTALANDS LÄN</t>
        </is>
      </c>
      <c r="E7731" t="inlineStr">
        <is>
          <t>ÅMÅL</t>
        </is>
      </c>
      <c r="G7731" t="n">
        <v>2</v>
      </c>
      <c r="H7731" t="n">
        <v>0</v>
      </c>
      <c r="I7731" t="n">
        <v>0</v>
      </c>
      <c r="J7731" t="n">
        <v>0</v>
      </c>
      <c r="K7731" t="n">
        <v>0</v>
      </c>
      <c r="L7731" t="n">
        <v>0</v>
      </c>
      <c r="M7731" t="n">
        <v>0</v>
      </c>
      <c r="N7731" t="n">
        <v>0</v>
      </c>
      <c r="O7731" t="n">
        <v>0</v>
      </c>
      <c r="P7731" t="n">
        <v>0</v>
      </c>
      <c r="Q7731" t="n">
        <v>0</v>
      </c>
      <c r="R7731" s="2" t="inlineStr"/>
    </row>
    <row r="7732" ht="15" customHeight="1">
      <c r="A7732" t="inlineStr">
        <is>
          <t>A 69193-2021</t>
        </is>
      </c>
      <c r="B7732" s="1" t="n">
        <v>44531</v>
      </c>
      <c r="C7732" s="1" t="n">
        <v>45212</v>
      </c>
      <c r="D7732" t="inlineStr">
        <is>
          <t>VÄSTRA GÖTALANDS LÄN</t>
        </is>
      </c>
      <c r="E7732" t="inlineStr">
        <is>
          <t>ORUST</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69289-2021</t>
        </is>
      </c>
      <c r="B7733" s="1" t="n">
        <v>44531</v>
      </c>
      <c r="C7733" s="1" t="n">
        <v>45212</v>
      </c>
      <c r="D7733" t="inlineStr">
        <is>
          <t>VÄSTRA GÖTALANDS LÄN</t>
        </is>
      </c>
      <c r="E7733" t="inlineStr">
        <is>
          <t>MARK</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69513-2021</t>
        </is>
      </c>
      <c r="B7734" s="1" t="n">
        <v>44531</v>
      </c>
      <c r="C7734" s="1" t="n">
        <v>45212</v>
      </c>
      <c r="D7734" t="inlineStr">
        <is>
          <t>VÄSTRA GÖTALANDS LÄN</t>
        </is>
      </c>
      <c r="E7734" t="inlineStr">
        <is>
          <t>MARK</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69628-2021</t>
        </is>
      </c>
      <c r="B7735" s="1" t="n">
        <v>44532</v>
      </c>
      <c r="C7735" s="1" t="n">
        <v>45212</v>
      </c>
      <c r="D7735" t="inlineStr">
        <is>
          <t>VÄSTRA GÖTALANDS LÄN</t>
        </is>
      </c>
      <c r="E7735" t="inlineStr">
        <is>
          <t>LERUM</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69666-2021</t>
        </is>
      </c>
      <c r="B7736" s="1" t="n">
        <v>44532</v>
      </c>
      <c r="C7736" s="1" t="n">
        <v>45212</v>
      </c>
      <c r="D7736" t="inlineStr">
        <is>
          <t>VÄSTRA GÖTALANDS LÄN</t>
        </is>
      </c>
      <c r="E7736" t="inlineStr">
        <is>
          <t>ÅMÅL</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69779-2021</t>
        </is>
      </c>
      <c r="B7737" s="1" t="n">
        <v>44532</v>
      </c>
      <c r="C7737" s="1" t="n">
        <v>45212</v>
      </c>
      <c r="D7737" t="inlineStr">
        <is>
          <t>VÄSTRA GÖTALANDS LÄN</t>
        </is>
      </c>
      <c r="E7737" t="inlineStr">
        <is>
          <t>UDDEVALLA</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69563-2021</t>
        </is>
      </c>
      <c r="B7738" s="1" t="n">
        <v>44532</v>
      </c>
      <c r="C7738" s="1" t="n">
        <v>45212</v>
      </c>
      <c r="D7738" t="inlineStr">
        <is>
          <t>VÄSTRA GÖTALANDS LÄN</t>
        </is>
      </c>
      <c r="E7738" t="inlineStr">
        <is>
          <t>HÄRRYDA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69872-2021</t>
        </is>
      </c>
      <c r="B7739" s="1" t="n">
        <v>44532</v>
      </c>
      <c r="C7739" s="1" t="n">
        <v>45212</v>
      </c>
      <c r="D7739" t="inlineStr">
        <is>
          <t>VÄSTRA GÖTALANDS LÄN</t>
        </is>
      </c>
      <c r="E7739" t="inlineStr">
        <is>
          <t>STENUNGSUND</t>
        </is>
      </c>
      <c r="G7739" t="n">
        <v>6.7</v>
      </c>
      <c r="H7739" t="n">
        <v>0</v>
      </c>
      <c r="I7739" t="n">
        <v>0</v>
      </c>
      <c r="J7739" t="n">
        <v>0</v>
      </c>
      <c r="K7739" t="n">
        <v>0</v>
      </c>
      <c r="L7739" t="n">
        <v>0</v>
      </c>
      <c r="M7739" t="n">
        <v>0</v>
      </c>
      <c r="N7739" t="n">
        <v>0</v>
      </c>
      <c r="O7739" t="n">
        <v>0</v>
      </c>
      <c r="P7739" t="n">
        <v>0</v>
      </c>
      <c r="Q7739" t="n">
        <v>0</v>
      </c>
      <c r="R7739" s="2" t="inlineStr"/>
    </row>
    <row r="7740" ht="15" customHeight="1">
      <c r="A7740" t="inlineStr">
        <is>
          <t>A 69614-2021</t>
        </is>
      </c>
      <c r="B7740" s="1" t="n">
        <v>44532</v>
      </c>
      <c r="C7740" s="1" t="n">
        <v>45212</v>
      </c>
      <c r="D7740" t="inlineStr">
        <is>
          <t>VÄSTRA GÖTALANDS LÄN</t>
        </is>
      </c>
      <c r="E7740" t="inlineStr">
        <is>
          <t>LERUM</t>
        </is>
      </c>
      <c r="G7740" t="n">
        <v>0.5</v>
      </c>
      <c r="H7740" t="n">
        <v>0</v>
      </c>
      <c r="I7740" t="n">
        <v>0</v>
      </c>
      <c r="J7740" t="n">
        <v>0</v>
      </c>
      <c r="K7740" t="n">
        <v>0</v>
      </c>
      <c r="L7740" t="n">
        <v>0</v>
      </c>
      <c r="M7740" t="n">
        <v>0</v>
      </c>
      <c r="N7740" t="n">
        <v>0</v>
      </c>
      <c r="O7740" t="n">
        <v>0</v>
      </c>
      <c r="P7740" t="n">
        <v>0</v>
      </c>
      <c r="Q7740" t="n">
        <v>0</v>
      </c>
      <c r="R7740" s="2" t="inlineStr"/>
    </row>
    <row r="7741" ht="15" customHeight="1">
      <c r="A7741" t="inlineStr">
        <is>
          <t>A 69817-2021</t>
        </is>
      </c>
      <c r="B7741" s="1" t="n">
        <v>44532</v>
      </c>
      <c r="C7741" s="1" t="n">
        <v>45212</v>
      </c>
      <c r="D7741" t="inlineStr">
        <is>
          <t>VÄSTRA GÖTALANDS LÄN</t>
        </is>
      </c>
      <c r="E7741" t="inlineStr">
        <is>
          <t>TÖREBODA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69818-2021</t>
        </is>
      </c>
      <c r="B7742" s="1" t="n">
        <v>44532</v>
      </c>
      <c r="C7742" s="1" t="n">
        <v>45212</v>
      </c>
      <c r="D7742" t="inlineStr">
        <is>
          <t>VÄSTRA GÖTALANDS LÄN</t>
        </is>
      </c>
      <c r="E7742" t="inlineStr">
        <is>
          <t>TÖREBODA</t>
        </is>
      </c>
      <c r="G7742" t="n">
        <v>2.2</v>
      </c>
      <c r="H7742" t="n">
        <v>0</v>
      </c>
      <c r="I7742" t="n">
        <v>0</v>
      </c>
      <c r="J7742" t="n">
        <v>0</v>
      </c>
      <c r="K7742" t="n">
        <v>0</v>
      </c>
      <c r="L7742" t="n">
        <v>0</v>
      </c>
      <c r="M7742" t="n">
        <v>0</v>
      </c>
      <c r="N7742" t="n">
        <v>0</v>
      </c>
      <c r="O7742" t="n">
        <v>0</v>
      </c>
      <c r="P7742" t="n">
        <v>0</v>
      </c>
      <c r="Q7742" t="n">
        <v>0</v>
      </c>
      <c r="R7742" s="2" t="inlineStr"/>
    </row>
    <row r="7743" ht="15" customHeight="1">
      <c r="A7743" t="inlineStr">
        <is>
          <t>A 70027-2021</t>
        </is>
      </c>
      <c r="B7743" s="1" t="n">
        <v>44533</v>
      </c>
      <c r="C7743" s="1" t="n">
        <v>45212</v>
      </c>
      <c r="D7743" t="inlineStr">
        <is>
          <t>VÄSTRA GÖTALANDS LÄN</t>
        </is>
      </c>
      <c r="E7743" t="inlineStr">
        <is>
          <t>DALS-ED</t>
        </is>
      </c>
      <c r="G7743" t="n">
        <v>7.6</v>
      </c>
      <c r="H7743" t="n">
        <v>0</v>
      </c>
      <c r="I7743" t="n">
        <v>0</v>
      </c>
      <c r="J7743" t="n">
        <v>0</v>
      </c>
      <c r="K7743" t="n">
        <v>0</v>
      </c>
      <c r="L7743" t="n">
        <v>0</v>
      </c>
      <c r="M7743" t="n">
        <v>0</v>
      </c>
      <c r="N7743" t="n">
        <v>0</v>
      </c>
      <c r="O7743" t="n">
        <v>0</v>
      </c>
      <c r="P7743" t="n">
        <v>0</v>
      </c>
      <c r="Q7743" t="n">
        <v>0</v>
      </c>
      <c r="R7743" s="2" t="inlineStr"/>
    </row>
    <row r="7744" ht="15" customHeight="1">
      <c r="A7744" t="inlineStr">
        <is>
          <t>A 70165-2021</t>
        </is>
      </c>
      <c r="B7744" s="1" t="n">
        <v>44533</v>
      </c>
      <c r="C7744" s="1" t="n">
        <v>45212</v>
      </c>
      <c r="D7744" t="inlineStr">
        <is>
          <t>VÄSTRA GÖTALANDS LÄN</t>
        </is>
      </c>
      <c r="E7744" t="inlineStr">
        <is>
          <t>STRÖMSTAD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70162-2021</t>
        </is>
      </c>
      <c r="B7745" s="1" t="n">
        <v>44533</v>
      </c>
      <c r="C7745" s="1" t="n">
        <v>45212</v>
      </c>
      <c r="D7745" t="inlineStr">
        <is>
          <t>VÄSTRA GÖTALANDS LÄN</t>
        </is>
      </c>
      <c r="E7745" t="inlineStr">
        <is>
          <t>STRÖMSTAD</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69965-2021</t>
        </is>
      </c>
      <c r="B7746" s="1" t="n">
        <v>44533</v>
      </c>
      <c r="C7746" s="1" t="n">
        <v>45212</v>
      </c>
      <c r="D7746" t="inlineStr">
        <is>
          <t>VÄSTRA GÖTALANDS LÄN</t>
        </is>
      </c>
      <c r="E7746" t="inlineStr">
        <is>
          <t>HERRLJUNGA</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70103-2021</t>
        </is>
      </c>
      <c r="B7747" s="1" t="n">
        <v>44533</v>
      </c>
      <c r="C7747" s="1" t="n">
        <v>45212</v>
      </c>
      <c r="D7747" t="inlineStr">
        <is>
          <t>VÄSTRA GÖTALANDS LÄN</t>
        </is>
      </c>
      <c r="E7747" t="inlineStr">
        <is>
          <t>HERRLJUNGA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70164-2021</t>
        </is>
      </c>
      <c r="B7748" s="1" t="n">
        <v>44533</v>
      </c>
      <c r="C7748" s="1" t="n">
        <v>45212</v>
      </c>
      <c r="D7748" t="inlineStr">
        <is>
          <t>VÄSTRA GÖTALANDS LÄN</t>
        </is>
      </c>
      <c r="E7748" t="inlineStr">
        <is>
          <t>STRÖMSTAD</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69935-2021</t>
        </is>
      </c>
      <c r="B7749" s="1" t="n">
        <v>44533</v>
      </c>
      <c r="C7749" s="1" t="n">
        <v>45212</v>
      </c>
      <c r="D7749" t="inlineStr">
        <is>
          <t>VÄSTRA GÖTALANDS LÄN</t>
        </is>
      </c>
      <c r="E7749" t="inlineStr">
        <is>
          <t>VÅRGÅRDA</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70363-2021</t>
        </is>
      </c>
      <c r="B7750" s="1" t="n">
        <v>44535</v>
      </c>
      <c r="C7750" s="1" t="n">
        <v>45212</v>
      </c>
      <c r="D7750" t="inlineStr">
        <is>
          <t>VÄSTRA GÖTALANDS LÄN</t>
        </is>
      </c>
      <c r="E7750" t="inlineStr">
        <is>
          <t>ÅMÅL</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70259-2021</t>
        </is>
      </c>
      <c r="B7751" s="1" t="n">
        <v>44536</v>
      </c>
      <c r="C7751" s="1" t="n">
        <v>45212</v>
      </c>
      <c r="D7751" t="inlineStr">
        <is>
          <t>VÄSTRA GÖTALANDS LÄN</t>
        </is>
      </c>
      <c r="E7751" t="inlineStr">
        <is>
          <t>MARIESTAD</t>
        </is>
      </c>
      <c r="F7751" t="inlineStr">
        <is>
          <t>Sveaskog</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70374-2021</t>
        </is>
      </c>
      <c r="B7752" s="1" t="n">
        <v>44536</v>
      </c>
      <c r="C7752" s="1" t="n">
        <v>45212</v>
      </c>
      <c r="D7752" t="inlineStr">
        <is>
          <t>VÄSTRA GÖTALANDS LÄN</t>
        </is>
      </c>
      <c r="E7752" t="inlineStr">
        <is>
          <t>DALS-ED</t>
        </is>
      </c>
      <c r="G7752" t="n">
        <v>7.8</v>
      </c>
      <c r="H7752" t="n">
        <v>0</v>
      </c>
      <c r="I7752" t="n">
        <v>0</v>
      </c>
      <c r="J7752" t="n">
        <v>0</v>
      </c>
      <c r="K7752" t="n">
        <v>0</v>
      </c>
      <c r="L7752" t="n">
        <v>0</v>
      </c>
      <c r="M7752" t="n">
        <v>0</v>
      </c>
      <c r="N7752" t="n">
        <v>0</v>
      </c>
      <c r="O7752" t="n">
        <v>0</v>
      </c>
      <c r="P7752" t="n">
        <v>0</v>
      </c>
      <c r="Q7752" t="n">
        <v>0</v>
      </c>
      <c r="R7752" s="2" t="inlineStr"/>
    </row>
    <row r="7753" ht="15" customHeight="1">
      <c r="A7753" t="inlineStr">
        <is>
          <t>A 70345-2021</t>
        </is>
      </c>
      <c r="B7753" s="1" t="n">
        <v>44536</v>
      </c>
      <c r="C7753" s="1" t="n">
        <v>45212</v>
      </c>
      <c r="D7753" t="inlineStr">
        <is>
          <t>VÄSTRA GÖTALANDS LÄN</t>
        </is>
      </c>
      <c r="E7753" t="inlineStr">
        <is>
          <t>ÅMÅL</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70370-2021</t>
        </is>
      </c>
      <c r="B7754" s="1" t="n">
        <v>44536</v>
      </c>
      <c r="C7754" s="1" t="n">
        <v>45212</v>
      </c>
      <c r="D7754" t="inlineStr">
        <is>
          <t>VÄSTRA GÖTALANDS LÄN</t>
        </is>
      </c>
      <c r="E7754" t="inlineStr">
        <is>
          <t>DALS-ED</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70283-2021</t>
        </is>
      </c>
      <c r="B7755" s="1" t="n">
        <v>44536</v>
      </c>
      <c r="C7755" s="1" t="n">
        <v>45212</v>
      </c>
      <c r="D7755" t="inlineStr">
        <is>
          <t>VÄSTRA GÖTALANDS LÄN</t>
        </is>
      </c>
      <c r="E7755" t="inlineStr">
        <is>
          <t>GULLSPÅNG</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70367-2021</t>
        </is>
      </c>
      <c r="B7756" s="1" t="n">
        <v>44536</v>
      </c>
      <c r="C7756" s="1" t="n">
        <v>45212</v>
      </c>
      <c r="D7756" t="inlineStr">
        <is>
          <t>VÄSTRA GÖTALANDS LÄN</t>
        </is>
      </c>
      <c r="E7756" t="inlineStr">
        <is>
          <t>DALS-ED</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70494-2021</t>
        </is>
      </c>
      <c r="B7757" s="1" t="n">
        <v>44536</v>
      </c>
      <c r="C7757" s="1" t="n">
        <v>45212</v>
      </c>
      <c r="D7757" t="inlineStr">
        <is>
          <t>VÄSTRA GÖTALANDS LÄN</t>
        </is>
      </c>
      <c r="E7757" t="inlineStr">
        <is>
          <t>UDDEVALLA</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70260-2021</t>
        </is>
      </c>
      <c r="B7758" s="1" t="n">
        <v>44536</v>
      </c>
      <c r="C7758" s="1" t="n">
        <v>45212</v>
      </c>
      <c r="D7758" t="inlineStr">
        <is>
          <t>VÄSTRA GÖTALANDS LÄN</t>
        </is>
      </c>
      <c r="E7758" t="inlineStr">
        <is>
          <t>MARIESTAD</t>
        </is>
      </c>
      <c r="F7758" t="inlineStr">
        <is>
          <t>Sveaskog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70491-2021</t>
        </is>
      </c>
      <c r="B7759" s="1" t="n">
        <v>44536</v>
      </c>
      <c r="C7759" s="1" t="n">
        <v>45212</v>
      </c>
      <c r="D7759" t="inlineStr">
        <is>
          <t>VÄSTRA GÖTALANDS LÄN</t>
        </is>
      </c>
      <c r="E7759" t="inlineStr">
        <is>
          <t>UDDEVALLA</t>
        </is>
      </c>
      <c r="G7759" t="n">
        <v>0.3</v>
      </c>
      <c r="H7759" t="n">
        <v>0</v>
      </c>
      <c r="I7759" t="n">
        <v>0</v>
      </c>
      <c r="J7759" t="n">
        <v>0</v>
      </c>
      <c r="K7759" t="n">
        <v>0</v>
      </c>
      <c r="L7759" t="n">
        <v>0</v>
      </c>
      <c r="M7759" t="n">
        <v>0</v>
      </c>
      <c r="N7759" t="n">
        <v>0</v>
      </c>
      <c r="O7759" t="n">
        <v>0</v>
      </c>
      <c r="P7759" t="n">
        <v>0</v>
      </c>
      <c r="Q7759" t="n">
        <v>0</v>
      </c>
      <c r="R7759" s="2" t="inlineStr"/>
    </row>
    <row r="7760" ht="15" customHeight="1">
      <c r="A7760" t="inlineStr">
        <is>
          <t>A 70758-2021</t>
        </is>
      </c>
      <c r="B7760" s="1" t="n">
        <v>44537</v>
      </c>
      <c r="C7760" s="1" t="n">
        <v>45212</v>
      </c>
      <c r="D7760" t="inlineStr">
        <is>
          <t>VÄSTRA GÖTALANDS LÄN</t>
        </is>
      </c>
      <c r="E7760" t="inlineStr">
        <is>
          <t>TRANEMO</t>
        </is>
      </c>
      <c r="G7760" t="n">
        <v>1.4</v>
      </c>
      <c r="H7760" t="n">
        <v>0</v>
      </c>
      <c r="I7760" t="n">
        <v>0</v>
      </c>
      <c r="J7760" t="n">
        <v>0</v>
      </c>
      <c r="K7760" t="n">
        <v>0</v>
      </c>
      <c r="L7760" t="n">
        <v>0</v>
      </c>
      <c r="M7760" t="n">
        <v>0</v>
      </c>
      <c r="N7760" t="n">
        <v>0</v>
      </c>
      <c r="O7760" t="n">
        <v>0</v>
      </c>
      <c r="P7760" t="n">
        <v>0</v>
      </c>
      <c r="Q7760" t="n">
        <v>0</v>
      </c>
      <c r="R7760" s="2" t="inlineStr"/>
    </row>
    <row r="7761" ht="15" customHeight="1">
      <c r="A7761" t="inlineStr">
        <is>
          <t>A 70708-2021</t>
        </is>
      </c>
      <c r="B7761" s="1" t="n">
        <v>44537</v>
      </c>
      <c r="C7761" s="1" t="n">
        <v>45212</v>
      </c>
      <c r="D7761" t="inlineStr">
        <is>
          <t>VÄSTRA GÖTALANDS LÄN</t>
        </is>
      </c>
      <c r="E7761" t="inlineStr">
        <is>
          <t>BOLLEBYGD</t>
        </is>
      </c>
      <c r="G7761" t="n">
        <v>4.6</v>
      </c>
      <c r="H7761" t="n">
        <v>0</v>
      </c>
      <c r="I7761" t="n">
        <v>0</v>
      </c>
      <c r="J7761" t="n">
        <v>0</v>
      </c>
      <c r="K7761" t="n">
        <v>0</v>
      </c>
      <c r="L7761" t="n">
        <v>0</v>
      </c>
      <c r="M7761" t="n">
        <v>0</v>
      </c>
      <c r="N7761" t="n">
        <v>0</v>
      </c>
      <c r="O7761" t="n">
        <v>0</v>
      </c>
      <c r="P7761" t="n">
        <v>0</v>
      </c>
      <c r="Q7761" t="n">
        <v>0</v>
      </c>
      <c r="R7761" s="2" t="inlineStr"/>
    </row>
    <row r="7762" ht="15" customHeight="1">
      <c r="A7762" t="inlineStr">
        <is>
          <t>A 70783-2021</t>
        </is>
      </c>
      <c r="B7762" s="1" t="n">
        <v>44537</v>
      </c>
      <c r="C7762" s="1" t="n">
        <v>45212</v>
      </c>
      <c r="D7762" t="inlineStr">
        <is>
          <t>VÄSTRA GÖTALANDS LÄN</t>
        </is>
      </c>
      <c r="E7762" t="inlineStr">
        <is>
          <t>KARLSBORG</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71158-2021</t>
        </is>
      </c>
      <c r="B7763" s="1" t="n">
        <v>44537</v>
      </c>
      <c r="C7763" s="1" t="n">
        <v>45212</v>
      </c>
      <c r="D7763" t="inlineStr">
        <is>
          <t>VÄSTRA GÖTALANDS LÄN</t>
        </is>
      </c>
      <c r="E7763" t="inlineStr">
        <is>
          <t>TANUM</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70988-2021</t>
        </is>
      </c>
      <c r="B7764" s="1" t="n">
        <v>44538</v>
      </c>
      <c r="C7764" s="1" t="n">
        <v>45212</v>
      </c>
      <c r="D7764" t="inlineStr">
        <is>
          <t>VÄSTRA GÖTALANDS LÄN</t>
        </is>
      </c>
      <c r="E7764" t="inlineStr">
        <is>
          <t>BORÅS</t>
        </is>
      </c>
      <c r="F7764" t="inlineStr">
        <is>
          <t>Kommuner</t>
        </is>
      </c>
      <c r="G7764" t="n">
        <v>1.6</v>
      </c>
      <c r="H7764" t="n">
        <v>0</v>
      </c>
      <c r="I7764" t="n">
        <v>0</v>
      </c>
      <c r="J7764" t="n">
        <v>0</v>
      </c>
      <c r="K7764" t="n">
        <v>0</v>
      </c>
      <c r="L7764" t="n">
        <v>0</v>
      </c>
      <c r="M7764" t="n">
        <v>0</v>
      </c>
      <c r="N7764" t="n">
        <v>0</v>
      </c>
      <c r="O7764" t="n">
        <v>0</v>
      </c>
      <c r="P7764" t="n">
        <v>0</v>
      </c>
      <c r="Q7764" t="n">
        <v>0</v>
      </c>
      <c r="R7764" s="2" t="inlineStr"/>
    </row>
    <row r="7765" ht="15" customHeight="1">
      <c r="A7765" t="inlineStr">
        <is>
          <t>A 71009-2021</t>
        </is>
      </c>
      <c r="B7765" s="1" t="n">
        <v>44538</v>
      </c>
      <c r="C7765" s="1" t="n">
        <v>45212</v>
      </c>
      <c r="D7765" t="inlineStr">
        <is>
          <t>VÄSTRA GÖTALANDS LÄN</t>
        </is>
      </c>
      <c r="E7765" t="inlineStr">
        <is>
          <t>GULLSPÅNG</t>
        </is>
      </c>
      <c r="F7765" t="inlineStr">
        <is>
          <t>Kyrkan</t>
        </is>
      </c>
      <c r="G7765" t="n">
        <v>2.4</v>
      </c>
      <c r="H7765" t="n">
        <v>0</v>
      </c>
      <c r="I7765" t="n">
        <v>0</v>
      </c>
      <c r="J7765" t="n">
        <v>0</v>
      </c>
      <c r="K7765" t="n">
        <v>0</v>
      </c>
      <c r="L7765" t="n">
        <v>0</v>
      </c>
      <c r="M7765" t="n">
        <v>0</v>
      </c>
      <c r="N7765" t="n">
        <v>0</v>
      </c>
      <c r="O7765" t="n">
        <v>0</v>
      </c>
      <c r="P7765" t="n">
        <v>0</v>
      </c>
      <c r="Q7765" t="n">
        <v>0</v>
      </c>
      <c r="R7765" s="2" t="inlineStr"/>
    </row>
    <row r="7766" ht="15" customHeight="1">
      <c r="A7766" t="inlineStr">
        <is>
          <t>A 70963-2021</t>
        </is>
      </c>
      <c r="B7766" s="1" t="n">
        <v>44538</v>
      </c>
      <c r="C7766" s="1" t="n">
        <v>45212</v>
      </c>
      <c r="D7766" t="inlineStr">
        <is>
          <t>VÄSTRA GÖTALANDS LÄN</t>
        </is>
      </c>
      <c r="E7766" t="inlineStr">
        <is>
          <t>TANUM</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71252-2021</t>
        </is>
      </c>
      <c r="B7767" s="1" t="n">
        <v>44539</v>
      </c>
      <c r="C7767" s="1" t="n">
        <v>45212</v>
      </c>
      <c r="D7767" t="inlineStr">
        <is>
          <t>VÄSTRA GÖTALANDS LÄN</t>
        </is>
      </c>
      <c r="E7767" t="inlineStr">
        <is>
          <t>MELLERUD</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71331-2021</t>
        </is>
      </c>
      <c r="B7768" s="1" t="n">
        <v>44539</v>
      </c>
      <c r="C7768" s="1" t="n">
        <v>45212</v>
      </c>
      <c r="D7768" t="inlineStr">
        <is>
          <t>VÄSTRA GÖTALANDS LÄN</t>
        </is>
      </c>
      <c r="E7768" t="inlineStr">
        <is>
          <t>TANUM</t>
        </is>
      </c>
      <c r="G7768" t="n">
        <v>1.9</v>
      </c>
      <c r="H7768" t="n">
        <v>0</v>
      </c>
      <c r="I7768" t="n">
        <v>0</v>
      </c>
      <c r="J7768" t="n">
        <v>0</v>
      </c>
      <c r="K7768" t="n">
        <v>0</v>
      </c>
      <c r="L7768" t="n">
        <v>0</v>
      </c>
      <c r="M7768" t="n">
        <v>0</v>
      </c>
      <c r="N7768" t="n">
        <v>0</v>
      </c>
      <c r="O7768" t="n">
        <v>0</v>
      </c>
      <c r="P7768" t="n">
        <v>0</v>
      </c>
      <c r="Q7768" t="n">
        <v>0</v>
      </c>
      <c r="R7768" s="2" t="inlineStr"/>
    </row>
    <row r="7769" ht="15" customHeight="1">
      <c r="A7769" t="inlineStr">
        <is>
          <t>A 71248-2021</t>
        </is>
      </c>
      <c r="B7769" s="1" t="n">
        <v>44539</v>
      </c>
      <c r="C7769" s="1" t="n">
        <v>45212</v>
      </c>
      <c r="D7769" t="inlineStr">
        <is>
          <t>VÄSTRA GÖTALANDS LÄN</t>
        </is>
      </c>
      <c r="E7769" t="inlineStr">
        <is>
          <t>MELLERUD</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71429-2021</t>
        </is>
      </c>
      <c r="B7770" s="1" t="n">
        <v>44540</v>
      </c>
      <c r="C7770" s="1" t="n">
        <v>45212</v>
      </c>
      <c r="D7770" t="inlineStr">
        <is>
          <t>VÄSTRA GÖTALANDS LÄN</t>
        </is>
      </c>
      <c r="E7770" t="inlineStr">
        <is>
          <t>LERUM</t>
        </is>
      </c>
      <c r="G7770" t="n">
        <v>4.2</v>
      </c>
      <c r="H7770" t="n">
        <v>0</v>
      </c>
      <c r="I7770" t="n">
        <v>0</v>
      </c>
      <c r="J7770" t="n">
        <v>0</v>
      </c>
      <c r="K7770" t="n">
        <v>0</v>
      </c>
      <c r="L7770" t="n">
        <v>0</v>
      </c>
      <c r="M7770" t="n">
        <v>0</v>
      </c>
      <c r="N7770" t="n">
        <v>0</v>
      </c>
      <c r="O7770" t="n">
        <v>0</v>
      </c>
      <c r="P7770" t="n">
        <v>0</v>
      </c>
      <c r="Q7770" t="n">
        <v>0</v>
      </c>
      <c r="R7770" s="2" t="inlineStr"/>
    </row>
    <row r="7771" ht="15" customHeight="1">
      <c r="A7771" t="inlineStr">
        <is>
          <t>A 71425-2021</t>
        </is>
      </c>
      <c r="B7771" s="1" t="n">
        <v>44540</v>
      </c>
      <c r="C7771" s="1" t="n">
        <v>45212</v>
      </c>
      <c r="D7771" t="inlineStr">
        <is>
          <t>VÄSTRA GÖTALANDS LÄN</t>
        </is>
      </c>
      <c r="E7771" t="inlineStr">
        <is>
          <t>LERUM</t>
        </is>
      </c>
      <c r="G7771" t="n">
        <v>10.2</v>
      </c>
      <c r="H7771" t="n">
        <v>0</v>
      </c>
      <c r="I7771" t="n">
        <v>0</v>
      </c>
      <c r="J7771" t="n">
        <v>0</v>
      </c>
      <c r="K7771" t="n">
        <v>0</v>
      </c>
      <c r="L7771" t="n">
        <v>0</v>
      </c>
      <c r="M7771" t="n">
        <v>0</v>
      </c>
      <c r="N7771" t="n">
        <v>0</v>
      </c>
      <c r="O7771" t="n">
        <v>0</v>
      </c>
      <c r="P7771" t="n">
        <v>0</v>
      </c>
      <c r="Q7771" t="n">
        <v>0</v>
      </c>
      <c r="R7771" s="2" t="inlineStr"/>
    </row>
    <row r="7772" ht="15" customHeight="1">
      <c r="A7772" t="inlineStr">
        <is>
          <t>A 71618-2021</t>
        </is>
      </c>
      <c r="B7772" s="1" t="n">
        <v>44542</v>
      </c>
      <c r="C7772" s="1" t="n">
        <v>45212</v>
      </c>
      <c r="D7772" t="inlineStr">
        <is>
          <t>VÄSTRA GÖTALANDS LÄN</t>
        </is>
      </c>
      <c r="E7772" t="inlineStr">
        <is>
          <t>MELLERUD</t>
        </is>
      </c>
      <c r="G7772" t="n">
        <v>9.800000000000001</v>
      </c>
      <c r="H7772" t="n">
        <v>0</v>
      </c>
      <c r="I7772" t="n">
        <v>0</v>
      </c>
      <c r="J7772" t="n">
        <v>0</v>
      </c>
      <c r="K7772" t="n">
        <v>0</v>
      </c>
      <c r="L7772" t="n">
        <v>0</v>
      </c>
      <c r="M7772" t="n">
        <v>0</v>
      </c>
      <c r="N7772" t="n">
        <v>0</v>
      </c>
      <c r="O7772" t="n">
        <v>0</v>
      </c>
      <c r="P7772" t="n">
        <v>0</v>
      </c>
      <c r="Q7772" t="n">
        <v>0</v>
      </c>
      <c r="R7772" s="2" t="inlineStr"/>
    </row>
    <row r="7773" ht="15" customHeight="1">
      <c r="A7773" t="inlineStr">
        <is>
          <t>A 71907-2021</t>
        </is>
      </c>
      <c r="B7773" s="1" t="n">
        <v>44543</v>
      </c>
      <c r="C7773" s="1" t="n">
        <v>45212</v>
      </c>
      <c r="D7773" t="inlineStr">
        <is>
          <t>VÄSTRA GÖTALANDS LÄN</t>
        </is>
      </c>
      <c r="E7773" t="inlineStr">
        <is>
          <t>SKÖVDE</t>
        </is>
      </c>
      <c r="F7773" t="inlineStr">
        <is>
          <t>Naturvårdsverket</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71801-2021</t>
        </is>
      </c>
      <c r="B7774" s="1" t="n">
        <v>44543</v>
      </c>
      <c r="C7774" s="1" t="n">
        <v>45212</v>
      </c>
      <c r="D7774" t="inlineStr">
        <is>
          <t>VÄSTRA GÖTALANDS LÄN</t>
        </is>
      </c>
      <c r="E7774" t="inlineStr">
        <is>
          <t>HERRLJUNGA</t>
        </is>
      </c>
      <c r="G7774" t="n">
        <v>7.8</v>
      </c>
      <c r="H7774" t="n">
        <v>0</v>
      </c>
      <c r="I7774" t="n">
        <v>0</v>
      </c>
      <c r="J7774" t="n">
        <v>0</v>
      </c>
      <c r="K7774" t="n">
        <v>0</v>
      </c>
      <c r="L7774" t="n">
        <v>0</v>
      </c>
      <c r="M7774" t="n">
        <v>0</v>
      </c>
      <c r="N7774" t="n">
        <v>0</v>
      </c>
      <c r="O7774" t="n">
        <v>0</v>
      </c>
      <c r="P7774" t="n">
        <v>0</v>
      </c>
      <c r="Q7774" t="n">
        <v>0</v>
      </c>
      <c r="R7774" s="2" t="inlineStr"/>
    </row>
    <row r="7775" ht="15" customHeight="1">
      <c r="A7775" t="inlineStr">
        <is>
          <t>A 72275-2021</t>
        </is>
      </c>
      <c r="B7775" s="1" t="n">
        <v>44543</v>
      </c>
      <c r="C7775" s="1" t="n">
        <v>45212</v>
      </c>
      <c r="D7775" t="inlineStr">
        <is>
          <t>VÄSTRA GÖTALANDS LÄN</t>
        </is>
      </c>
      <c r="E7775" t="inlineStr">
        <is>
          <t>FALKÖPING</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71863-2021</t>
        </is>
      </c>
      <c r="B7776" s="1" t="n">
        <v>44543</v>
      </c>
      <c r="C7776" s="1" t="n">
        <v>45212</v>
      </c>
      <c r="D7776" t="inlineStr">
        <is>
          <t>VÄSTRA GÖTALANDS LÄN</t>
        </is>
      </c>
      <c r="E7776" t="inlineStr">
        <is>
          <t>ULRICEHAMN</t>
        </is>
      </c>
      <c r="F7776" t="inlineStr">
        <is>
          <t>Sveaskog</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71986-2021</t>
        </is>
      </c>
      <c r="B7777" s="1" t="n">
        <v>44544</v>
      </c>
      <c r="C7777" s="1" t="n">
        <v>45212</v>
      </c>
      <c r="D7777" t="inlineStr">
        <is>
          <t>VÄSTRA GÖTALANDS LÄN</t>
        </is>
      </c>
      <c r="E7777" t="inlineStr">
        <is>
          <t>TRANEMO</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72226-2021</t>
        </is>
      </c>
      <c r="B7778" s="1" t="n">
        <v>44544</v>
      </c>
      <c r="C7778" s="1" t="n">
        <v>45212</v>
      </c>
      <c r="D7778" t="inlineStr">
        <is>
          <t>VÄSTRA GÖTALANDS LÄN</t>
        </is>
      </c>
      <c r="E7778" t="inlineStr">
        <is>
          <t>ORUST</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72362-2021</t>
        </is>
      </c>
      <c r="B7779" s="1" t="n">
        <v>44544</v>
      </c>
      <c r="C7779" s="1" t="n">
        <v>45212</v>
      </c>
      <c r="D7779" t="inlineStr">
        <is>
          <t>VÄSTRA GÖTALANDS LÄN</t>
        </is>
      </c>
      <c r="E7779" t="inlineStr">
        <is>
          <t>BORÅS</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72340-2021</t>
        </is>
      </c>
      <c r="B7780" s="1" t="n">
        <v>44545</v>
      </c>
      <c r="C7780" s="1" t="n">
        <v>45212</v>
      </c>
      <c r="D7780" t="inlineStr">
        <is>
          <t>VÄSTRA GÖTALANDS LÄN</t>
        </is>
      </c>
      <c r="E7780" t="inlineStr">
        <is>
          <t>GÖTENE</t>
        </is>
      </c>
      <c r="G7780" t="n">
        <v>1.8</v>
      </c>
      <c r="H7780" t="n">
        <v>0</v>
      </c>
      <c r="I7780" t="n">
        <v>0</v>
      </c>
      <c r="J7780" t="n">
        <v>0</v>
      </c>
      <c r="K7780" t="n">
        <v>0</v>
      </c>
      <c r="L7780" t="n">
        <v>0</v>
      </c>
      <c r="M7780" t="n">
        <v>0</v>
      </c>
      <c r="N7780" t="n">
        <v>0</v>
      </c>
      <c r="O7780" t="n">
        <v>0</v>
      </c>
      <c r="P7780" t="n">
        <v>0</v>
      </c>
      <c r="Q7780" t="n">
        <v>0</v>
      </c>
      <c r="R7780" s="2" t="inlineStr"/>
    </row>
    <row r="7781" ht="15" customHeight="1">
      <c r="A7781" t="inlineStr">
        <is>
          <t>A 72415-2021</t>
        </is>
      </c>
      <c r="B7781" s="1" t="n">
        <v>44545</v>
      </c>
      <c r="C7781" s="1" t="n">
        <v>45212</v>
      </c>
      <c r="D7781" t="inlineStr">
        <is>
          <t>VÄSTRA GÖTALANDS LÄN</t>
        </is>
      </c>
      <c r="E7781" t="inlineStr">
        <is>
          <t>LERUM</t>
        </is>
      </c>
      <c r="G7781" t="n">
        <v>0.2</v>
      </c>
      <c r="H7781" t="n">
        <v>0</v>
      </c>
      <c r="I7781" t="n">
        <v>0</v>
      </c>
      <c r="J7781" t="n">
        <v>0</v>
      </c>
      <c r="K7781" t="n">
        <v>0</v>
      </c>
      <c r="L7781" t="n">
        <v>0</v>
      </c>
      <c r="M7781" t="n">
        <v>0</v>
      </c>
      <c r="N7781" t="n">
        <v>0</v>
      </c>
      <c r="O7781" t="n">
        <v>0</v>
      </c>
      <c r="P7781" t="n">
        <v>0</v>
      </c>
      <c r="Q7781" t="n">
        <v>0</v>
      </c>
      <c r="R7781" s="2" t="inlineStr"/>
    </row>
    <row r="7782" ht="15" customHeight="1">
      <c r="A7782" t="inlineStr">
        <is>
          <t>A 72388-2021</t>
        </is>
      </c>
      <c r="B7782" s="1" t="n">
        <v>44545</v>
      </c>
      <c r="C7782" s="1" t="n">
        <v>45212</v>
      </c>
      <c r="D7782" t="inlineStr">
        <is>
          <t>VÄSTRA GÖTALANDS LÄN</t>
        </is>
      </c>
      <c r="E7782" t="inlineStr">
        <is>
          <t>HERRLJUNGA</t>
        </is>
      </c>
      <c r="F7782" t="inlineStr">
        <is>
          <t>Kyrkan</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72571-2021</t>
        </is>
      </c>
      <c r="B7783" s="1" t="n">
        <v>44546</v>
      </c>
      <c r="C7783" s="1" t="n">
        <v>45212</v>
      </c>
      <c r="D7783" t="inlineStr">
        <is>
          <t>VÄSTRA GÖTALANDS LÄN</t>
        </is>
      </c>
      <c r="E7783" t="inlineStr">
        <is>
          <t>HERRLJUNGA</t>
        </is>
      </c>
      <c r="F7783" t="inlineStr">
        <is>
          <t>Kommuner</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72655-2021</t>
        </is>
      </c>
      <c r="B7784" s="1" t="n">
        <v>44546</v>
      </c>
      <c r="C7784" s="1" t="n">
        <v>45212</v>
      </c>
      <c r="D7784" t="inlineStr">
        <is>
          <t>VÄSTRA GÖTALANDS LÄN</t>
        </is>
      </c>
      <c r="E7784" t="inlineStr">
        <is>
          <t>FÄRGELANDA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72651-2021</t>
        </is>
      </c>
      <c r="B7785" s="1" t="n">
        <v>44546</v>
      </c>
      <c r="C7785" s="1" t="n">
        <v>45212</v>
      </c>
      <c r="D7785" t="inlineStr">
        <is>
          <t>VÄSTRA GÖTALANDS LÄN</t>
        </is>
      </c>
      <c r="E7785" t="inlineStr">
        <is>
          <t>MARIESTAD</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72801-2021</t>
        </is>
      </c>
      <c r="B7786" s="1" t="n">
        <v>44546</v>
      </c>
      <c r="C7786" s="1" t="n">
        <v>45212</v>
      </c>
      <c r="D7786" t="inlineStr">
        <is>
          <t>VÄSTRA GÖTALANDS LÄN</t>
        </is>
      </c>
      <c r="E7786" t="inlineStr">
        <is>
          <t>ALE</t>
        </is>
      </c>
      <c r="F7786" t="inlineStr">
        <is>
          <t>Naturvårdsverket</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72879-2021</t>
        </is>
      </c>
      <c r="B7787" s="1" t="n">
        <v>44547</v>
      </c>
      <c r="C7787" s="1" t="n">
        <v>45212</v>
      </c>
      <c r="D7787" t="inlineStr">
        <is>
          <t>VÄSTRA GÖTALANDS LÄN</t>
        </is>
      </c>
      <c r="E7787" t="inlineStr">
        <is>
          <t>GÖTENE</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72891-2021</t>
        </is>
      </c>
      <c r="B7788" s="1" t="n">
        <v>44547</v>
      </c>
      <c r="C7788" s="1" t="n">
        <v>45212</v>
      </c>
      <c r="D7788" t="inlineStr">
        <is>
          <t>VÄSTRA GÖTALANDS LÄN</t>
        </is>
      </c>
      <c r="E7788" t="inlineStr">
        <is>
          <t>HÄRRYDA</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73168-2021</t>
        </is>
      </c>
      <c r="B7789" s="1" t="n">
        <v>44550</v>
      </c>
      <c r="C7789" s="1" t="n">
        <v>45212</v>
      </c>
      <c r="D7789" t="inlineStr">
        <is>
          <t>VÄSTRA GÖTALANDS LÄN</t>
        </is>
      </c>
      <c r="E7789" t="inlineStr">
        <is>
          <t>VARA</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73020-2021</t>
        </is>
      </c>
      <c r="B7790" s="1" t="n">
        <v>44550</v>
      </c>
      <c r="C7790" s="1" t="n">
        <v>45212</v>
      </c>
      <c r="D7790" t="inlineStr">
        <is>
          <t>VÄSTRA GÖTALANDS LÄN</t>
        </is>
      </c>
      <c r="E7790" t="inlineStr">
        <is>
          <t>SOTENÄS</t>
        </is>
      </c>
      <c r="G7790" t="n">
        <v>2.7</v>
      </c>
      <c r="H7790" t="n">
        <v>0</v>
      </c>
      <c r="I7790" t="n">
        <v>0</v>
      </c>
      <c r="J7790" t="n">
        <v>0</v>
      </c>
      <c r="K7790" t="n">
        <v>0</v>
      </c>
      <c r="L7790" t="n">
        <v>0</v>
      </c>
      <c r="M7790" t="n">
        <v>0</v>
      </c>
      <c r="N7790" t="n">
        <v>0</v>
      </c>
      <c r="O7790" t="n">
        <v>0</v>
      </c>
      <c r="P7790" t="n">
        <v>0</v>
      </c>
      <c r="Q7790" t="n">
        <v>0</v>
      </c>
      <c r="R7790" s="2" t="inlineStr"/>
    </row>
    <row r="7791" ht="15" customHeight="1">
      <c r="A7791" t="inlineStr">
        <is>
          <t>A 73268-2021</t>
        </is>
      </c>
      <c r="B7791" s="1" t="n">
        <v>44550</v>
      </c>
      <c r="C7791" s="1" t="n">
        <v>45212</v>
      </c>
      <c r="D7791" t="inlineStr">
        <is>
          <t>VÄSTRA GÖTALANDS LÄN</t>
        </is>
      </c>
      <c r="E7791" t="inlineStr">
        <is>
          <t>BORÅS</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73187-2021</t>
        </is>
      </c>
      <c r="B7792" s="1" t="n">
        <v>44550</v>
      </c>
      <c r="C7792" s="1" t="n">
        <v>45212</v>
      </c>
      <c r="D7792" t="inlineStr">
        <is>
          <t>VÄSTRA GÖTALANDS LÄN</t>
        </is>
      </c>
      <c r="E7792" t="inlineStr">
        <is>
          <t>ALINGSÅS</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73226-2021</t>
        </is>
      </c>
      <c r="B7793" s="1" t="n">
        <v>44550</v>
      </c>
      <c r="C7793" s="1" t="n">
        <v>45212</v>
      </c>
      <c r="D7793" t="inlineStr">
        <is>
          <t>VÄSTRA GÖTALANDS LÄN</t>
        </is>
      </c>
      <c r="E7793" t="inlineStr">
        <is>
          <t>VÄNERSBORG</t>
        </is>
      </c>
      <c r="G7793" t="n">
        <v>3.1</v>
      </c>
      <c r="H7793" t="n">
        <v>0</v>
      </c>
      <c r="I7793" t="n">
        <v>0</v>
      </c>
      <c r="J7793" t="n">
        <v>0</v>
      </c>
      <c r="K7793" t="n">
        <v>0</v>
      </c>
      <c r="L7793" t="n">
        <v>0</v>
      </c>
      <c r="M7793" t="n">
        <v>0</v>
      </c>
      <c r="N7793" t="n">
        <v>0</v>
      </c>
      <c r="O7793" t="n">
        <v>0</v>
      </c>
      <c r="P7793" t="n">
        <v>0</v>
      </c>
      <c r="Q7793" t="n">
        <v>0</v>
      </c>
      <c r="R7793" s="2" t="inlineStr"/>
    </row>
    <row r="7794" ht="15" customHeight="1">
      <c r="A7794" t="inlineStr">
        <is>
          <t>A 73007-2021</t>
        </is>
      </c>
      <c r="B7794" s="1" t="n">
        <v>44550</v>
      </c>
      <c r="C7794" s="1" t="n">
        <v>45212</v>
      </c>
      <c r="D7794" t="inlineStr">
        <is>
          <t>VÄSTRA GÖTALANDS LÄN</t>
        </is>
      </c>
      <c r="E7794" t="inlineStr">
        <is>
          <t>UDDEVALLA</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73200-2021</t>
        </is>
      </c>
      <c r="B7795" s="1" t="n">
        <v>44550</v>
      </c>
      <c r="C7795" s="1" t="n">
        <v>45212</v>
      </c>
      <c r="D7795" t="inlineStr">
        <is>
          <t>VÄSTRA GÖTALANDS LÄN</t>
        </is>
      </c>
      <c r="E7795" t="inlineStr">
        <is>
          <t>BENGTSFORS</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73292-2021</t>
        </is>
      </c>
      <c r="B7796" s="1" t="n">
        <v>44550</v>
      </c>
      <c r="C7796" s="1" t="n">
        <v>45212</v>
      </c>
      <c r="D7796" t="inlineStr">
        <is>
          <t>VÄSTRA GÖTALANDS LÄN</t>
        </is>
      </c>
      <c r="E7796" t="inlineStr">
        <is>
          <t>ORUST</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73477-2021</t>
        </is>
      </c>
      <c r="B7797" s="1" t="n">
        <v>44551</v>
      </c>
      <c r="C7797" s="1" t="n">
        <v>45212</v>
      </c>
      <c r="D7797" t="inlineStr">
        <is>
          <t>VÄSTRA GÖTALANDS LÄN</t>
        </is>
      </c>
      <c r="E7797" t="inlineStr">
        <is>
          <t>VÄNERSBORG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73515-2021</t>
        </is>
      </c>
      <c r="B7798" s="1" t="n">
        <v>44551</v>
      </c>
      <c r="C7798" s="1" t="n">
        <v>45212</v>
      </c>
      <c r="D7798" t="inlineStr">
        <is>
          <t>VÄSTRA GÖTALANDS LÄN</t>
        </is>
      </c>
      <c r="E7798" t="inlineStr">
        <is>
          <t>LIDKÖPING</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73437-2021</t>
        </is>
      </c>
      <c r="B7799" s="1" t="n">
        <v>44551</v>
      </c>
      <c r="C7799" s="1" t="n">
        <v>45212</v>
      </c>
      <c r="D7799" t="inlineStr">
        <is>
          <t>VÄSTRA GÖTALANDS LÄN</t>
        </is>
      </c>
      <c r="E7799" t="inlineStr">
        <is>
          <t>UDDEVALLA</t>
        </is>
      </c>
      <c r="G7799" t="n">
        <v>8.1</v>
      </c>
      <c r="H7799" t="n">
        <v>0</v>
      </c>
      <c r="I7799" t="n">
        <v>0</v>
      </c>
      <c r="J7799" t="n">
        <v>0</v>
      </c>
      <c r="K7799" t="n">
        <v>0</v>
      </c>
      <c r="L7799" t="n">
        <v>0</v>
      </c>
      <c r="M7799" t="n">
        <v>0</v>
      </c>
      <c r="N7799" t="n">
        <v>0</v>
      </c>
      <c r="O7799" t="n">
        <v>0</v>
      </c>
      <c r="P7799" t="n">
        <v>0</v>
      </c>
      <c r="Q7799" t="n">
        <v>0</v>
      </c>
      <c r="R7799" s="2" t="inlineStr"/>
    </row>
    <row r="7800" ht="15" customHeight="1">
      <c r="A7800" t="inlineStr">
        <is>
          <t>A 73487-2021</t>
        </is>
      </c>
      <c r="B7800" s="1" t="n">
        <v>44551</v>
      </c>
      <c r="C7800" s="1" t="n">
        <v>45212</v>
      </c>
      <c r="D7800" t="inlineStr">
        <is>
          <t>VÄSTRA GÖTALANDS LÄN</t>
        </is>
      </c>
      <c r="E7800" t="inlineStr">
        <is>
          <t>UDDEVALLA</t>
        </is>
      </c>
      <c r="G7800" t="n">
        <v>3.1</v>
      </c>
      <c r="H7800" t="n">
        <v>0</v>
      </c>
      <c r="I7800" t="n">
        <v>0</v>
      </c>
      <c r="J7800" t="n">
        <v>0</v>
      </c>
      <c r="K7800" t="n">
        <v>0</v>
      </c>
      <c r="L7800" t="n">
        <v>0</v>
      </c>
      <c r="M7800" t="n">
        <v>0</v>
      </c>
      <c r="N7800" t="n">
        <v>0</v>
      </c>
      <c r="O7800" t="n">
        <v>0</v>
      </c>
      <c r="P7800" t="n">
        <v>0</v>
      </c>
      <c r="Q7800" t="n">
        <v>0</v>
      </c>
      <c r="R7800" s="2" t="inlineStr"/>
    </row>
    <row r="7801" ht="15" customHeight="1">
      <c r="A7801" t="inlineStr">
        <is>
          <t>A 73685-2021</t>
        </is>
      </c>
      <c r="B7801" s="1" t="n">
        <v>44552</v>
      </c>
      <c r="C7801" s="1" t="n">
        <v>45212</v>
      </c>
      <c r="D7801" t="inlineStr">
        <is>
          <t>VÄSTRA GÖTALANDS LÄN</t>
        </is>
      </c>
      <c r="E7801" t="inlineStr">
        <is>
          <t>GULLSPÅNG</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73816-2021</t>
        </is>
      </c>
      <c r="B7802" s="1" t="n">
        <v>44552</v>
      </c>
      <c r="C7802" s="1" t="n">
        <v>45212</v>
      </c>
      <c r="D7802" t="inlineStr">
        <is>
          <t>VÄSTRA GÖTALANDS LÄN</t>
        </is>
      </c>
      <c r="E7802" t="inlineStr">
        <is>
          <t>TANUM</t>
        </is>
      </c>
      <c r="G7802" t="n">
        <v>2.1</v>
      </c>
      <c r="H7802" t="n">
        <v>0</v>
      </c>
      <c r="I7802" t="n">
        <v>0</v>
      </c>
      <c r="J7802" t="n">
        <v>0</v>
      </c>
      <c r="K7802" t="n">
        <v>0</v>
      </c>
      <c r="L7802" t="n">
        <v>0</v>
      </c>
      <c r="M7802" t="n">
        <v>0</v>
      </c>
      <c r="N7802" t="n">
        <v>0</v>
      </c>
      <c r="O7802" t="n">
        <v>0</v>
      </c>
      <c r="P7802" t="n">
        <v>0</v>
      </c>
      <c r="Q7802" t="n">
        <v>0</v>
      </c>
      <c r="R7802" s="2" t="inlineStr"/>
    </row>
    <row r="7803" ht="15" customHeight="1">
      <c r="A7803" t="inlineStr">
        <is>
          <t>A 73609-2021</t>
        </is>
      </c>
      <c r="B7803" s="1" t="n">
        <v>44552</v>
      </c>
      <c r="C7803" s="1" t="n">
        <v>45212</v>
      </c>
      <c r="D7803" t="inlineStr">
        <is>
          <t>VÄSTRA GÖTALANDS LÄN</t>
        </is>
      </c>
      <c r="E7803" t="inlineStr">
        <is>
          <t>GULLSPÅNG</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73728-2021</t>
        </is>
      </c>
      <c r="B7804" s="1" t="n">
        <v>44552</v>
      </c>
      <c r="C7804" s="1" t="n">
        <v>45212</v>
      </c>
      <c r="D7804" t="inlineStr">
        <is>
          <t>VÄSTRA GÖTALANDS LÄN</t>
        </is>
      </c>
      <c r="E7804" t="inlineStr">
        <is>
          <t>TIDAHOLM</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73822-2021</t>
        </is>
      </c>
      <c r="B7805" s="1" t="n">
        <v>44552</v>
      </c>
      <c r="C7805" s="1" t="n">
        <v>45212</v>
      </c>
      <c r="D7805" t="inlineStr">
        <is>
          <t>VÄSTRA GÖTALANDS LÄN</t>
        </is>
      </c>
      <c r="E7805" t="inlineStr">
        <is>
          <t>BORÅS</t>
        </is>
      </c>
      <c r="G7805" t="n">
        <v>2.4</v>
      </c>
      <c r="H7805" t="n">
        <v>0</v>
      </c>
      <c r="I7805" t="n">
        <v>0</v>
      </c>
      <c r="J7805" t="n">
        <v>0</v>
      </c>
      <c r="K7805" t="n">
        <v>0</v>
      </c>
      <c r="L7805" t="n">
        <v>0</v>
      </c>
      <c r="M7805" t="n">
        <v>0</v>
      </c>
      <c r="N7805" t="n">
        <v>0</v>
      </c>
      <c r="O7805" t="n">
        <v>0</v>
      </c>
      <c r="P7805" t="n">
        <v>0</v>
      </c>
      <c r="Q7805" t="n">
        <v>0</v>
      </c>
      <c r="R7805" s="2" t="inlineStr"/>
    </row>
    <row r="7806" ht="15" customHeight="1">
      <c r="A7806" t="inlineStr">
        <is>
          <t>A 73594-2021</t>
        </is>
      </c>
      <c r="B7806" s="1" t="n">
        <v>44552</v>
      </c>
      <c r="C7806" s="1" t="n">
        <v>45212</v>
      </c>
      <c r="D7806" t="inlineStr">
        <is>
          <t>VÄSTRA GÖTALANDS LÄN</t>
        </is>
      </c>
      <c r="E7806" t="inlineStr">
        <is>
          <t>BENGTSFORS</t>
        </is>
      </c>
      <c r="G7806" t="n">
        <v>2.7</v>
      </c>
      <c r="H7806" t="n">
        <v>0</v>
      </c>
      <c r="I7806" t="n">
        <v>0</v>
      </c>
      <c r="J7806" t="n">
        <v>0</v>
      </c>
      <c r="K7806" t="n">
        <v>0</v>
      </c>
      <c r="L7806" t="n">
        <v>0</v>
      </c>
      <c r="M7806" t="n">
        <v>0</v>
      </c>
      <c r="N7806" t="n">
        <v>0</v>
      </c>
      <c r="O7806" t="n">
        <v>0</v>
      </c>
      <c r="P7806" t="n">
        <v>0</v>
      </c>
      <c r="Q7806" t="n">
        <v>0</v>
      </c>
      <c r="R7806" s="2" t="inlineStr"/>
    </row>
    <row r="7807" ht="15" customHeight="1">
      <c r="A7807" t="inlineStr">
        <is>
          <t>A 73814-2021</t>
        </is>
      </c>
      <c r="B7807" s="1" t="n">
        <v>44552</v>
      </c>
      <c r="C7807" s="1" t="n">
        <v>45212</v>
      </c>
      <c r="D7807" t="inlineStr">
        <is>
          <t>VÄSTRA GÖTALANDS LÄN</t>
        </is>
      </c>
      <c r="E7807" t="inlineStr">
        <is>
          <t>TRANEMO</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73587-2021</t>
        </is>
      </c>
      <c r="B7808" s="1" t="n">
        <v>44552</v>
      </c>
      <c r="C7808" s="1" t="n">
        <v>45212</v>
      </c>
      <c r="D7808" t="inlineStr">
        <is>
          <t>VÄSTRA GÖTALANDS LÄN</t>
        </is>
      </c>
      <c r="E7808" t="inlineStr">
        <is>
          <t>BENGTSFORS</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73779-2021</t>
        </is>
      </c>
      <c r="B7809" s="1" t="n">
        <v>44552</v>
      </c>
      <c r="C7809" s="1" t="n">
        <v>45212</v>
      </c>
      <c r="D7809" t="inlineStr">
        <is>
          <t>VÄSTRA GÖTALANDS LÄN</t>
        </is>
      </c>
      <c r="E7809" t="inlineStr">
        <is>
          <t>GULLSPÅNG</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73823-2021</t>
        </is>
      </c>
      <c r="B7810" s="1" t="n">
        <v>44552</v>
      </c>
      <c r="C7810" s="1" t="n">
        <v>45212</v>
      </c>
      <c r="D7810" t="inlineStr">
        <is>
          <t>VÄSTRA GÖTALANDS LÄN</t>
        </is>
      </c>
      <c r="E7810" t="inlineStr">
        <is>
          <t>ULRICEHAMN</t>
        </is>
      </c>
      <c r="G7810" t="n">
        <v>4</v>
      </c>
      <c r="H7810" t="n">
        <v>0</v>
      </c>
      <c r="I7810" t="n">
        <v>0</v>
      </c>
      <c r="J7810" t="n">
        <v>0</v>
      </c>
      <c r="K7810" t="n">
        <v>0</v>
      </c>
      <c r="L7810" t="n">
        <v>0</v>
      </c>
      <c r="M7810" t="n">
        <v>0</v>
      </c>
      <c r="N7810" t="n">
        <v>0</v>
      </c>
      <c r="O7810" t="n">
        <v>0</v>
      </c>
      <c r="P7810" t="n">
        <v>0</v>
      </c>
      <c r="Q7810" t="n">
        <v>0</v>
      </c>
      <c r="R7810" s="2" t="inlineStr"/>
    </row>
    <row r="7811" ht="15" customHeight="1">
      <c r="A7811" t="inlineStr">
        <is>
          <t>A 73942-2021</t>
        </is>
      </c>
      <c r="B7811" s="1" t="n">
        <v>44552</v>
      </c>
      <c r="C7811" s="1" t="n">
        <v>45212</v>
      </c>
      <c r="D7811" t="inlineStr">
        <is>
          <t>VÄSTRA GÖTALANDS LÄN</t>
        </is>
      </c>
      <c r="E7811" t="inlineStr">
        <is>
          <t>MARK</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74081-2021</t>
        </is>
      </c>
      <c r="B7812" s="1" t="n">
        <v>44553</v>
      </c>
      <c r="C7812" s="1" t="n">
        <v>45212</v>
      </c>
      <c r="D7812" t="inlineStr">
        <is>
          <t>VÄSTRA GÖTALANDS LÄN</t>
        </is>
      </c>
      <c r="E7812" t="inlineStr">
        <is>
          <t>MARIESTAD</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73932-2021</t>
        </is>
      </c>
      <c r="B7813" s="1" t="n">
        <v>44553</v>
      </c>
      <c r="C7813" s="1" t="n">
        <v>45212</v>
      </c>
      <c r="D7813" t="inlineStr">
        <is>
          <t>VÄSTRA GÖTALANDS LÄN</t>
        </is>
      </c>
      <c r="E7813" t="inlineStr">
        <is>
          <t>ULRICEHAMN</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74066-2021</t>
        </is>
      </c>
      <c r="B7814" s="1" t="n">
        <v>44557</v>
      </c>
      <c r="C7814" s="1" t="n">
        <v>45212</v>
      </c>
      <c r="D7814" t="inlineStr">
        <is>
          <t>VÄSTRA GÖTALANDS LÄN</t>
        </is>
      </c>
      <c r="E7814" t="inlineStr">
        <is>
          <t>FÄRGELANDA</t>
        </is>
      </c>
      <c r="G7814" t="n">
        <v>1</v>
      </c>
      <c r="H7814" t="n">
        <v>0</v>
      </c>
      <c r="I7814" t="n">
        <v>0</v>
      </c>
      <c r="J7814" t="n">
        <v>0</v>
      </c>
      <c r="K7814" t="n">
        <v>0</v>
      </c>
      <c r="L7814" t="n">
        <v>0</v>
      </c>
      <c r="M7814" t="n">
        <v>0</v>
      </c>
      <c r="N7814" t="n">
        <v>0</v>
      </c>
      <c r="O7814" t="n">
        <v>0</v>
      </c>
      <c r="P7814" t="n">
        <v>0</v>
      </c>
      <c r="Q7814" t="n">
        <v>0</v>
      </c>
      <c r="R7814" s="2" t="inlineStr"/>
    </row>
    <row r="7815" ht="15" customHeight="1">
      <c r="A7815" t="inlineStr">
        <is>
          <t>A 74225-2021</t>
        </is>
      </c>
      <c r="B7815" s="1" t="n">
        <v>44558</v>
      </c>
      <c r="C7815" s="1" t="n">
        <v>45212</v>
      </c>
      <c r="D7815" t="inlineStr">
        <is>
          <t>VÄSTRA GÖTALANDS LÄN</t>
        </is>
      </c>
      <c r="E7815" t="inlineStr">
        <is>
          <t>BENGTSFORS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74285-2021</t>
        </is>
      </c>
      <c r="B7816" s="1" t="n">
        <v>44558</v>
      </c>
      <c r="C7816" s="1" t="n">
        <v>45212</v>
      </c>
      <c r="D7816" t="inlineStr">
        <is>
          <t>VÄSTRA GÖTALANDS LÄN</t>
        </is>
      </c>
      <c r="E7816" t="inlineStr">
        <is>
          <t>KUNGÄLV</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74199-2021</t>
        </is>
      </c>
      <c r="B7817" s="1" t="n">
        <v>44558</v>
      </c>
      <c r="C7817" s="1" t="n">
        <v>45212</v>
      </c>
      <c r="D7817" t="inlineStr">
        <is>
          <t>VÄSTRA GÖTALANDS LÄN</t>
        </is>
      </c>
      <c r="E7817" t="inlineStr">
        <is>
          <t>ULRICEHAMN</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74362-2021</t>
        </is>
      </c>
      <c r="B7818" s="1" t="n">
        <v>44559</v>
      </c>
      <c r="C7818" s="1" t="n">
        <v>45212</v>
      </c>
      <c r="D7818" t="inlineStr">
        <is>
          <t>VÄSTRA GÖTALANDS LÄN</t>
        </is>
      </c>
      <c r="E7818" t="inlineStr">
        <is>
          <t>MELLERUD</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74438-2021</t>
        </is>
      </c>
      <c r="B7819" s="1" t="n">
        <v>44560</v>
      </c>
      <c r="C7819" s="1" t="n">
        <v>45212</v>
      </c>
      <c r="D7819" t="inlineStr">
        <is>
          <t>VÄSTRA GÖTALANDS LÄN</t>
        </is>
      </c>
      <c r="E7819" t="inlineStr">
        <is>
          <t>SKARA</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138-2022</t>
        </is>
      </c>
      <c r="B7820" s="1" t="n">
        <v>44560</v>
      </c>
      <c r="C7820" s="1" t="n">
        <v>45212</v>
      </c>
      <c r="D7820" t="inlineStr">
        <is>
          <t>VÄSTRA GÖTALANDS LÄN</t>
        </is>
      </c>
      <c r="E7820" t="inlineStr">
        <is>
          <t>HJO</t>
        </is>
      </c>
      <c r="G7820" t="n">
        <v>0.3</v>
      </c>
      <c r="H7820" t="n">
        <v>0</v>
      </c>
      <c r="I7820" t="n">
        <v>0</v>
      </c>
      <c r="J7820" t="n">
        <v>0</v>
      </c>
      <c r="K7820" t="n">
        <v>0</v>
      </c>
      <c r="L7820" t="n">
        <v>0</v>
      </c>
      <c r="M7820" t="n">
        <v>0</v>
      </c>
      <c r="N7820" t="n">
        <v>0</v>
      </c>
      <c r="O7820" t="n">
        <v>0</v>
      </c>
      <c r="P7820" t="n">
        <v>0</v>
      </c>
      <c r="Q7820" t="n">
        <v>0</v>
      </c>
      <c r="R7820" s="2" t="inlineStr"/>
    </row>
    <row r="7821" ht="15" customHeight="1">
      <c r="A7821" t="inlineStr">
        <is>
          <t>A 181-2022</t>
        </is>
      </c>
      <c r="B7821" s="1" t="n">
        <v>44563</v>
      </c>
      <c r="C7821" s="1" t="n">
        <v>45212</v>
      </c>
      <c r="D7821" t="inlineStr">
        <is>
          <t>VÄSTRA GÖTALANDS LÄN</t>
        </is>
      </c>
      <c r="E7821" t="inlineStr">
        <is>
          <t>TANUM</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244-2022</t>
        </is>
      </c>
      <c r="B7822" s="1" t="n">
        <v>44563</v>
      </c>
      <c r="C7822" s="1" t="n">
        <v>45212</v>
      </c>
      <c r="D7822" t="inlineStr">
        <is>
          <t>VÄSTRA GÖTALANDS LÄN</t>
        </is>
      </c>
      <c r="E7822" t="inlineStr">
        <is>
          <t>MUNKEDAL</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186-2022</t>
        </is>
      </c>
      <c r="B7823" s="1" t="n">
        <v>44563</v>
      </c>
      <c r="C7823" s="1" t="n">
        <v>45212</v>
      </c>
      <c r="D7823" t="inlineStr">
        <is>
          <t>VÄSTRA GÖTALANDS LÄN</t>
        </is>
      </c>
      <c r="E7823" t="inlineStr">
        <is>
          <t>MUNKEDAL</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184-2022</t>
        </is>
      </c>
      <c r="B7824" s="1" t="n">
        <v>44563</v>
      </c>
      <c r="C7824" s="1" t="n">
        <v>45212</v>
      </c>
      <c r="D7824" t="inlineStr">
        <is>
          <t>VÄSTRA GÖTALANDS LÄN</t>
        </is>
      </c>
      <c r="E7824" t="inlineStr">
        <is>
          <t>TANUM</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828-2022</t>
        </is>
      </c>
      <c r="B7825" s="1" t="n">
        <v>44563</v>
      </c>
      <c r="C7825" s="1" t="n">
        <v>45212</v>
      </c>
      <c r="D7825" t="inlineStr">
        <is>
          <t>VÄSTRA GÖTALANDS LÄN</t>
        </is>
      </c>
      <c r="E7825" t="inlineStr">
        <is>
          <t>MUNKEDAL</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134-2022</t>
        </is>
      </c>
      <c r="B7826" s="1" t="n">
        <v>44564</v>
      </c>
      <c r="C7826" s="1" t="n">
        <v>45212</v>
      </c>
      <c r="D7826" t="inlineStr">
        <is>
          <t>VÄSTRA GÖTALANDS LÄN</t>
        </is>
      </c>
      <c r="E7826" t="inlineStr">
        <is>
          <t>SVENLJUNGA</t>
        </is>
      </c>
      <c r="G7826" t="n">
        <v>8.199999999999999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127-2022</t>
        </is>
      </c>
      <c r="B7827" s="1" t="n">
        <v>44564</v>
      </c>
      <c r="C7827" s="1" t="n">
        <v>45212</v>
      </c>
      <c r="D7827" t="inlineStr">
        <is>
          <t>VÄSTRA GÖTALANDS LÄN</t>
        </is>
      </c>
      <c r="E7827" t="inlineStr">
        <is>
          <t>VÅRGÅRDA</t>
        </is>
      </c>
      <c r="F7827" t="inlineStr">
        <is>
          <t>Kyrkan</t>
        </is>
      </c>
      <c r="G7827" t="n">
        <v>4.3</v>
      </c>
      <c r="H7827" t="n">
        <v>0</v>
      </c>
      <c r="I7827" t="n">
        <v>0</v>
      </c>
      <c r="J7827" t="n">
        <v>0</v>
      </c>
      <c r="K7827" t="n">
        <v>0</v>
      </c>
      <c r="L7827" t="n">
        <v>0</v>
      </c>
      <c r="M7827" t="n">
        <v>0</v>
      </c>
      <c r="N7827" t="n">
        <v>0</v>
      </c>
      <c r="O7827" t="n">
        <v>0</v>
      </c>
      <c r="P7827" t="n">
        <v>0</v>
      </c>
      <c r="Q7827" t="n">
        <v>0</v>
      </c>
      <c r="R7827" s="2" t="inlineStr"/>
    </row>
    <row r="7828" ht="15" customHeight="1">
      <c r="A7828" t="inlineStr">
        <is>
          <t>A 175-2022</t>
        </is>
      </c>
      <c r="B7828" s="1" t="n">
        <v>44564</v>
      </c>
      <c r="C7828" s="1" t="n">
        <v>45212</v>
      </c>
      <c r="D7828" t="inlineStr">
        <is>
          <t>VÄSTRA GÖTALANDS LÄN</t>
        </is>
      </c>
      <c r="E7828" t="inlineStr">
        <is>
          <t>HERRLJUNGA</t>
        </is>
      </c>
      <c r="F7828" t="inlineStr">
        <is>
          <t>Kyrkan</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200-2022</t>
        </is>
      </c>
      <c r="B7829" s="1" t="n">
        <v>44564</v>
      </c>
      <c r="C7829" s="1" t="n">
        <v>45212</v>
      </c>
      <c r="D7829" t="inlineStr">
        <is>
          <t>VÄSTRA GÖTALANDS LÄN</t>
        </is>
      </c>
      <c r="E7829" t="inlineStr">
        <is>
          <t>ALE</t>
        </is>
      </c>
      <c r="G7829" t="n">
        <v>6.8</v>
      </c>
      <c r="H7829" t="n">
        <v>0</v>
      </c>
      <c r="I7829" t="n">
        <v>0</v>
      </c>
      <c r="J7829" t="n">
        <v>0</v>
      </c>
      <c r="K7829" t="n">
        <v>0</v>
      </c>
      <c r="L7829" t="n">
        <v>0</v>
      </c>
      <c r="M7829" t="n">
        <v>0</v>
      </c>
      <c r="N7829" t="n">
        <v>0</v>
      </c>
      <c r="O7829" t="n">
        <v>0</v>
      </c>
      <c r="P7829" t="n">
        <v>0</v>
      </c>
      <c r="Q7829" t="n">
        <v>0</v>
      </c>
      <c r="R7829" s="2" t="inlineStr"/>
    </row>
    <row r="7830" ht="15" customHeight="1">
      <c r="A7830" t="inlineStr">
        <is>
          <t>A 260-2022</t>
        </is>
      </c>
      <c r="B7830" s="1" t="n">
        <v>44564</v>
      </c>
      <c r="C7830" s="1" t="n">
        <v>45212</v>
      </c>
      <c r="D7830" t="inlineStr">
        <is>
          <t>VÄSTRA GÖTALANDS LÄN</t>
        </is>
      </c>
      <c r="E7830" t="inlineStr">
        <is>
          <t>VARA</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57-2022</t>
        </is>
      </c>
      <c r="B7831" s="1" t="n">
        <v>44564</v>
      </c>
      <c r="C7831" s="1" t="n">
        <v>45212</v>
      </c>
      <c r="D7831" t="inlineStr">
        <is>
          <t>VÄSTRA GÖTALANDS LÄN</t>
        </is>
      </c>
      <c r="E7831" t="inlineStr">
        <is>
          <t>MARK</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177-2022</t>
        </is>
      </c>
      <c r="B7832" s="1" t="n">
        <v>44564</v>
      </c>
      <c r="C7832" s="1" t="n">
        <v>45212</v>
      </c>
      <c r="D7832" t="inlineStr">
        <is>
          <t>VÄSTRA GÖTALANDS LÄN</t>
        </is>
      </c>
      <c r="E7832" t="inlineStr">
        <is>
          <t>HERRLJUNGA</t>
        </is>
      </c>
      <c r="F7832" t="inlineStr">
        <is>
          <t>Kyrkan</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130-2022</t>
        </is>
      </c>
      <c r="B7833" s="1" t="n">
        <v>44564</v>
      </c>
      <c r="C7833" s="1" t="n">
        <v>45212</v>
      </c>
      <c r="D7833" t="inlineStr">
        <is>
          <t>VÄSTRA GÖTALANDS LÄN</t>
        </is>
      </c>
      <c r="E7833" t="inlineStr">
        <is>
          <t>VÅRGÅRDA</t>
        </is>
      </c>
      <c r="F7833" t="inlineStr">
        <is>
          <t>Kyrkan</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180-2022</t>
        </is>
      </c>
      <c r="B7834" s="1" t="n">
        <v>44564</v>
      </c>
      <c r="C7834" s="1" t="n">
        <v>45212</v>
      </c>
      <c r="D7834" t="inlineStr">
        <is>
          <t>VÄSTRA GÖTALANDS LÄN</t>
        </is>
      </c>
      <c r="E7834" t="inlineStr">
        <is>
          <t>VÅRGÅRDA</t>
        </is>
      </c>
      <c r="F7834" t="inlineStr">
        <is>
          <t>Kyrkan</t>
        </is>
      </c>
      <c r="G7834" t="n">
        <v>7.6</v>
      </c>
      <c r="H7834" t="n">
        <v>0</v>
      </c>
      <c r="I7834" t="n">
        <v>0</v>
      </c>
      <c r="J7834" t="n">
        <v>0</v>
      </c>
      <c r="K7834" t="n">
        <v>0</v>
      </c>
      <c r="L7834" t="n">
        <v>0</v>
      </c>
      <c r="M7834" t="n">
        <v>0</v>
      </c>
      <c r="N7834" t="n">
        <v>0</v>
      </c>
      <c r="O7834" t="n">
        <v>0</v>
      </c>
      <c r="P7834" t="n">
        <v>0</v>
      </c>
      <c r="Q7834" t="n">
        <v>0</v>
      </c>
      <c r="R7834" s="2" t="inlineStr"/>
    </row>
    <row r="7835" ht="15" customHeight="1">
      <c r="A7835" t="inlineStr">
        <is>
          <t>A 224-2022</t>
        </is>
      </c>
      <c r="B7835" s="1" t="n">
        <v>44564</v>
      </c>
      <c r="C7835" s="1" t="n">
        <v>45212</v>
      </c>
      <c r="D7835" t="inlineStr">
        <is>
          <t>VÄSTRA GÖTALANDS LÄN</t>
        </is>
      </c>
      <c r="E7835" t="inlineStr">
        <is>
          <t>BENGTSFORS</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419-2022</t>
        </is>
      </c>
      <c r="B7836" s="1" t="n">
        <v>44565</v>
      </c>
      <c r="C7836" s="1" t="n">
        <v>45212</v>
      </c>
      <c r="D7836" t="inlineStr">
        <is>
          <t>VÄSTRA GÖTALANDS LÄN</t>
        </is>
      </c>
      <c r="E7836" t="inlineStr">
        <is>
          <t>TÖREBODA</t>
        </is>
      </c>
      <c r="G7836" t="n">
        <v>3.7</v>
      </c>
      <c r="H7836" t="n">
        <v>0</v>
      </c>
      <c r="I7836" t="n">
        <v>0</v>
      </c>
      <c r="J7836" t="n">
        <v>0</v>
      </c>
      <c r="K7836" t="n">
        <v>0</v>
      </c>
      <c r="L7836" t="n">
        <v>0</v>
      </c>
      <c r="M7836" t="n">
        <v>0</v>
      </c>
      <c r="N7836" t="n">
        <v>0</v>
      </c>
      <c r="O7836" t="n">
        <v>0</v>
      </c>
      <c r="P7836" t="n">
        <v>0</v>
      </c>
      <c r="Q7836" t="n">
        <v>0</v>
      </c>
      <c r="R7836" s="2" t="inlineStr"/>
    </row>
    <row r="7837" ht="15" customHeight="1">
      <c r="A7837" t="inlineStr">
        <is>
          <t>A 365-2022</t>
        </is>
      </c>
      <c r="B7837" s="1" t="n">
        <v>44565</v>
      </c>
      <c r="C7837" s="1" t="n">
        <v>45212</v>
      </c>
      <c r="D7837" t="inlineStr">
        <is>
          <t>VÄSTRA GÖTALANDS LÄN</t>
        </is>
      </c>
      <c r="E7837" t="inlineStr">
        <is>
          <t>VARA</t>
        </is>
      </c>
      <c r="G7837" t="n">
        <v>7.8</v>
      </c>
      <c r="H7837" t="n">
        <v>0</v>
      </c>
      <c r="I7837" t="n">
        <v>0</v>
      </c>
      <c r="J7837" t="n">
        <v>0</v>
      </c>
      <c r="K7837" t="n">
        <v>0</v>
      </c>
      <c r="L7837" t="n">
        <v>0</v>
      </c>
      <c r="M7837" t="n">
        <v>0</v>
      </c>
      <c r="N7837" t="n">
        <v>0</v>
      </c>
      <c r="O7837" t="n">
        <v>0</v>
      </c>
      <c r="P7837" t="n">
        <v>0</v>
      </c>
      <c r="Q7837" t="n">
        <v>0</v>
      </c>
      <c r="R7837" s="2" t="inlineStr"/>
    </row>
    <row r="7838" ht="15" customHeight="1">
      <c r="A7838" t="inlineStr">
        <is>
          <t>A 384-2022</t>
        </is>
      </c>
      <c r="B7838" s="1" t="n">
        <v>44565</v>
      </c>
      <c r="C7838" s="1" t="n">
        <v>45212</v>
      </c>
      <c r="D7838" t="inlineStr">
        <is>
          <t>VÄSTRA GÖTALANDS LÄN</t>
        </is>
      </c>
      <c r="E7838" t="inlineStr">
        <is>
          <t>TÖREBODA</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238-2022</t>
        </is>
      </c>
      <c r="B7839" s="1" t="n">
        <v>44565</v>
      </c>
      <c r="C7839" s="1" t="n">
        <v>45212</v>
      </c>
      <c r="D7839" t="inlineStr">
        <is>
          <t>VÄSTRA GÖTALANDS LÄN</t>
        </is>
      </c>
      <c r="E7839" t="inlineStr">
        <is>
          <t>BORÅS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560-2022</t>
        </is>
      </c>
      <c r="B7840" s="1" t="n">
        <v>44566</v>
      </c>
      <c r="C7840" s="1" t="n">
        <v>45212</v>
      </c>
      <c r="D7840" t="inlineStr">
        <is>
          <t>VÄSTRA GÖTALANDS LÄN</t>
        </is>
      </c>
      <c r="E7840" t="inlineStr">
        <is>
          <t>LIDKÖPING</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472-2022</t>
        </is>
      </c>
      <c r="B7841" s="1" t="n">
        <v>44566</v>
      </c>
      <c r="C7841" s="1" t="n">
        <v>45212</v>
      </c>
      <c r="D7841" t="inlineStr">
        <is>
          <t>VÄSTRA GÖTALANDS LÄN</t>
        </is>
      </c>
      <c r="E7841" t="inlineStr">
        <is>
          <t>TÖREBODA</t>
        </is>
      </c>
      <c r="F7841" t="inlineStr">
        <is>
          <t>Sveaskog</t>
        </is>
      </c>
      <c r="G7841" t="n">
        <v>2.9</v>
      </c>
      <c r="H7841" t="n">
        <v>0</v>
      </c>
      <c r="I7841" t="n">
        <v>0</v>
      </c>
      <c r="J7841" t="n">
        <v>0</v>
      </c>
      <c r="K7841" t="n">
        <v>0</v>
      </c>
      <c r="L7841" t="n">
        <v>0</v>
      </c>
      <c r="M7841" t="n">
        <v>0</v>
      </c>
      <c r="N7841" t="n">
        <v>0</v>
      </c>
      <c r="O7841" t="n">
        <v>0</v>
      </c>
      <c r="P7841" t="n">
        <v>0</v>
      </c>
      <c r="Q7841" t="n">
        <v>0</v>
      </c>
      <c r="R7841" s="2" t="inlineStr"/>
    </row>
    <row r="7842" ht="15" customHeight="1">
      <c r="A7842" t="inlineStr">
        <is>
          <t>A 562-2022</t>
        </is>
      </c>
      <c r="B7842" s="1" t="n">
        <v>44566</v>
      </c>
      <c r="C7842" s="1" t="n">
        <v>45212</v>
      </c>
      <c r="D7842" t="inlineStr">
        <is>
          <t>VÄSTRA GÖTALANDS LÄN</t>
        </is>
      </c>
      <c r="E7842" t="inlineStr">
        <is>
          <t>GÖTENE</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468-2022</t>
        </is>
      </c>
      <c r="B7843" s="1" t="n">
        <v>44566</v>
      </c>
      <c r="C7843" s="1" t="n">
        <v>45212</v>
      </c>
      <c r="D7843" t="inlineStr">
        <is>
          <t>VÄSTRA GÖTALANDS LÄN</t>
        </is>
      </c>
      <c r="E7843" t="inlineStr">
        <is>
          <t>LERUM</t>
        </is>
      </c>
      <c r="G7843" t="n">
        <v>0.3</v>
      </c>
      <c r="H7843" t="n">
        <v>0</v>
      </c>
      <c r="I7843" t="n">
        <v>0</v>
      </c>
      <c r="J7843" t="n">
        <v>0</v>
      </c>
      <c r="K7843" t="n">
        <v>0</v>
      </c>
      <c r="L7843" t="n">
        <v>0</v>
      </c>
      <c r="M7843" t="n">
        <v>0</v>
      </c>
      <c r="N7843" t="n">
        <v>0</v>
      </c>
      <c r="O7843" t="n">
        <v>0</v>
      </c>
      <c r="P7843" t="n">
        <v>0</v>
      </c>
      <c r="Q7843" t="n">
        <v>0</v>
      </c>
      <c r="R7843" s="2" t="inlineStr"/>
    </row>
    <row r="7844" ht="15" customHeight="1">
      <c r="A7844" t="inlineStr">
        <is>
          <t>A 478-2022</t>
        </is>
      </c>
      <c r="B7844" s="1" t="n">
        <v>44566</v>
      </c>
      <c r="C7844" s="1" t="n">
        <v>45212</v>
      </c>
      <c r="D7844" t="inlineStr">
        <is>
          <t>VÄSTRA GÖTALANDS LÄN</t>
        </is>
      </c>
      <c r="E7844" t="inlineStr">
        <is>
          <t>FÄRGELANDA</t>
        </is>
      </c>
      <c r="G7844" t="n">
        <v>0.4</v>
      </c>
      <c r="H7844" t="n">
        <v>0</v>
      </c>
      <c r="I7844" t="n">
        <v>0</v>
      </c>
      <c r="J7844" t="n">
        <v>0</v>
      </c>
      <c r="K7844" t="n">
        <v>0</v>
      </c>
      <c r="L7844" t="n">
        <v>0</v>
      </c>
      <c r="M7844" t="n">
        <v>0</v>
      </c>
      <c r="N7844" t="n">
        <v>0</v>
      </c>
      <c r="O7844" t="n">
        <v>0</v>
      </c>
      <c r="P7844" t="n">
        <v>0</v>
      </c>
      <c r="Q7844" t="n">
        <v>0</v>
      </c>
      <c r="R7844" s="2" t="inlineStr"/>
    </row>
    <row r="7845" ht="15" customHeight="1">
      <c r="A7845" t="inlineStr">
        <is>
          <t>A 561-2022</t>
        </is>
      </c>
      <c r="B7845" s="1" t="n">
        <v>44566</v>
      </c>
      <c r="C7845" s="1" t="n">
        <v>45212</v>
      </c>
      <c r="D7845" t="inlineStr">
        <is>
          <t>VÄSTRA GÖTALANDS LÄN</t>
        </is>
      </c>
      <c r="E7845" t="inlineStr">
        <is>
          <t>GÖTENE</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726-2022</t>
        </is>
      </c>
      <c r="B7846" s="1" t="n">
        <v>44566</v>
      </c>
      <c r="C7846" s="1" t="n">
        <v>45212</v>
      </c>
      <c r="D7846" t="inlineStr">
        <is>
          <t>VÄSTRA GÖTALANDS LÄN</t>
        </is>
      </c>
      <c r="E7846" t="inlineStr">
        <is>
          <t>BENGTSFORS</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599-2022</t>
        </is>
      </c>
      <c r="B7847" s="1" t="n">
        <v>44567</v>
      </c>
      <c r="C7847" s="1" t="n">
        <v>45212</v>
      </c>
      <c r="D7847" t="inlineStr">
        <is>
          <t>VÄSTRA GÖTALANDS LÄN</t>
        </is>
      </c>
      <c r="E7847" t="inlineStr">
        <is>
          <t>SKARA</t>
        </is>
      </c>
      <c r="F7847" t="inlineStr">
        <is>
          <t>Sveaskog</t>
        </is>
      </c>
      <c r="G7847" t="n">
        <v>6</v>
      </c>
      <c r="H7847" t="n">
        <v>0</v>
      </c>
      <c r="I7847" t="n">
        <v>0</v>
      </c>
      <c r="J7847" t="n">
        <v>0</v>
      </c>
      <c r="K7847" t="n">
        <v>0</v>
      </c>
      <c r="L7847" t="n">
        <v>0</v>
      </c>
      <c r="M7847" t="n">
        <v>0</v>
      </c>
      <c r="N7847" t="n">
        <v>0</v>
      </c>
      <c r="O7847" t="n">
        <v>0</v>
      </c>
      <c r="P7847" t="n">
        <v>0</v>
      </c>
      <c r="Q7847" t="n">
        <v>0</v>
      </c>
      <c r="R7847" s="2" t="inlineStr"/>
    </row>
    <row r="7848" ht="15" customHeight="1">
      <c r="A7848" t="inlineStr">
        <is>
          <t>A 608-2022</t>
        </is>
      </c>
      <c r="B7848" s="1" t="n">
        <v>44567</v>
      </c>
      <c r="C7848" s="1" t="n">
        <v>45212</v>
      </c>
      <c r="D7848" t="inlineStr">
        <is>
          <t>VÄSTRA GÖTALANDS LÄN</t>
        </is>
      </c>
      <c r="E7848" t="inlineStr">
        <is>
          <t>SKÖVDE</t>
        </is>
      </c>
      <c r="G7848" t="n">
        <v>0.4</v>
      </c>
      <c r="H7848" t="n">
        <v>0</v>
      </c>
      <c r="I7848" t="n">
        <v>0</v>
      </c>
      <c r="J7848" t="n">
        <v>0</v>
      </c>
      <c r="K7848" t="n">
        <v>0</v>
      </c>
      <c r="L7848" t="n">
        <v>0</v>
      </c>
      <c r="M7848" t="n">
        <v>0</v>
      </c>
      <c r="N7848" t="n">
        <v>0</v>
      </c>
      <c r="O7848" t="n">
        <v>0</v>
      </c>
      <c r="P7848" t="n">
        <v>0</v>
      </c>
      <c r="Q7848" t="n">
        <v>0</v>
      </c>
      <c r="R7848" s="2" t="inlineStr"/>
    </row>
    <row r="7849" ht="15" customHeight="1">
      <c r="A7849" t="inlineStr">
        <is>
          <t>A 593-2022</t>
        </is>
      </c>
      <c r="B7849" s="1" t="n">
        <v>44567</v>
      </c>
      <c r="C7849" s="1" t="n">
        <v>45212</v>
      </c>
      <c r="D7849" t="inlineStr">
        <is>
          <t>VÄSTRA GÖTALANDS LÄN</t>
        </is>
      </c>
      <c r="E7849" t="inlineStr">
        <is>
          <t>ULRICEHAMN</t>
        </is>
      </c>
      <c r="F7849" t="inlineStr">
        <is>
          <t>Sveaskog</t>
        </is>
      </c>
      <c r="G7849" t="n">
        <v>16.3</v>
      </c>
      <c r="H7849" t="n">
        <v>0</v>
      </c>
      <c r="I7849" t="n">
        <v>0</v>
      </c>
      <c r="J7849" t="n">
        <v>0</v>
      </c>
      <c r="K7849" t="n">
        <v>0</v>
      </c>
      <c r="L7849" t="n">
        <v>0</v>
      </c>
      <c r="M7849" t="n">
        <v>0</v>
      </c>
      <c r="N7849" t="n">
        <v>0</v>
      </c>
      <c r="O7849" t="n">
        <v>0</v>
      </c>
      <c r="P7849" t="n">
        <v>0</v>
      </c>
      <c r="Q7849" t="n">
        <v>0</v>
      </c>
      <c r="R7849" s="2" t="inlineStr"/>
    </row>
    <row r="7850" ht="15" customHeight="1">
      <c r="A7850" t="inlineStr">
        <is>
          <t>A 981-2022</t>
        </is>
      </c>
      <c r="B7850" s="1" t="n">
        <v>44568</v>
      </c>
      <c r="C7850" s="1" t="n">
        <v>45212</v>
      </c>
      <c r="D7850" t="inlineStr">
        <is>
          <t>VÄSTRA GÖTALANDS LÄN</t>
        </is>
      </c>
      <c r="E7850" t="inlineStr">
        <is>
          <t>ALINGSÅS</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813-2022</t>
        </is>
      </c>
      <c r="B7851" s="1" t="n">
        <v>44571</v>
      </c>
      <c r="C7851" s="1" t="n">
        <v>45212</v>
      </c>
      <c r="D7851" t="inlineStr">
        <is>
          <t>VÄSTRA GÖTALANDS LÄN</t>
        </is>
      </c>
      <c r="E7851" t="inlineStr">
        <is>
          <t>MARIESTAD</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835-2022</t>
        </is>
      </c>
      <c r="B7852" s="1" t="n">
        <v>44571</v>
      </c>
      <c r="C7852" s="1" t="n">
        <v>45212</v>
      </c>
      <c r="D7852" t="inlineStr">
        <is>
          <t>VÄSTRA GÖTALANDS LÄN</t>
        </is>
      </c>
      <c r="E7852" t="inlineStr">
        <is>
          <t>UDDEVALLA</t>
        </is>
      </c>
      <c r="F7852" t="inlineStr">
        <is>
          <t>Kommuner</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989-2022</t>
        </is>
      </c>
      <c r="B7853" s="1" t="n">
        <v>44571</v>
      </c>
      <c r="C7853" s="1" t="n">
        <v>45212</v>
      </c>
      <c r="D7853" t="inlineStr">
        <is>
          <t>VÄSTRA GÖTALANDS LÄN</t>
        </is>
      </c>
      <c r="E7853" t="inlineStr">
        <is>
          <t>TÖREBODA</t>
        </is>
      </c>
      <c r="G7853" t="n">
        <v>5</v>
      </c>
      <c r="H7853" t="n">
        <v>0</v>
      </c>
      <c r="I7853" t="n">
        <v>0</v>
      </c>
      <c r="J7853" t="n">
        <v>0</v>
      </c>
      <c r="K7853" t="n">
        <v>0</v>
      </c>
      <c r="L7853" t="n">
        <v>0</v>
      </c>
      <c r="M7853" t="n">
        <v>0</v>
      </c>
      <c r="N7853" t="n">
        <v>0</v>
      </c>
      <c r="O7853" t="n">
        <v>0</v>
      </c>
      <c r="P7853" t="n">
        <v>0</v>
      </c>
      <c r="Q7853" t="n">
        <v>0</v>
      </c>
      <c r="R7853" s="2" t="inlineStr"/>
    </row>
    <row r="7854" ht="15" customHeight="1">
      <c r="A7854" t="inlineStr">
        <is>
          <t>A 1114-2022</t>
        </is>
      </c>
      <c r="B7854" s="1" t="n">
        <v>44571</v>
      </c>
      <c r="C7854" s="1" t="n">
        <v>45212</v>
      </c>
      <c r="D7854" t="inlineStr">
        <is>
          <t>VÄSTRA GÖTALANDS LÄN</t>
        </is>
      </c>
      <c r="E7854" t="inlineStr">
        <is>
          <t>BENGTSFORS</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809-2022</t>
        </is>
      </c>
      <c r="B7855" s="1" t="n">
        <v>44571</v>
      </c>
      <c r="C7855" s="1" t="n">
        <v>45212</v>
      </c>
      <c r="D7855" t="inlineStr">
        <is>
          <t>VÄSTRA GÖTALANDS LÄN</t>
        </is>
      </c>
      <c r="E7855" t="inlineStr">
        <is>
          <t>HJO</t>
        </is>
      </c>
      <c r="G7855" t="n">
        <v>4.3</v>
      </c>
      <c r="H7855" t="n">
        <v>0</v>
      </c>
      <c r="I7855" t="n">
        <v>0</v>
      </c>
      <c r="J7855" t="n">
        <v>0</v>
      </c>
      <c r="K7855" t="n">
        <v>0</v>
      </c>
      <c r="L7855" t="n">
        <v>0</v>
      </c>
      <c r="M7855" t="n">
        <v>0</v>
      </c>
      <c r="N7855" t="n">
        <v>0</v>
      </c>
      <c r="O7855" t="n">
        <v>0</v>
      </c>
      <c r="P7855" t="n">
        <v>0</v>
      </c>
      <c r="Q7855" t="n">
        <v>0</v>
      </c>
      <c r="R7855" s="2" t="inlineStr"/>
    </row>
    <row r="7856" ht="15" customHeight="1">
      <c r="A7856" t="inlineStr">
        <is>
          <t>A 909-2022</t>
        </is>
      </c>
      <c r="B7856" s="1" t="n">
        <v>44571</v>
      </c>
      <c r="C7856" s="1" t="n">
        <v>45212</v>
      </c>
      <c r="D7856" t="inlineStr">
        <is>
          <t>VÄSTRA GÖTALANDS LÄN</t>
        </is>
      </c>
      <c r="E7856" t="inlineStr">
        <is>
          <t>ÅMÅL</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1030-2022</t>
        </is>
      </c>
      <c r="B7857" s="1" t="n">
        <v>44571</v>
      </c>
      <c r="C7857" s="1" t="n">
        <v>45212</v>
      </c>
      <c r="D7857" t="inlineStr">
        <is>
          <t>VÄSTRA GÖTALANDS LÄN</t>
        </is>
      </c>
      <c r="E7857" t="inlineStr">
        <is>
          <t>FÄRGELANDA</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799-2022</t>
        </is>
      </c>
      <c r="B7858" s="1" t="n">
        <v>44571</v>
      </c>
      <c r="C7858" s="1" t="n">
        <v>45212</v>
      </c>
      <c r="D7858" t="inlineStr">
        <is>
          <t>VÄSTRA GÖTALANDS LÄN</t>
        </is>
      </c>
      <c r="E7858" t="inlineStr">
        <is>
          <t>VÅRGÅRDA</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928-2022</t>
        </is>
      </c>
      <c r="B7859" s="1" t="n">
        <v>44571</v>
      </c>
      <c r="C7859" s="1" t="n">
        <v>45212</v>
      </c>
      <c r="D7859" t="inlineStr">
        <is>
          <t>VÄSTRA GÖTALANDS LÄN</t>
        </is>
      </c>
      <c r="E7859" t="inlineStr">
        <is>
          <t>BENGTSFORS</t>
        </is>
      </c>
      <c r="G7859" t="n">
        <v>7.4</v>
      </c>
      <c r="H7859" t="n">
        <v>0</v>
      </c>
      <c r="I7859" t="n">
        <v>0</v>
      </c>
      <c r="J7859" t="n">
        <v>0</v>
      </c>
      <c r="K7859" t="n">
        <v>0</v>
      </c>
      <c r="L7859" t="n">
        <v>0</v>
      </c>
      <c r="M7859" t="n">
        <v>0</v>
      </c>
      <c r="N7859" t="n">
        <v>0</v>
      </c>
      <c r="O7859" t="n">
        <v>0</v>
      </c>
      <c r="P7859" t="n">
        <v>0</v>
      </c>
      <c r="Q7859" t="n">
        <v>0</v>
      </c>
      <c r="R7859" s="2" t="inlineStr"/>
    </row>
    <row r="7860" ht="15" customHeight="1">
      <c r="A7860" t="inlineStr">
        <is>
          <t>A 1231-2022</t>
        </is>
      </c>
      <c r="B7860" s="1" t="n">
        <v>44572</v>
      </c>
      <c r="C7860" s="1" t="n">
        <v>45212</v>
      </c>
      <c r="D7860" t="inlineStr">
        <is>
          <t>VÄSTRA GÖTALANDS LÄN</t>
        </is>
      </c>
      <c r="E7860" t="inlineStr">
        <is>
          <t>ALINGSÅS</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1113-2022</t>
        </is>
      </c>
      <c r="B7861" s="1" t="n">
        <v>44572</v>
      </c>
      <c r="C7861" s="1" t="n">
        <v>45212</v>
      </c>
      <c r="D7861" t="inlineStr">
        <is>
          <t>VÄSTRA GÖTALANDS LÄN</t>
        </is>
      </c>
      <c r="E7861" t="inlineStr">
        <is>
          <t>MARIESTAD</t>
        </is>
      </c>
      <c r="F7861" t="inlineStr">
        <is>
          <t>Naturvårdsverket</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1346-2022</t>
        </is>
      </c>
      <c r="B7862" s="1" t="n">
        <v>44572</v>
      </c>
      <c r="C7862" s="1" t="n">
        <v>45212</v>
      </c>
      <c r="D7862" t="inlineStr">
        <is>
          <t>VÄSTRA GÖTALANDS LÄN</t>
        </is>
      </c>
      <c r="E7862" t="inlineStr">
        <is>
          <t>UDDEVALLA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1109-2022</t>
        </is>
      </c>
      <c r="B7863" s="1" t="n">
        <v>44572</v>
      </c>
      <c r="C7863" s="1" t="n">
        <v>45212</v>
      </c>
      <c r="D7863" t="inlineStr">
        <is>
          <t>VÄSTRA GÖTALANDS LÄN</t>
        </is>
      </c>
      <c r="E7863" t="inlineStr">
        <is>
          <t>VÅRGÅRDA</t>
        </is>
      </c>
      <c r="G7863" t="n">
        <v>3.2</v>
      </c>
      <c r="H7863" t="n">
        <v>0</v>
      </c>
      <c r="I7863" t="n">
        <v>0</v>
      </c>
      <c r="J7863" t="n">
        <v>0</v>
      </c>
      <c r="K7863" t="n">
        <v>0</v>
      </c>
      <c r="L7863" t="n">
        <v>0</v>
      </c>
      <c r="M7863" t="n">
        <v>0</v>
      </c>
      <c r="N7863" t="n">
        <v>0</v>
      </c>
      <c r="O7863" t="n">
        <v>0</v>
      </c>
      <c r="P7863" t="n">
        <v>0</v>
      </c>
      <c r="Q7863" t="n">
        <v>0</v>
      </c>
      <c r="R7863" s="2" t="inlineStr"/>
    </row>
    <row r="7864" ht="15" customHeight="1">
      <c r="A7864" t="inlineStr">
        <is>
          <t>A 1156-2022</t>
        </is>
      </c>
      <c r="B7864" s="1" t="n">
        <v>44572</v>
      </c>
      <c r="C7864" s="1" t="n">
        <v>45212</v>
      </c>
      <c r="D7864" t="inlineStr">
        <is>
          <t>VÄSTRA GÖTALANDS LÄN</t>
        </is>
      </c>
      <c r="E7864" t="inlineStr">
        <is>
          <t>UDDEVALLA</t>
        </is>
      </c>
      <c r="F7864" t="inlineStr">
        <is>
          <t>Kommuner</t>
        </is>
      </c>
      <c r="G7864" t="n">
        <v>4.5</v>
      </c>
      <c r="H7864" t="n">
        <v>0</v>
      </c>
      <c r="I7864" t="n">
        <v>0</v>
      </c>
      <c r="J7864" t="n">
        <v>0</v>
      </c>
      <c r="K7864" t="n">
        <v>0</v>
      </c>
      <c r="L7864" t="n">
        <v>0</v>
      </c>
      <c r="M7864" t="n">
        <v>0</v>
      </c>
      <c r="N7864" t="n">
        <v>0</v>
      </c>
      <c r="O7864" t="n">
        <v>0</v>
      </c>
      <c r="P7864" t="n">
        <v>0</v>
      </c>
      <c r="Q7864" t="n">
        <v>0</v>
      </c>
      <c r="R7864" s="2" t="inlineStr"/>
    </row>
    <row r="7865" ht="15" customHeight="1">
      <c r="A7865" t="inlineStr">
        <is>
          <t>A 1220-2022</t>
        </is>
      </c>
      <c r="B7865" s="1" t="n">
        <v>44572</v>
      </c>
      <c r="C7865" s="1" t="n">
        <v>45212</v>
      </c>
      <c r="D7865" t="inlineStr">
        <is>
          <t>VÄSTRA GÖTALANDS LÄN</t>
        </is>
      </c>
      <c r="E7865" t="inlineStr">
        <is>
          <t>BENGTSFORS</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1248-2022</t>
        </is>
      </c>
      <c r="B7866" s="1" t="n">
        <v>44572</v>
      </c>
      <c r="C7866" s="1" t="n">
        <v>45212</v>
      </c>
      <c r="D7866" t="inlineStr">
        <is>
          <t>VÄSTRA GÖTALANDS LÄN</t>
        </is>
      </c>
      <c r="E7866" t="inlineStr">
        <is>
          <t>FALKÖPING</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1369-2022</t>
        </is>
      </c>
      <c r="B7867" s="1" t="n">
        <v>44572</v>
      </c>
      <c r="C7867" s="1" t="n">
        <v>45212</v>
      </c>
      <c r="D7867" t="inlineStr">
        <is>
          <t>VÄSTRA GÖTALANDS LÄN</t>
        </is>
      </c>
      <c r="E7867" t="inlineStr">
        <is>
          <t>TANUM</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1193-2022</t>
        </is>
      </c>
      <c r="B7868" s="1" t="n">
        <v>44572</v>
      </c>
      <c r="C7868" s="1" t="n">
        <v>45212</v>
      </c>
      <c r="D7868" t="inlineStr">
        <is>
          <t>VÄSTRA GÖTALANDS LÄN</t>
        </is>
      </c>
      <c r="E7868" t="inlineStr">
        <is>
          <t>BORÅS</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1233-2022</t>
        </is>
      </c>
      <c r="B7869" s="1" t="n">
        <v>44572</v>
      </c>
      <c r="C7869" s="1" t="n">
        <v>45212</v>
      </c>
      <c r="D7869" t="inlineStr">
        <is>
          <t>VÄSTRA GÖTALANDS LÄN</t>
        </is>
      </c>
      <c r="E7869" t="inlineStr">
        <is>
          <t>FÄRGELANDA</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1296-2022</t>
        </is>
      </c>
      <c r="B7870" s="1" t="n">
        <v>44572</v>
      </c>
      <c r="C7870" s="1" t="n">
        <v>45212</v>
      </c>
      <c r="D7870" t="inlineStr">
        <is>
          <t>VÄSTRA GÖTALANDS LÄN</t>
        </is>
      </c>
      <c r="E7870" t="inlineStr">
        <is>
          <t>TROLLHÄTTAN</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1427-2022</t>
        </is>
      </c>
      <c r="B7871" s="1" t="n">
        <v>44573</v>
      </c>
      <c r="C7871" s="1" t="n">
        <v>45212</v>
      </c>
      <c r="D7871" t="inlineStr">
        <is>
          <t>VÄSTRA GÖTALANDS LÄN</t>
        </is>
      </c>
      <c r="E7871" t="inlineStr">
        <is>
          <t>TANUM</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1455-2022</t>
        </is>
      </c>
      <c r="B7872" s="1" t="n">
        <v>44573</v>
      </c>
      <c r="C7872" s="1" t="n">
        <v>45212</v>
      </c>
      <c r="D7872" t="inlineStr">
        <is>
          <t>VÄSTRA GÖTALANDS LÄN</t>
        </is>
      </c>
      <c r="E7872" t="inlineStr">
        <is>
          <t>TIDAHOLM</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1545-2022</t>
        </is>
      </c>
      <c r="B7873" s="1" t="n">
        <v>44573</v>
      </c>
      <c r="C7873" s="1" t="n">
        <v>45212</v>
      </c>
      <c r="D7873" t="inlineStr">
        <is>
          <t>VÄSTRA GÖTALANDS LÄN</t>
        </is>
      </c>
      <c r="E7873" t="inlineStr">
        <is>
          <t>MUNKEDAL</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1566-2022</t>
        </is>
      </c>
      <c r="B7874" s="1" t="n">
        <v>44573</v>
      </c>
      <c r="C7874" s="1" t="n">
        <v>45212</v>
      </c>
      <c r="D7874" t="inlineStr">
        <is>
          <t>VÄSTRA GÖTALANDS LÄN</t>
        </is>
      </c>
      <c r="E7874" t="inlineStr">
        <is>
          <t>ALE</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1440-2022</t>
        </is>
      </c>
      <c r="B7875" s="1" t="n">
        <v>44573</v>
      </c>
      <c r="C7875" s="1" t="n">
        <v>45212</v>
      </c>
      <c r="D7875" t="inlineStr">
        <is>
          <t>VÄSTRA GÖTALANDS LÄN</t>
        </is>
      </c>
      <c r="E7875" t="inlineStr">
        <is>
          <t>TANUM</t>
        </is>
      </c>
      <c r="G7875" t="n">
        <v>4</v>
      </c>
      <c r="H7875" t="n">
        <v>0</v>
      </c>
      <c r="I7875" t="n">
        <v>0</v>
      </c>
      <c r="J7875" t="n">
        <v>0</v>
      </c>
      <c r="K7875" t="n">
        <v>0</v>
      </c>
      <c r="L7875" t="n">
        <v>0</v>
      </c>
      <c r="M7875" t="n">
        <v>0</v>
      </c>
      <c r="N7875" t="n">
        <v>0</v>
      </c>
      <c r="O7875" t="n">
        <v>0</v>
      </c>
      <c r="P7875" t="n">
        <v>0</v>
      </c>
      <c r="Q7875" t="n">
        <v>0</v>
      </c>
      <c r="R7875" s="2" t="inlineStr"/>
    </row>
    <row r="7876" ht="15" customHeight="1">
      <c r="A7876" t="inlineStr">
        <is>
          <t>A 1364-2022</t>
        </is>
      </c>
      <c r="B7876" s="1" t="n">
        <v>44573</v>
      </c>
      <c r="C7876" s="1" t="n">
        <v>45212</v>
      </c>
      <c r="D7876" t="inlineStr">
        <is>
          <t>VÄSTRA GÖTALANDS LÄN</t>
        </is>
      </c>
      <c r="E7876" t="inlineStr">
        <is>
          <t>SKARA</t>
        </is>
      </c>
      <c r="F7876" t="inlineStr">
        <is>
          <t>Sveaskog</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1430-2022</t>
        </is>
      </c>
      <c r="B7877" s="1" t="n">
        <v>44573</v>
      </c>
      <c r="C7877" s="1" t="n">
        <v>45212</v>
      </c>
      <c r="D7877" t="inlineStr">
        <is>
          <t>VÄSTRA GÖTALANDS LÄN</t>
        </is>
      </c>
      <c r="E7877" t="inlineStr">
        <is>
          <t>TANUM</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1456-2022</t>
        </is>
      </c>
      <c r="B7878" s="1" t="n">
        <v>44573</v>
      </c>
      <c r="C7878" s="1" t="n">
        <v>45212</v>
      </c>
      <c r="D7878" t="inlineStr">
        <is>
          <t>VÄSTRA GÖTALANDS LÄN</t>
        </is>
      </c>
      <c r="E7878" t="inlineStr">
        <is>
          <t>FALKÖPING</t>
        </is>
      </c>
      <c r="F7878" t="inlineStr">
        <is>
          <t>Naturvårdsverket</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1432-2022</t>
        </is>
      </c>
      <c r="B7879" s="1" t="n">
        <v>44573</v>
      </c>
      <c r="C7879" s="1" t="n">
        <v>45212</v>
      </c>
      <c r="D7879" t="inlineStr">
        <is>
          <t>VÄSTRA GÖTALANDS LÄN</t>
        </is>
      </c>
      <c r="E7879" t="inlineStr">
        <is>
          <t>TANUM</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1457-2022</t>
        </is>
      </c>
      <c r="B7880" s="1" t="n">
        <v>44573</v>
      </c>
      <c r="C7880" s="1" t="n">
        <v>45212</v>
      </c>
      <c r="D7880" t="inlineStr">
        <is>
          <t>VÄSTRA GÖTALANDS LÄN</t>
        </is>
      </c>
      <c r="E7880" t="inlineStr">
        <is>
          <t>TIDAHOLM</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1476-2022</t>
        </is>
      </c>
      <c r="B7881" s="1" t="n">
        <v>44573</v>
      </c>
      <c r="C7881" s="1" t="n">
        <v>45212</v>
      </c>
      <c r="D7881" t="inlineStr">
        <is>
          <t>VÄSTRA GÖTALANDS LÄN</t>
        </is>
      </c>
      <c r="E7881" t="inlineStr">
        <is>
          <t>TIDAHOLM</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1732-2022</t>
        </is>
      </c>
      <c r="B7882" s="1" t="n">
        <v>44574</v>
      </c>
      <c r="C7882" s="1" t="n">
        <v>45212</v>
      </c>
      <c r="D7882" t="inlineStr">
        <is>
          <t>VÄSTRA GÖTALANDS LÄN</t>
        </is>
      </c>
      <c r="E7882" t="inlineStr">
        <is>
          <t>TRANEMO</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1814-2022</t>
        </is>
      </c>
      <c r="B7883" s="1" t="n">
        <v>44574</v>
      </c>
      <c r="C7883" s="1" t="n">
        <v>45212</v>
      </c>
      <c r="D7883" t="inlineStr">
        <is>
          <t>VÄSTRA GÖTALANDS LÄN</t>
        </is>
      </c>
      <c r="E7883" t="inlineStr">
        <is>
          <t>MARK</t>
        </is>
      </c>
      <c r="G7883" t="n">
        <v>4.3</v>
      </c>
      <c r="H7883" t="n">
        <v>0</v>
      </c>
      <c r="I7883" t="n">
        <v>0</v>
      </c>
      <c r="J7883" t="n">
        <v>0</v>
      </c>
      <c r="K7883" t="n">
        <v>0</v>
      </c>
      <c r="L7883" t="n">
        <v>0</v>
      </c>
      <c r="M7883" t="n">
        <v>0</v>
      </c>
      <c r="N7883" t="n">
        <v>0</v>
      </c>
      <c r="O7883" t="n">
        <v>0</v>
      </c>
      <c r="P7883" t="n">
        <v>0</v>
      </c>
      <c r="Q7883" t="n">
        <v>0</v>
      </c>
      <c r="R7883" s="2" t="inlineStr"/>
    </row>
    <row r="7884" ht="15" customHeight="1">
      <c r="A7884" t="inlineStr">
        <is>
          <t>A 1878-2022</t>
        </is>
      </c>
      <c r="B7884" s="1" t="n">
        <v>44574</v>
      </c>
      <c r="C7884" s="1" t="n">
        <v>45212</v>
      </c>
      <c r="D7884" t="inlineStr">
        <is>
          <t>VÄSTRA GÖTALANDS LÄN</t>
        </is>
      </c>
      <c r="E7884" t="inlineStr">
        <is>
          <t>TIBRO</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1640-2022</t>
        </is>
      </c>
      <c r="B7885" s="1" t="n">
        <v>44574</v>
      </c>
      <c r="C7885" s="1" t="n">
        <v>45212</v>
      </c>
      <c r="D7885" t="inlineStr">
        <is>
          <t>VÄSTRA GÖTALANDS LÄN</t>
        </is>
      </c>
      <c r="E7885" t="inlineStr">
        <is>
          <t>MARIESTAD</t>
        </is>
      </c>
      <c r="G7885" t="n">
        <v>6</v>
      </c>
      <c r="H7885" t="n">
        <v>0</v>
      </c>
      <c r="I7885" t="n">
        <v>0</v>
      </c>
      <c r="J7885" t="n">
        <v>0</v>
      </c>
      <c r="K7885" t="n">
        <v>0</v>
      </c>
      <c r="L7885" t="n">
        <v>0</v>
      </c>
      <c r="M7885" t="n">
        <v>0</v>
      </c>
      <c r="N7885" t="n">
        <v>0</v>
      </c>
      <c r="O7885" t="n">
        <v>0</v>
      </c>
      <c r="P7885" t="n">
        <v>0</v>
      </c>
      <c r="Q7885" t="n">
        <v>0</v>
      </c>
      <c r="R7885" s="2" t="inlineStr"/>
    </row>
    <row r="7886" ht="15" customHeight="1">
      <c r="A7886" t="inlineStr">
        <is>
          <t>A 1692-2022</t>
        </is>
      </c>
      <c r="B7886" s="1" t="n">
        <v>44574</v>
      </c>
      <c r="C7886" s="1" t="n">
        <v>45212</v>
      </c>
      <c r="D7886" t="inlineStr">
        <is>
          <t>VÄSTRA GÖTALANDS LÄN</t>
        </is>
      </c>
      <c r="E7886" t="inlineStr">
        <is>
          <t>FÄRGELANDA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1875-2022</t>
        </is>
      </c>
      <c r="B7887" s="1" t="n">
        <v>44574</v>
      </c>
      <c r="C7887" s="1" t="n">
        <v>45212</v>
      </c>
      <c r="D7887" t="inlineStr">
        <is>
          <t>VÄSTRA GÖTALANDS LÄN</t>
        </is>
      </c>
      <c r="E7887" t="inlineStr">
        <is>
          <t>HERRLJUNGA</t>
        </is>
      </c>
      <c r="G7887" t="n">
        <v>11.4</v>
      </c>
      <c r="H7887" t="n">
        <v>0</v>
      </c>
      <c r="I7887" t="n">
        <v>0</v>
      </c>
      <c r="J7887" t="n">
        <v>0</v>
      </c>
      <c r="K7887" t="n">
        <v>0</v>
      </c>
      <c r="L7887" t="n">
        <v>0</v>
      </c>
      <c r="M7887" t="n">
        <v>0</v>
      </c>
      <c r="N7887" t="n">
        <v>0</v>
      </c>
      <c r="O7887" t="n">
        <v>0</v>
      </c>
      <c r="P7887" t="n">
        <v>0</v>
      </c>
      <c r="Q7887" t="n">
        <v>0</v>
      </c>
      <c r="R7887" s="2" t="inlineStr"/>
    </row>
    <row r="7888" ht="15" customHeight="1">
      <c r="A7888" t="inlineStr">
        <is>
          <t>A 1882-2022</t>
        </is>
      </c>
      <c r="B7888" s="1" t="n">
        <v>44574</v>
      </c>
      <c r="C7888" s="1" t="n">
        <v>45212</v>
      </c>
      <c r="D7888" t="inlineStr">
        <is>
          <t>VÄSTRA GÖTALANDS LÄN</t>
        </is>
      </c>
      <c r="E7888" t="inlineStr">
        <is>
          <t>TIBRO</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2006-2022</t>
        </is>
      </c>
      <c r="B7889" s="1" t="n">
        <v>44575</v>
      </c>
      <c r="C7889" s="1" t="n">
        <v>45212</v>
      </c>
      <c r="D7889" t="inlineStr">
        <is>
          <t>VÄSTRA GÖTALANDS LÄN</t>
        </is>
      </c>
      <c r="E7889" t="inlineStr">
        <is>
          <t>GÖTENE</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2027-2022</t>
        </is>
      </c>
      <c r="B7890" s="1" t="n">
        <v>44575</v>
      </c>
      <c r="C7890" s="1" t="n">
        <v>45212</v>
      </c>
      <c r="D7890" t="inlineStr">
        <is>
          <t>VÄSTRA GÖTALANDS LÄN</t>
        </is>
      </c>
      <c r="E7890" t="inlineStr">
        <is>
          <t>ÅMÅL</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1924-2022</t>
        </is>
      </c>
      <c r="B7891" s="1" t="n">
        <v>44575</v>
      </c>
      <c r="C7891" s="1" t="n">
        <v>45212</v>
      </c>
      <c r="D7891" t="inlineStr">
        <is>
          <t>VÄSTRA GÖTALANDS LÄN</t>
        </is>
      </c>
      <c r="E7891" t="inlineStr">
        <is>
          <t>MUNKEDAL</t>
        </is>
      </c>
      <c r="F7891" t="inlineStr">
        <is>
          <t>Övriga Aktiebolag</t>
        </is>
      </c>
      <c r="G7891" t="n">
        <v>4</v>
      </c>
      <c r="H7891" t="n">
        <v>0</v>
      </c>
      <c r="I7891" t="n">
        <v>0</v>
      </c>
      <c r="J7891" t="n">
        <v>0</v>
      </c>
      <c r="K7891" t="n">
        <v>0</v>
      </c>
      <c r="L7891" t="n">
        <v>0</v>
      </c>
      <c r="M7891" t="n">
        <v>0</v>
      </c>
      <c r="N7891" t="n">
        <v>0</v>
      </c>
      <c r="O7891" t="n">
        <v>0</v>
      </c>
      <c r="P7891" t="n">
        <v>0</v>
      </c>
      <c r="Q7891" t="n">
        <v>0</v>
      </c>
      <c r="R7891" s="2" t="inlineStr"/>
    </row>
    <row r="7892" ht="15" customHeight="1">
      <c r="A7892" t="inlineStr">
        <is>
          <t>A 2172-2022</t>
        </is>
      </c>
      <c r="B7892" s="1" t="n">
        <v>44578</v>
      </c>
      <c r="C7892" s="1" t="n">
        <v>45212</v>
      </c>
      <c r="D7892" t="inlineStr">
        <is>
          <t>VÄSTRA GÖTALANDS LÄN</t>
        </is>
      </c>
      <c r="E7892" t="inlineStr">
        <is>
          <t>TIDAHOLM</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2287-2022</t>
        </is>
      </c>
      <c r="B7893" s="1" t="n">
        <v>44578</v>
      </c>
      <c r="C7893" s="1" t="n">
        <v>45212</v>
      </c>
      <c r="D7893" t="inlineStr">
        <is>
          <t>VÄSTRA GÖTALANDS LÄN</t>
        </is>
      </c>
      <c r="E7893" t="inlineStr">
        <is>
          <t>DALS-ED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2294-2022</t>
        </is>
      </c>
      <c r="B7894" s="1" t="n">
        <v>44578</v>
      </c>
      <c r="C7894" s="1" t="n">
        <v>45212</v>
      </c>
      <c r="D7894" t="inlineStr">
        <is>
          <t>VÄSTRA GÖTALANDS LÄN</t>
        </is>
      </c>
      <c r="E7894" t="inlineStr">
        <is>
          <t>FALKÖPING</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2146-2022</t>
        </is>
      </c>
      <c r="B7895" s="1" t="n">
        <v>44578</v>
      </c>
      <c r="C7895" s="1" t="n">
        <v>45212</v>
      </c>
      <c r="D7895" t="inlineStr">
        <is>
          <t>VÄSTRA GÖTALANDS LÄN</t>
        </is>
      </c>
      <c r="E7895" t="inlineStr">
        <is>
          <t>SKARA</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2301-2022</t>
        </is>
      </c>
      <c r="B7896" s="1" t="n">
        <v>44578</v>
      </c>
      <c r="C7896" s="1" t="n">
        <v>45212</v>
      </c>
      <c r="D7896" t="inlineStr">
        <is>
          <t>VÄSTRA GÖTALANDS LÄN</t>
        </is>
      </c>
      <c r="E7896" t="inlineStr">
        <is>
          <t>FÄRGELANDA</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2185-2022</t>
        </is>
      </c>
      <c r="B7897" s="1" t="n">
        <v>44578</v>
      </c>
      <c r="C7897" s="1" t="n">
        <v>45212</v>
      </c>
      <c r="D7897" t="inlineStr">
        <is>
          <t>VÄSTRA GÖTALANDS LÄN</t>
        </is>
      </c>
      <c r="E7897" t="inlineStr">
        <is>
          <t>DALS-ED</t>
        </is>
      </c>
      <c r="G7897" t="n">
        <v>4.7</v>
      </c>
      <c r="H7897" t="n">
        <v>0</v>
      </c>
      <c r="I7897" t="n">
        <v>0</v>
      </c>
      <c r="J7897" t="n">
        <v>0</v>
      </c>
      <c r="K7897" t="n">
        <v>0</v>
      </c>
      <c r="L7897" t="n">
        <v>0</v>
      </c>
      <c r="M7897" t="n">
        <v>0</v>
      </c>
      <c r="N7897" t="n">
        <v>0</v>
      </c>
      <c r="O7897" t="n">
        <v>0</v>
      </c>
      <c r="P7897" t="n">
        <v>0</v>
      </c>
      <c r="Q7897" t="n">
        <v>0</v>
      </c>
      <c r="R7897" s="2" t="inlineStr"/>
    </row>
    <row r="7898" ht="15" customHeight="1">
      <c r="A7898" t="inlineStr">
        <is>
          <t>A 2306-2022</t>
        </is>
      </c>
      <c r="B7898" s="1" t="n">
        <v>44578</v>
      </c>
      <c r="C7898" s="1" t="n">
        <v>45212</v>
      </c>
      <c r="D7898" t="inlineStr">
        <is>
          <t>VÄSTRA GÖTALANDS LÄN</t>
        </is>
      </c>
      <c r="E7898" t="inlineStr">
        <is>
          <t>UDDEVALLA</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2452-2022</t>
        </is>
      </c>
      <c r="B7899" s="1" t="n">
        <v>44579</v>
      </c>
      <c r="C7899" s="1" t="n">
        <v>45212</v>
      </c>
      <c r="D7899" t="inlineStr">
        <is>
          <t>VÄSTRA GÖTALANDS LÄN</t>
        </is>
      </c>
      <c r="E7899" t="inlineStr">
        <is>
          <t>VARA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2483-2022</t>
        </is>
      </c>
      <c r="B7900" s="1" t="n">
        <v>44579</v>
      </c>
      <c r="C7900" s="1" t="n">
        <v>45212</v>
      </c>
      <c r="D7900" t="inlineStr">
        <is>
          <t>VÄSTRA GÖTALANDS LÄN</t>
        </is>
      </c>
      <c r="E7900" t="inlineStr">
        <is>
          <t>MUNKEDAL</t>
        </is>
      </c>
      <c r="F7900" t="inlineStr">
        <is>
          <t>Kyrkan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2377-2022</t>
        </is>
      </c>
      <c r="B7901" s="1" t="n">
        <v>44579</v>
      </c>
      <c r="C7901" s="1" t="n">
        <v>45212</v>
      </c>
      <c r="D7901" t="inlineStr">
        <is>
          <t>VÄSTRA GÖTALANDS LÄN</t>
        </is>
      </c>
      <c r="E7901" t="inlineStr">
        <is>
          <t>VÄNERSBORG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2569-2022</t>
        </is>
      </c>
      <c r="B7902" s="1" t="n">
        <v>44579</v>
      </c>
      <c r="C7902" s="1" t="n">
        <v>45212</v>
      </c>
      <c r="D7902" t="inlineStr">
        <is>
          <t>VÄSTRA GÖTALANDS LÄN</t>
        </is>
      </c>
      <c r="E7902" t="inlineStr">
        <is>
          <t>GULLSPÅNG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2441-2022</t>
        </is>
      </c>
      <c r="B7903" s="1" t="n">
        <v>44579</v>
      </c>
      <c r="C7903" s="1" t="n">
        <v>45212</v>
      </c>
      <c r="D7903" t="inlineStr">
        <is>
          <t>VÄSTRA GÖTALANDS LÄN</t>
        </is>
      </c>
      <c r="E7903" t="inlineStr">
        <is>
          <t>SVENLJUNGA</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2385-2022</t>
        </is>
      </c>
      <c r="B7904" s="1" t="n">
        <v>44579</v>
      </c>
      <c r="C7904" s="1" t="n">
        <v>45212</v>
      </c>
      <c r="D7904" t="inlineStr">
        <is>
          <t>VÄSTRA GÖTALANDS LÄN</t>
        </is>
      </c>
      <c r="E7904" t="inlineStr">
        <is>
          <t>TÖREBODA</t>
        </is>
      </c>
      <c r="G7904" t="n">
        <v>2.3</v>
      </c>
      <c r="H7904" t="n">
        <v>0</v>
      </c>
      <c r="I7904" t="n">
        <v>0</v>
      </c>
      <c r="J7904" t="n">
        <v>0</v>
      </c>
      <c r="K7904" t="n">
        <v>0</v>
      </c>
      <c r="L7904" t="n">
        <v>0</v>
      </c>
      <c r="M7904" t="n">
        <v>0</v>
      </c>
      <c r="N7904" t="n">
        <v>0</v>
      </c>
      <c r="O7904" t="n">
        <v>0</v>
      </c>
      <c r="P7904" t="n">
        <v>0</v>
      </c>
      <c r="Q7904" t="n">
        <v>0</v>
      </c>
      <c r="R7904" s="2" t="inlineStr"/>
    </row>
    <row r="7905" ht="15" customHeight="1">
      <c r="A7905" t="inlineStr">
        <is>
          <t>A 2460-2022</t>
        </is>
      </c>
      <c r="B7905" s="1" t="n">
        <v>44579</v>
      </c>
      <c r="C7905" s="1" t="n">
        <v>45212</v>
      </c>
      <c r="D7905" t="inlineStr">
        <is>
          <t>VÄSTRA GÖTALANDS LÄN</t>
        </is>
      </c>
      <c r="E7905" t="inlineStr">
        <is>
          <t>TROLLHÄTTAN</t>
        </is>
      </c>
      <c r="G7905" t="n">
        <v>6.1</v>
      </c>
      <c r="H7905" t="n">
        <v>0</v>
      </c>
      <c r="I7905" t="n">
        <v>0</v>
      </c>
      <c r="J7905" t="n">
        <v>0</v>
      </c>
      <c r="K7905" t="n">
        <v>0</v>
      </c>
      <c r="L7905" t="n">
        <v>0</v>
      </c>
      <c r="M7905" t="n">
        <v>0</v>
      </c>
      <c r="N7905" t="n">
        <v>0</v>
      </c>
      <c r="O7905" t="n">
        <v>0</v>
      </c>
      <c r="P7905" t="n">
        <v>0</v>
      </c>
      <c r="Q7905" t="n">
        <v>0</v>
      </c>
      <c r="R7905" s="2" t="inlineStr"/>
    </row>
    <row r="7906" ht="15" customHeight="1">
      <c r="A7906" t="inlineStr">
        <is>
          <t>A 2481-2022</t>
        </is>
      </c>
      <c r="B7906" s="1" t="n">
        <v>44579</v>
      </c>
      <c r="C7906" s="1" t="n">
        <v>45212</v>
      </c>
      <c r="D7906" t="inlineStr">
        <is>
          <t>VÄSTRA GÖTALANDS LÄN</t>
        </is>
      </c>
      <c r="E7906" t="inlineStr">
        <is>
          <t>MUNKEDAL</t>
        </is>
      </c>
      <c r="F7906" t="inlineStr">
        <is>
          <t>Kyrkan</t>
        </is>
      </c>
      <c r="G7906" t="n">
        <v>8.5</v>
      </c>
      <c r="H7906" t="n">
        <v>0</v>
      </c>
      <c r="I7906" t="n">
        <v>0</v>
      </c>
      <c r="J7906" t="n">
        <v>0</v>
      </c>
      <c r="K7906" t="n">
        <v>0</v>
      </c>
      <c r="L7906" t="n">
        <v>0</v>
      </c>
      <c r="M7906" t="n">
        <v>0</v>
      </c>
      <c r="N7906" t="n">
        <v>0</v>
      </c>
      <c r="O7906" t="n">
        <v>0</v>
      </c>
      <c r="P7906" t="n">
        <v>0</v>
      </c>
      <c r="Q7906" t="n">
        <v>0</v>
      </c>
      <c r="R7906" s="2" t="inlineStr"/>
    </row>
    <row r="7907" ht="15" customHeight="1">
      <c r="A7907" t="inlineStr">
        <is>
          <t>A 2700-2022</t>
        </is>
      </c>
      <c r="B7907" s="1" t="n">
        <v>44580</v>
      </c>
      <c r="C7907" s="1" t="n">
        <v>45212</v>
      </c>
      <c r="D7907" t="inlineStr">
        <is>
          <t>VÄSTRA GÖTALANDS LÄN</t>
        </is>
      </c>
      <c r="E7907" t="inlineStr">
        <is>
          <t>VARA</t>
        </is>
      </c>
      <c r="G7907" t="n">
        <v>5.2</v>
      </c>
      <c r="H7907" t="n">
        <v>0</v>
      </c>
      <c r="I7907" t="n">
        <v>0</v>
      </c>
      <c r="J7907" t="n">
        <v>0</v>
      </c>
      <c r="K7907" t="n">
        <v>0</v>
      </c>
      <c r="L7907" t="n">
        <v>0</v>
      </c>
      <c r="M7907" t="n">
        <v>0</v>
      </c>
      <c r="N7907" t="n">
        <v>0</v>
      </c>
      <c r="O7907" t="n">
        <v>0</v>
      </c>
      <c r="P7907" t="n">
        <v>0</v>
      </c>
      <c r="Q7907" t="n">
        <v>0</v>
      </c>
      <c r="R7907" s="2" t="inlineStr"/>
    </row>
    <row r="7908" ht="15" customHeight="1">
      <c r="A7908" t="inlineStr">
        <is>
          <t>A 2597-2022</t>
        </is>
      </c>
      <c r="B7908" s="1" t="n">
        <v>44580</v>
      </c>
      <c r="C7908" s="1" t="n">
        <v>45212</v>
      </c>
      <c r="D7908" t="inlineStr">
        <is>
          <t>VÄSTRA GÖTALANDS LÄN</t>
        </is>
      </c>
      <c r="E7908" t="inlineStr">
        <is>
          <t>VÅRGÅRDA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2658-2022</t>
        </is>
      </c>
      <c r="B7909" s="1" t="n">
        <v>44580</v>
      </c>
      <c r="C7909" s="1" t="n">
        <v>45212</v>
      </c>
      <c r="D7909" t="inlineStr">
        <is>
          <t>VÄSTRA GÖTALANDS LÄN</t>
        </is>
      </c>
      <c r="E7909" t="inlineStr">
        <is>
          <t>TIDAHOLM</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2633-2022</t>
        </is>
      </c>
      <c r="B7910" s="1" t="n">
        <v>44580</v>
      </c>
      <c r="C7910" s="1" t="n">
        <v>45212</v>
      </c>
      <c r="D7910" t="inlineStr">
        <is>
          <t>VÄSTRA GÖTALANDS LÄN</t>
        </is>
      </c>
      <c r="E7910" t="inlineStr">
        <is>
          <t>GULLSPÅNG</t>
        </is>
      </c>
      <c r="G7910" t="n">
        <v>3.5</v>
      </c>
      <c r="H7910" t="n">
        <v>0</v>
      </c>
      <c r="I7910" t="n">
        <v>0</v>
      </c>
      <c r="J7910" t="n">
        <v>0</v>
      </c>
      <c r="K7910" t="n">
        <v>0</v>
      </c>
      <c r="L7910" t="n">
        <v>0</v>
      </c>
      <c r="M7910" t="n">
        <v>0</v>
      </c>
      <c r="N7910" t="n">
        <v>0</v>
      </c>
      <c r="O7910" t="n">
        <v>0</v>
      </c>
      <c r="P7910" t="n">
        <v>0</v>
      </c>
      <c r="Q7910" t="n">
        <v>0</v>
      </c>
      <c r="R7910" s="2" t="inlineStr"/>
    </row>
    <row r="7911" ht="15" customHeight="1">
      <c r="A7911" t="inlineStr">
        <is>
          <t>A 2840-2022</t>
        </is>
      </c>
      <c r="B7911" s="1" t="n">
        <v>44580</v>
      </c>
      <c r="C7911" s="1" t="n">
        <v>45212</v>
      </c>
      <c r="D7911" t="inlineStr">
        <is>
          <t>VÄSTRA GÖTALANDS LÄN</t>
        </is>
      </c>
      <c r="E7911" t="inlineStr">
        <is>
          <t>TIDAHOLM</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2616-2022</t>
        </is>
      </c>
      <c r="B7912" s="1" t="n">
        <v>44580</v>
      </c>
      <c r="C7912" s="1" t="n">
        <v>45212</v>
      </c>
      <c r="D7912" t="inlineStr">
        <is>
          <t>VÄSTRA GÖTALANDS LÄN</t>
        </is>
      </c>
      <c r="E7912" t="inlineStr">
        <is>
          <t>MARK</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2640-2022</t>
        </is>
      </c>
      <c r="B7913" s="1" t="n">
        <v>44580</v>
      </c>
      <c r="C7913" s="1" t="n">
        <v>45212</v>
      </c>
      <c r="D7913" t="inlineStr">
        <is>
          <t>VÄSTRA GÖTALANDS LÄN</t>
        </is>
      </c>
      <c r="E7913" t="inlineStr">
        <is>
          <t>GULLSPÅNG</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2731-2022</t>
        </is>
      </c>
      <c r="B7914" s="1" t="n">
        <v>44580</v>
      </c>
      <c r="C7914" s="1" t="n">
        <v>45212</v>
      </c>
      <c r="D7914" t="inlineStr">
        <is>
          <t>VÄSTRA GÖTALANDS LÄN</t>
        </is>
      </c>
      <c r="E7914" t="inlineStr">
        <is>
          <t>TRANEMO</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2991-2022</t>
        </is>
      </c>
      <c r="B7915" s="1" t="n">
        <v>44581</v>
      </c>
      <c r="C7915" s="1" t="n">
        <v>45212</v>
      </c>
      <c r="D7915" t="inlineStr">
        <is>
          <t>VÄSTRA GÖTALANDS LÄN</t>
        </is>
      </c>
      <c r="E7915" t="inlineStr">
        <is>
          <t>LILLA EDET</t>
        </is>
      </c>
      <c r="G7915" t="n">
        <v>0.1</v>
      </c>
      <c r="H7915" t="n">
        <v>0</v>
      </c>
      <c r="I7915" t="n">
        <v>0</v>
      </c>
      <c r="J7915" t="n">
        <v>0</v>
      </c>
      <c r="K7915" t="n">
        <v>0</v>
      </c>
      <c r="L7915" t="n">
        <v>0</v>
      </c>
      <c r="M7915" t="n">
        <v>0</v>
      </c>
      <c r="N7915" t="n">
        <v>0</v>
      </c>
      <c r="O7915" t="n">
        <v>0</v>
      </c>
      <c r="P7915" t="n">
        <v>0</v>
      </c>
      <c r="Q7915" t="n">
        <v>0</v>
      </c>
      <c r="R7915" s="2" t="inlineStr"/>
    </row>
    <row r="7916" ht="15" customHeight="1">
      <c r="A7916" t="inlineStr">
        <is>
          <t>A 2956-2022</t>
        </is>
      </c>
      <c r="B7916" s="1" t="n">
        <v>44581</v>
      </c>
      <c r="C7916" s="1" t="n">
        <v>45212</v>
      </c>
      <c r="D7916" t="inlineStr">
        <is>
          <t>VÄSTRA GÖTALANDS LÄN</t>
        </is>
      </c>
      <c r="E7916" t="inlineStr">
        <is>
          <t>BENGTSFORS</t>
        </is>
      </c>
      <c r="G7916" t="n">
        <v>4</v>
      </c>
      <c r="H7916" t="n">
        <v>0</v>
      </c>
      <c r="I7916" t="n">
        <v>0</v>
      </c>
      <c r="J7916" t="n">
        <v>0</v>
      </c>
      <c r="K7916" t="n">
        <v>0</v>
      </c>
      <c r="L7916" t="n">
        <v>0</v>
      </c>
      <c r="M7916" t="n">
        <v>0</v>
      </c>
      <c r="N7916" t="n">
        <v>0</v>
      </c>
      <c r="O7916" t="n">
        <v>0</v>
      </c>
      <c r="P7916" t="n">
        <v>0</v>
      </c>
      <c r="Q7916" t="n">
        <v>0</v>
      </c>
      <c r="R7916" s="2" t="inlineStr"/>
    </row>
    <row r="7917" ht="15" customHeight="1">
      <c r="A7917" t="inlineStr">
        <is>
          <t>A 2975-2022</t>
        </is>
      </c>
      <c r="B7917" s="1" t="n">
        <v>44581</v>
      </c>
      <c r="C7917" s="1" t="n">
        <v>45212</v>
      </c>
      <c r="D7917" t="inlineStr">
        <is>
          <t>VÄSTRA GÖTALANDS LÄN</t>
        </is>
      </c>
      <c r="E7917" t="inlineStr">
        <is>
          <t>MUNKEDAL</t>
        </is>
      </c>
      <c r="G7917" t="n">
        <v>7.5</v>
      </c>
      <c r="H7917" t="n">
        <v>0</v>
      </c>
      <c r="I7917" t="n">
        <v>0</v>
      </c>
      <c r="J7917" t="n">
        <v>0</v>
      </c>
      <c r="K7917" t="n">
        <v>0</v>
      </c>
      <c r="L7917" t="n">
        <v>0</v>
      </c>
      <c r="M7917" t="n">
        <v>0</v>
      </c>
      <c r="N7917" t="n">
        <v>0</v>
      </c>
      <c r="O7917" t="n">
        <v>0</v>
      </c>
      <c r="P7917" t="n">
        <v>0</v>
      </c>
      <c r="Q7917" t="n">
        <v>0</v>
      </c>
      <c r="R7917" s="2" t="inlineStr"/>
    </row>
    <row r="7918" ht="15" customHeight="1">
      <c r="A7918" t="inlineStr">
        <is>
          <t>A 3077-2022</t>
        </is>
      </c>
      <c r="B7918" s="1" t="n">
        <v>44582</v>
      </c>
      <c r="C7918" s="1" t="n">
        <v>45212</v>
      </c>
      <c r="D7918" t="inlineStr">
        <is>
          <t>VÄSTRA GÖTALANDS LÄN</t>
        </is>
      </c>
      <c r="E7918" t="inlineStr">
        <is>
          <t>UDDEVALLA</t>
        </is>
      </c>
      <c r="F7918" t="inlineStr">
        <is>
          <t>Kyrkan</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3244-2022</t>
        </is>
      </c>
      <c r="B7919" s="1" t="n">
        <v>44582</v>
      </c>
      <c r="C7919" s="1" t="n">
        <v>45212</v>
      </c>
      <c r="D7919" t="inlineStr">
        <is>
          <t>VÄSTRA GÖTALANDS LÄN</t>
        </is>
      </c>
      <c r="E7919" t="inlineStr">
        <is>
          <t>STENUNGSUND</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3038-2022</t>
        </is>
      </c>
      <c r="B7920" s="1" t="n">
        <v>44582</v>
      </c>
      <c r="C7920" s="1" t="n">
        <v>45212</v>
      </c>
      <c r="D7920" t="inlineStr">
        <is>
          <t>VÄSTRA GÖTALANDS LÄN</t>
        </is>
      </c>
      <c r="E7920" t="inlineStr">
        <is>
          <t>SKÖVDE</t>
        </is>
      </c>
      <c r="G7920" t="n">
        <v>12.4</v>
      </c>
      <c r="H7920" t="n">
        <v>0</v>
      </c>
      <c r="I7920" t="n">
        <v>0</v>
      </c>
      <c r="J7920" t="n">
        <v>0</v>
      </c>
      <c r="K7920" t="n">
        <v>0</v>
      </c>
      <c r="L7920" t="n">
        <v>0</v>
      </c>
      <c r="M7920" t="n">
        <v>0</v>
      </c>
      <c r="N7920" t="n">
        <v>0</v>
      </c>
      <c r="O7920" t="n">
        <v>0</v>
      </c>
      <c r="P7920" t="n">
        <v>0</v>
      </c>
      <c r="Q7920" t="n">
        <v>0</v>
      </c>
      <c r="R7920" s="2" t="inlineStr"/>
    </row>
    <row r="7921" ht="15" customHeight="1">
      <c r="A7921" t="inlineStr">
        <is>
          <t>A 3045-2022</t>
        </is>
      </c>
      <c r="B7921" s="1" t="n">
        <v>44582</v>
      </c>
      <c r="C7921" s="1" t="n">
        <v>45212</v>
      </c>
      <c r="D7921" t="inlineStr">
        <is>
          <t>VÄSTRA GÖTALANDS LÄN</t>
        </is>
      </c>
      <c r="E7921" t="inlineStr">
        <is>
          <t>ALINGSÅS</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3243-2022</t>
        </is>
      </c>
      <c r="B7922" s="1" t="n">
        <v>44582</v>
      </c>
      <c r="C7922" s="1" t="n">
        <v>45212</v>
      </c>
      <c r="D7922" t="inlineStr">
        <is>
          <t>VÄSTRA GÖTALANDS LÄN</t>
        </is>
      </c>
      <c r="E7922" t="inlineStr">
        <is>
          <t>STENUNGSUND</t>
        </is>
      </c>
      <c r="G7922" t="n">
        <v>7.6</v>
      </c>
      <c r="H7922" t="n">
        <v>0</v>
      </c>
      <c r="I7922" t="n">
        <v>0</v>
      </c>
      <c r="J7922" t="n">
        <v>0</v>
      </c>
      <c r="K7922" t="n">
        <v>0</v>
      </c>
      <c r="L7922" t="n">
        <v>0</v>
      </c>
      <c r="M7922" t="n">
        <v>0</v>
      </c>
      <c r="N7922" t="n">
        <v>0</v>
      </c>
      <c r="O7922" t="n">
        <v>0</v>
      </c>
      <c r="P7922" t="n">
        <v>0</v>
      </c>
      <c r="Q7922" t="n">
        <v>0</v>
      </c>
      <c r="R7922" s="2" t="inlineStr"/>
    </row>
    <row r="7923" ht="15" customHeight="1">
      <c r="A7923" t="inlineStr">
        <is>
          <t>A 3263-2022</t>
        </is>
      </c>
      <c r="B7923" s="1" t="n">
        <v>44583</v>
      </c>
      <c r="C7923" s="1" t="n">
        <v>45212</v>
      </c>
      <c r="D7923" t="inlineStr">
        <is>
          <t>VÄSTRA GÖTALANDS LÄN</t>
        </is>
      </c>
      <c r="E7923" t="inlineStr">
        <is>
          <t>VÄNERSBORG</t>
        </is>
      </c>
      <c r="G7923" t="n">
        <v>10.3</v>
      </c>
      <c r="H7923" t="n">
        <v>0</v>
      </c>
      <c r="I7923" t="n">
        <v>0</v>
      </c>
      <c r="J7923" t="n">
        <v>0</v>
      </c>
      <c r="K7923" t="n">
        <v>0</v>
      </c>
      <c r="L7923" t="n">
        <v>0</v>
      </c>
      <c r="M7923" t="n">
        <v>0</v>
      </c>
      <c r="N7923" t="n">
        <v>0</v>
      </c>
      <c r="O7923" t="n">
        <v>0</v>
      </c>
      <c r="P7923" t="n">
        <v>0</v>
      </c>
      <c r="Q7923" t="n">
        <v>0</v>
      </c>
      <c r="R7923" s="2" t="inlineStr"/>
    </row>
    <row r="7924" ht="15" customHeight="1">
      <c r="A7924" t="inlineStr">
        <is>
          <t>A 3360-2022</t>
        </is>
      </c>
      <c r="B7924" s="1" t="n">
        <v>44585</v>
      </c>
      <c r="C7924" s="1" t="n">
        <v>45212</v>
      </c>
      <c r="D7924" t="inlineStr">
        <is>
          <t>VÄSTRA GÖTALANDS LÄN</t>
        </is>
      </c>
      <c r="E7924" t="inlineStr">
        <is>
          <t>BOLLEBYGD</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3461-2022</t>
        </is>
      </c>
      <c r="B7925" s="1" t="n">
        <v>44585</v>
      </c>
      <c r="C7925" s="1" t="n">
        <v>45212</v>
      </c>
      <c r="D7925" t="inlineStr">
        <is>
          <t>VÄSTRA GÖTALANDS LÄN</t>
        </is>
      </c>
      <c r="E7925" t="inlineStr">
        <is>
          <t>TRANEMO</t>
        </is>
      </c>
      <c r="F7925" t="inlineStr">
        <is>
          <t>Kyrkan</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3473-2022</t>
        </is>
      </c>
      <c r="B7926" s="1" t="n">
        <v>44585</v>
      </c>
      <c r="C7926" s="1" t="n">
        <v>45212</v>
      </c>
      <c r="D7926" t="inlineStr">
        <is>
          <t>VÄSTRA GÖTALANDS LÄN</t>
        </is>
      </c>
      <c r="E7926" t="inlineStr">
        <is>
          <t>BENGTSFORS</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3562-2022</t>
        </is>
      </c>
      <c r="B7927" s="1" t="n">
        <v>44585</v>
      </c>
      <c r="C7927" s="1" t="n">
        <v>45212</v>
      </c>
      <c r="D7927" t="inlineStr">
        <is>
          <t>VÄSTRA GÖTALANDS LÄN</t>
        </is>
      </c>
      <c r="E7927" t="inlineStr">
        <is>
          <t>UDDEVALLA</t>
        </is>
      </c>
      <c r="G7927" t="n">
        <v>2.8</v>
      </c>
      <c r="H7927" t="n">
        <v>0</v>
      </c>
      <c r="I7927" t="n">
        <v>0</v>
      </c>
      <c r="J7927" t="n">
        <v>0</v>
      </c>
      <c r="K7927" t="n">
        <v>0</v>
      </c>
      <c r="L7927" t="n">
        <v>0</v>
      </c>
      <c r="M7927" t="n">
        <v>0</v>
      </c>
      <c r="N7927" t="n">
        <v>0</v>
      </c>
      <c r="O7927" t="n">
        <v>0</v>
      </c>
      <c r="P7927" t="n">
        <v>0</v>
      </c>
      <c r="Q7927" t="n">
        <v>0</v>
      </c>
      <c r="R7927" s="2" t="inlineStr"/>
    </row>
    <row r="7928" ht="15" customHeight="1">
      <c r="A7928" t="inlineStr">
        <is>
          <t>A 3378-2022</t>
        </is>
      </c>
      <c r="B7928" s="1" t="n">
        <v>44585</v>
      </c>
      <c r="C7928" s="1" t="n">
        <v>45212</v>
      </c>
      <c r="D7928" t="inlineStr">
        <is>
          <t>VÄSTRA GÖTALANDS LÄN</t>
        </is>
      </c>
      <c r="E7928" t="inlineStr">
        <is>
          <t>STRÖMSTAD</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3486-2022</t>
        </is>
      </c>
      <c r="B7929" s="1" t="n">
        <v>44585</v>
      </c>
      <c r="C7929" s="1" t="n">
        <v>45212</v>
      </c>
      <c r="D7929" t="inlineStr">
        <is>
          <t>VÄSTRA GÖTALANDS LÄN</t>
        </is>
      </c>
      <c r="E7929" t="inlineStr">
        <is>
          <t>BENGTSFORS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3459-2022</t>
        </is>
      </c>
      <c r="B7930" s="1" t="n">
        <v>44585</v>
      </c>
      <c r="C7930" s="1" t="n">
        <v>45212</v>
      </c>
      <c r="D7930" t="inlineStr">
        <is>
          <t>VÄSTRA GÖTALANDS LÄN</t>
        </is>
      </c>
      <c r="E7930" t="inlineStr">
        <is>
          <t>TRANEMO</t>
        </is>
      </c>
      <c r="F7930" t="inlineStr">
        <is>
          <t>Kyrkan</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3493-2022</t>
        </is>
      </c>
      <c r="B7931" s="1" t="n">
        <v>44585</v>
      </c>
      <c r="C7931" s="1" t="n">
        <v>45212</v>
      </c>
      <c r="D7931" t="inlineStr">
        <is>
          <t>VÄSTRA GÖTALANDS LÄN</t>
        </is>
      </c>
      <c r="E7931" t="inlineStr">
        <is>
          <t>TANUM</t>
        </is>
      </c>
      <c r="G7931" t="n">
        <v>4.2</v>
      </c>
      <c r="H7931" t="n">
        <v>0</v>
      </c>
      <c r="I7931" t="n">
        <v>0</v>
      </c>
      <c r="J7931" t="n">
        <v>0</v>
      </c>
      <c r="K7931" t="n">
        <v>0</v>
      </c>
      <c r="L7931" t="n">
        <v>0</v>
      </c>
      <c r="M7931" t="n">
        <v>0</v>
      </c>
      <c r="N7931" t="n">
        <v>0</v>
      </c>
      <c r="O7931" t="n">
        <v>0</v>
      </c>
      <c r="P7931" t="n">
        <v>0</v>
      </c>
      <c r="Q7931" t="n">
        <v>0</v>
      </c>
      <c r="R7931" s="2" t="inlineStr"/>
    </row>
    <row r="7932" ht="15" customHeight="1">
      <c r="A7932" t="inlineStr">
        <is>
          <t>A 3372-2022</t>
        </is>
      </c>
      <c r="B7932" s="1" t="n">
        <v>44585</v>
      </c>
      <c r="C7932" s="1" t="n">
        <v>45212</v>
      </c>
      <c r="D7932" t="inlineStr">
        <is>
          <t>VÄSTRA GÖTALANDS LÄN</t>
        </is>
      </c>
      <c r="E7932" t="inlineStr">
        <is>
          <t>STRÖMSTAD</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3457-2022</t>
        </is>
      </c>
      <c r="B7933" s="1" t="n">
        <v>44585</v>
      </c>
      <c r="C7933" s="1" t="n">
        <v>45212</v>
      </c>
      <c r="D7933" t="inlineStr">
        <is>
          <t>VÄSTRA GÖTALANDS LÄN</t>
        </is>
      </c>
      <c r="E7933" t="inlineStr">
        <is>
          <t>ALE</t>
        </is>
      </c>
      <c r="G7933" t="n">
        <v>5.1</v>
      </c>
      <c r="H7933" t="n">
        <v>0</v>
      </c>
      <c r="I7933" t="n">
        <v>0</v>
      </c>
      <c r="J7933" t="n">
        <v>0</v>
      </c>
      <c r="K7933" t="n">
        <v>0</v>
      </c>
      <c r="L7933" t="n">
        <v>0</v>
      </c>
      <c r="M7933" t="n">
        <v>0</v>
      </c>
      <c r="N7933" t="n">
        <v>0</v>
      </c>
      <c r="O7933" t="n">
        <v>0</v>
      </c>
      <c r="P7933" t="n">
        <v>0</v>
      </c>
      <c r="Q7933" t="n">
        <v>0</v>
      </c>
      <c r="R7933" s="2" t="inlineStr"/>
    </row>
    <row r="7934" ht="15" customHeight="1">
      <c r="A7934" t="inlineStr">
        <is>
          <t>A 3465-2022</t>
        </is>
      </c>
      <c r="B7934" s="1" t="n">
        <v>44585</v>
      </c>
      <c r="C7934" s="1" t="n">
        <v>45212</v>
      </c>
      <c r="D7934" t="inlineStr">
        <is>
          <t>VÄSTRA GÖTALANDS LÄN</t>
        </is>
      </c>
      <c r="E7934" t="inlineStr">
        <is>
          <t>VÄNERSBORG</t>
        </is>
      </c>
      <c r="G7934" t="n">
        <v>3.6</v>
      </c>
      <c r="H7934" t="n">
        <v>0</v>
      </c>
      <c r="I7934" t="n">
        <v>0</v>
      </c>
      <c r="J7934" t="n">
        <v>0</v>
      </c>
      <c r="K7934" t="n">
        <v>0</v>
      </c>
      <c r="L7934" t="n">
        <v>0</v>
      </c>
      <c r="M7934" t="n">
        <v>0</v>
      </c>
      <c r="N7934" t="n">
        <v>0</v>
      </c>
      <c r="O7934" t="n">
        <v>0</v>
      </c>
      <c r="P7934" t="n">
        <v>0</v>
      </c>
      <c r="Q7934" t="n">
        <v>0</v>
      </c>
      <c r="R7934" s="2" t="inlineStr"/>
    </row>
    <row r="7935" ht="15" customHeight="1">
      <c r="A7935" t="inlineStr">
        <is>
          <t>A 3488-2022</t>
        </is>
      </c>
      <c r="B7935" s="1" t="n">
        <v>44585</v>
      </c>
      <c r="C7935" s="1" t="n">
        <v>45212</v>
      </c>
      <c r="D7935" t="inlineStr">
        <is>
          <t>VÄSTRA GÖTALANDS LÄN</t>
        </is>
      </c>
      <c r="E7935" t="inlineStr">
        <is>
          <t>SKÖVDE</t>
        </is>
      </c>
      <c r="G7935" t="n">
        <v>1.3</v>
      </c>
      <c r="H7935" t="n">
        <v>0</v>
      </c>
      <c r="I7935" t="n">
        <v>0</v>
      </c>
      <c r="J7935" t="n">
        <v>0</v>
      </c>
      <c r="K7935" t="n">
        <v>0</v>
      </c>
      <c r="L7935" t="n">
        <v>0</v>
      </c>
      <c r="M7935" t="n">
        <v>0</v>
      </c>
      <c r="N7935" t="n">
        <v>0</v>
      </c>
      <c r="O7935" t="n">
        <v>0</v>
      </c>
      <c r="P7935" t="n">
        <v>0</v>
      </c>
      <c r="Q7935" t="n">
        <v>0</v>
      </c>
      <c r="R7935" s="2" t="inlineStr"/>
    </row>
    <row r="7936" ht="15" customHeight="1">
      <c r="A7936" t="inlineStr">
        <is>
          <t>A 3642-2022</t>
        </is>
      </c>
      <c r="B7936" s="1" t="n">
        <v>44586</v>
      </c>
      <c r="C7936" s="1" t="n">
        <v>45212</v>
      </c>
      <c r="D7936" t="inlineStr">
        <is>
          <t>VÄSTRA GÖTALANDS LÄN</t>
        </is>
      </c>
      <c r="E7936" t="inlineStr">
        <is>
          <t>BORÅS</t>
        </is>
      </c>
      <c r="G7936" t="n">
        <v>1.2</v>
      </c>
      <c r="H7936" t="n">
        <v>0</v>
      </c>
      <c r="I7936" t="n">
        <v>0</v>
      </c>
      <c r="J7936" t="n">
        <v>0</v>
      </c>
      <c r="K7936" t="n">
        <v>0</v>
      </c>
      <c r="L7936" t="n">
        <v>0</v>
      </c>
      <c r="M7936" t="n">
        <v>0</v>
      </c>
      <c r="N7936" t="n">
        <v>0</v>
      </c>
      <c r="O7936" t="n">
        <v>0</v>
      </c>
      <c r="P7936" t="n">
        <v>0</v>
      </c>
      <c r="Q7936" t="n">
        <v>0</v>
      </c>
      <c r="R7936" s="2" t="inlineStr"/>
    </row>
    <row r="7937" ht="15" customHeight="1">
      <c r="A7937" t="inlineStr">
        <is>
          <t>A 3610-2022</t>
        </is>
      </c>
      <c r="B7937" s="1" t="n">
        <v>44586</v>
      </c>
      <c r="C7937" s="1" t="n">
        <v>45212</v>
      </c>
      <c r="D7937" t="inlineStr">
        <is>
          <t>VÄSTRA GÖTALANDS LÄN</t>
        </is>
      </c>
      <c r="E7937" t="inlineStr">
        <is>
          <t>BORÅS</t>
        </is>
      </c>
      <c r="G7937" t="n">
        <v>0.8</v>
      </c>
      <c r="H7937" t="n">
        <v>0</v>
      </c>
      <c r="I7937" t="n">
        <v>0</v>
      </c>
      <c r="J7937" t="n">
        <v>0</v>
      </c>
      <c r="K7937" t="n">
        <v>0</v>
      </c>
      <c r="L7937" t="n">
        <v>0</v>
      </c>
      <c r="M7937" t="n">
        <v>0</v>
      </c>
      <c r="N7937" t="n">
        <v>0</v>
      </c>
      <c r="O7937" t="n">
        <v>0</v>
      </c>
      <c r="P7937" t="n">
        <v>0</v>
      </c>
      <c r="Q7937" t="n">
        <v>0</v>
      </c>
      <c r="R7937" s="2" t="inlineStr"/>
    </row>
    <row r="7938" ht="15" customHeight="1">
      <c r="A7938" t="inlineStr">
        <is>
          <t>A 3670-2022</t>
        </is>
      </c>
      <c r="B7938" s="1" t="n">
        <v>44586</v>
      </c>
      <c r="C7938" s="1" t="n">
        <v>45212</v>
      </c>
      <c r="D7938" t="inlineStr">
        <is>
          <t>VÄSTRA GÖTALANDS LÄN</t>
        </is>
      </c>
      <c r="E7938" t="inlineStr">
        <is>
          <t>SKÖVDE</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3630-2022</t>
        </is>
      </c>
      <c r="B7939" s="1" t="n">
        <v>44586</v>
      </c>
      <c r="C7939" s="1" t="n">
        <v>45212</v>
      </c>
      <c r="D7939" t="inlineStr">
        <is>
          <t>VÄSTRA GÖTALANDS LÄN</t>
        </is>
      </c>
      <c r="E7939" t="inlineStr">
        <is>
          <t>LILLA EDET</t>
        </is>
      </c>
      <c r="G7939" t="n">
        <v>4.1</v>
      </c>
      <c r="H7939" t="n">
        <v>0</v>
      </c>
      <c r="I7939" t="n">
        <v>0</v>
      </c>
      <c r="J7939" t="n">
        <v>0</v>
      </c>
      <c r="K7939" t="n">
        <v>0</v>
      </c>
      <c r="L7939" t="n">
        <v>0</v>
      </c>
      <c r="M7939" t="n">
        <v>0</v>
      </c>
      <c r="N7939" t="n">
        <v>0</v>
      </c>
      <c r="O7939" t="n">
        <v>0</v>
      </c>
      <c r="P7939" t="n">
        <v>0</v>
      </c>
      <c r="Q7939" t="n">
        <v>0</v>
      </c>
      <c r="R7939" s="2" t="inlineStr"/>
    </row>
    <row r="7940" ht="15" customHeight="1">
      <c r="A7940" t="inlineStr">
        <is>
          <t>A 3708-2022</t>
        </is>
      </c>
      <c r="B7940" s="1" t="n">
        <v>44586</v>
      </c>
      <c r="C7940" s="1" t="n">
        <v>45212</v>
      </c>
      <c r="D7940" t="inlineStr">
        <is>
          <t>VÄSTRA GÖTALANDS LÄN</t>
        </is>
      </c>
      <c r="E7940" t="inlineStr">
        <is>
          <t>GÖTENE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3765-2022</t>
        </is>
      </c>
      <c r="B7941" s="1" t="n">
        <v>44586</v>
      </c>
      <c r="C7941" s="1" t="n">
        <v>45212</v>
      </c>
      <c r="D7941" t="inlineStr">
        <is>
          <t>VÄSTRA GÖTALANDS LÄN</t>
        </is>
      </c>
      <c r="E7941" t="inlineStr">
        <is>
          <t>TIBRO</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3823-2022</t>
        </is>
      </c>
      <c r="B7942" s="1" t="n">
        <v>44587</v>
      </c>
      <c r="C7942" s="1" t="n">
        <v>45212</v>
      </c>
      <c r="D7942" t="inlineStr">
        <is>
          <t>VÄSTRA GÖTALANDS LÄN</t>
        </is>
      </c>
      <c r="E7942" t="inlineStr">
        <is>
          <t>SKÖVDE</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3853-2022</t>
        </is>
      </c>
      <c r="B7943" s="1" t="n">
        <v>44587</v>
      </c>
      <c r="C7943" s="1" t="n">
        <v>45212</v>
      </c>
      <c r="D7943" t="inlineStr">
        <is>
          <t>VÄSTRA GÖTALANDS LÄN</t>
        </is>
      </c>
      <c r="E7943" t="inlineStr">
        <is>
          <t>MARIESTAD</t>
        </is>
      </c>
      <c r="G7943" t="n">
        <v>2.4</v>
      </c>
      <c r="H7943" t="n">
        <v>0</v>
      </c>
      <c r="I7943" t="n">
        <v>0</v>
      </c>
      <c r="J7943" t="n">
        <v>0</v>
      </c>
      <c r="K7943" t="n">
        <v>0</v>
      </c>
      <c r="L7943" t="n">
        <v>0</v>
      </c>
      <c r="M7943" t="n">
        <v>0</v>
      </c>
      <c r="N7943" t="n">
        <v>0</v>
      </c>
      <c r="O7943" t="n">
        <v>0</v>
      </c>
      <c r="P7943" t="n">
        <v>0</v>
      </c>
      <c r="Q7943" t="n">
        <v>0</v>
      </c>
      <c r="R7943" s="2" t="inlineStr"/>
    </row>
    <row r="7944" ht="15" customHeight="1">
      <c r="A7944" t="inlineStr">
        <is>
          <t>A 3865-2022</t>
        </is>
      </c>
      <c r="B7944" s="1" t="n">
        <v>44587</v>
      </c>
      <c r="C7944" s="1" t="n">
        <v>45212</v>
      </c>
      <c r="D7944" t="inlineStr">
        <is>
          <t>VÄSTRA GÖTALANDS LÄN</t>
        </is>
      </c>
      <c r="E7944" t="inlineStr">
        <is>
          <t>VARA</t>
        </is>
      </c>
      <c r="G7944" t="n">
        <v>6</v>
      </c>
      <c r="H7944" t="n">
        <v>0</v>
      </c>
      <c r="I7944" t="n">
        <v>0</v>
      </c>
      <c r="J7944" t="n">
        <v>0</v>
      </c>
      <c r="K7944" t="n">
        <v>0</v>
      </c>
      <c r="L7944" t="n">
        <v>0</v>
      </c>
      <c r="M7944" t="n">
        <v>0</v>
      </c>
      <c r="N7944" t="n">
        <v>0</v>
      </c>
      <c r="O7944" t="n">
        <v>0</v>
      </c>
      <c r="P7944" t="n">
        <v>0</v>
      </c>
      <c r="Q7944" t="n">
        <v>0</v>
      </c>
      <c r="R7944" s="2" t="inlineStr"/>
    </row>
    <row r="7945" ht="15" customHeight="1">
      <c r="A7945" t="inlineStr">
        <is>
          <t>A 3847-2022</t>
        </is>
      </c>
      <c r="B7945" s="1" t="n">
        <v>44587</v>
      </c>
      <c r="C7945" s="1" t="n">
        <v>45212</v>
      </c>
      <c r="D7945" t="inlineStr">
        <is>
          <t>VÄSTRA GÖTALANDS LÄN</t>
        </is>
      </c>
      <c r="E7945" t="inlineStr">
        <is>
          <t>TIDAHOLM</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4131-2022</t>
        </is>
      </c>
      <c r="B7946" s="1" t="n">
        <v>44588</v>
      </c>
      <c r="C7946" s="1" t="n">
        <v>45212</v>
      </c>
      <c r="D7946" t="inlineStr">
        <is>
          <t>VÄSTRA GÖTALANDS LÄN</t>
        </is>
      </c>
      <c r="E7946" t="inlineStr">
        <is>
          <t>MARK</t>
        </is>
      </c>
      <c r="G7946" t="n">
        <v>0.7</v>
      </c>
      <c r="H7946" t="n">
        <v>0</v>
      </c>
      <c r="I7946" t="n">
        <v>0</v>
      </c>
      <c r="J7946" t="n">
        <v>0</v>
      </c>
      <c r="K7946" t="n">
        <v>0</v>
      </c>
      <c r="L7946" t="n">
        <v>0</v>
      </c>
      <c r="M7946" t="n">
        <v>0</v>
      </c>
      <c r="N7946" t="n">
        <v>0</v>
      </c>
      <c r="O7946" t="n">
        <v>0</v>
      </c>
      <c r="P7946" t="n">
        <v>0</v>
      </c>
      <c r="Q7946" t="n">
        <v>0</v>
      </c>
      <c r="R7946" s="2" t="inlineStr"/>
    </row>
    <row r="7947" ht="15" customHeight="1">
      <c r="A7947" t="inlineStr">
        <is>
          <t>A 4252-2022</t>
        </is>
      </c>
      <c r="B7947" s="1" t="n">
        <v>44588</v>
      </c>
      <c r="C7947" s="1" t="n">
        <v>45212</v>
      </c>
      <c r="D7947" t="inlineStr">
        <is>
          <t>VÄSTRA GÖTALANDS LÄN</t>
        </is>
      </c>
      <c r="E7947" t="inlineStr">
        <is>
          <t>MUNKEDAL</t>
        </is>
      </c>
      <c r="G7947" t="n">
        <v>2.1</v>
      </c>
      <c r="H7947" t="n">
        <v>0</v>
      </c>
      <c r="I7947" t="n">
        <v>0</v>
      </c>
      <c r="J7947" t="n">
        <v>0</v>
      </c>
      <c r="K7947" t="n">
        <v>0</v>
      </c>
      <c r="L7947" t="n">
        <v>0</v>
      </c>
      <c r="M7947" t="n">
        <v>0</v>
      </c>
      <c r="N7947" t="n">
        <v>0</v>
      </c>
      <c r="O7947" t="n">
        <v>0</v>
      </c>
      <c r="P7947" t="n">
        <v>0</v>
      </c>
      <c r="Q7947" t="n">
        <v>0</v>
      </c>
      <c r="R7947" s="2" t="inlineStr"/>
    </row>
    <row r="7948" ht="15" customHeight="1">
      <c r="A7948" t="inlineStr">
        <is>
          <t>A 4124-2022</t>
        </is>
      </c>
      <c r="B7948" s="1" t="n">
        <v>44588</v>
      </c>
      <c r="C7948" s="1" t="n">
        <v>45212</v>
      </c>
      <c r="D7948" t="inlineStr">
        <is>
          <t>VÄSTRA GÖTALANDS LÄN</t>
        </is>
      </c>
      <c r="E7948" t="inlineStr">
        <is>
          <t>SVENLJUNGA</t>
        </is>
      </c>
      <c r="G7948" t="n">
        <v>4.4</v>
      </c>
      <c r="H7948" t="n">
        <v>0</v>
      </c>
      <c r="I7948" t="n">
        <v>0</v>
      </c>
      <c r="J7948" t="n">
        <v>0</v>
      </c>
      <c r="K7948" t="n">
        <v>0</v>
      </c>
      <c r="L7948" t="n">
        <v>0</v>
      </c>
      <c r="M7948" t="n">
        <v>0</v>
      </c>
      <c r="N7948" t="n">
        <v>0</v>
      </c>
      <c r="O7948" t="n">
        <v>0</v>
      </c>
      <c r="P7948" t="n">
        <v>0</v>
      </c>
      <c r="Q7948" t="n">
        <v>0</v>
      </c>
      <c r="R7948" s="2" t="inlineStr"/>
    </row>
    <row r="7949" ht="15" customHeight="1">
      <c r="A7949" t="inlineStr">
        <is>
          <t>A 4276-2022</t>
        </is>
      </c>
      <c r="B7949" s="1" t="n">
        <v>44588</v>
      </c>
      <c r="C7949" s="1" t="n">
        <v>45212</v>
      </c>
      <c r="D7949" t="inlineStr">
        <is>
          <t>VÄSTRA GÖTALANDS LÄN</t>
        </is>
      </c>
      <c r="E7949" t="inlineStr">
        <is>
          <t>MUNKEDAL</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4395-2022</t>
        </is>
      </c>
      <c r="B7950" s="1" t="n">
        <v>44588</v>
      </c>
      <c r="C7950" s="1" t="n">
        <v>45212</v>
      </c>
      <c r="D7950" t="inlineStr">
        <is>
          <t>VÄSTRA GÖTALANDS LÄN</t>
        </is>
      </c>
      <c r="E7950" t="inlineStr">
        <is>
          <t>STRÖMSTAD</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4102-2022</t>
        </is>
      </c>
      <c r="B7951" s="1" t="n">
        <v>44588</v>
      </c>
      <c r="C7951" s="1" t="n">
        <v>45212</v>
      </c>
      <c r="D7951" t="inlineStr">
        <is>
          <t>VÄSTRA GÖTALANDS LÄN</t>
        </is>
      </c>
      <c r="E7951" t="inlineStr">
        <is>
          <t>ULRICEHAMN</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4301-2022</t>
        </is>
      </c>
      <c r="B7952" s="1" t="n">
        <v>44588</v>
      </c>
      <c r="C7952" s="1" t="n">
        <v>45212</v>
      </c>
      <c r="D7952" t="inlineStr">
        <is>
          <t>VÄSTRA GÖTALANDS LÄN</t>
        </is>
      </c>
      <c r="E7952" t="inlineStr">
        <is>
          <t>SVENLJUNGA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4348-2022</t>
        </is>
      </c>
      <c r="B7953" s="1" t="n">
        <v>44589</v>
      </c>
      <c r="C7953" s="1" t="n">
        <v>45212</v>
      </c>
      <c r="D7953" t="inlineStr">
        <is>
          <t>VÄSTRA GÖTALANDS LÄN</t>
        </is>
      </c>
      <c r="E7953" t="inlineStr">
        <is>
          <t>KARLSBORG</t>
        </is>
      </c>
      <c r="F7953" t="inlineStr">
        <is>
          <t>Kommuner</t>
        </is>
      </c>
      <c r="G7953" t="n">
        <v>6.7</v>
      </c>
      <c r="H7953" t="n">
        <v>0</v>
      </c>
      <c r="I7953" t="n">
        <v>0</v>
      </c>
      <c r="J7953" t="n">
        <v>0</v>
      </c>
      <c r="K7953" t="n">
        <v>0</v>
      </c>
      <c r="L7953" t="n">
        <v>0</v>
      </c>
      <c r="M7953" t="n">
        <v>0</v>
      </c>
      <c r="N7953" t="n">
        <v>0</v>
      </c>
      <c r="O7953" t="n">
        <v>0</v>
      </c>
      <c r="P7953" t="n">
        <v>0</v>
      </c>
      <c r="Q7953" t="n">
        <v>0</v>
      </c>
      <c r="R7953" s="2" t="inlineStr"/>
    </row>
    <row r="7954" ht="15" customHeight="1">
      <c r="A7954" t="inlineStr">
        <is>
          <t>A 4360-2022</t>
        </is>
      </c>
      <c r="B7954" s="1" t="n">
        <v>44589</v>
      </c>
      <c r="C7954" s="1" t="n">
        <v>45212</v>
      </c>
      <c r="D7954" t="inlineStr">
        <is>
          <t>VÄSTRA GÖTALANDS LÄN</t>
        </is>
      </c>
      <c r="E7954" t="inlineStr">
        <is>
          <t>MARK</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4362-2022</t>
        </is>
      </c>
      <c r="B7955" s="1" t="n">
        <v>44589</v>
      </c>
      <c r="C7955" s="1" t="n">
        <v>45212</v>
      </c>
      <c r="D7955" t="inlineStr">
        <is>
          <t>VÄSTRA GÖTALANDS LÄN</t>
        </is>
      </c>
      <c r="E7955" t="inlineStr">
        <is>
          <t>BORÅS</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4398-2022</t>
        </is>
      </c>
      <c r="B7956" s="1" t="n">
        <v>44589</v>
      </c>
      <c r="C7956" s="1" t="n">
        <v>45212</v>
      </c>
      <c r="D7956" t="inlineStr">
        <is>
          <t>VÄSTRA GÖTALANDS LÄN</t>
        </is>
      </c>
      <c r="E7956" t="inlineStr">
        <is>
          <t>MUNKEDAL</t>
        </is>
      </c>
      <c r="G7956" t="n">
        <v>8.300000000000001</v>
      </c>
      <c r="H7956" t="n">
        <v>0</v>
      </c>
      <c r="I7956" t="n">
        <v>0</v>
      </c>
      <c r="J7956" t="n">
        <v>0</v>
      </c>
      <c r="K7956" t="n">
        <v>0</v>
      </c>
      <c r="L7956" t="n">
        <v>0</v>
      </c>
      <c r="M7956" t="n">
        <v>0</v>
      </c>
      <c r="N7956" t="n">
        <v>0</v>
      </c>
      <c r="O7956" t="n">
        <v>0</v>
      </c>
      <c r="P7956" t="n">
        <v>0</v>
      </c>
      <c r="Q7956" t="n">
        <v>0</v>
      </c>
      <c r="R7956" s="2" t="inlineStr"/>
    </row>
    <row r="7957" ht="15" customHeight="1">
      <c r="A7957" t="inlineStr">
        <is>
          <t>A 4422-2022</t>
        </is>
      </c>
      <c r="B7957" s="1" t="n">
        <v>44589</v>
      </c>
      <c r="C7957" s="1" t="n">
        <v>45212</v>
      </c>
      <c r="D7957" t="inlineStr">
        <is>
          <t>VÄSTRA GÖTALANDS LÄN</t>
        </is>
      </c>
      <c r="E7957" t="inlineStr">
        <is>
          <t>TRANEMO</t>
        </is>
      </c>
      <c r="F7957" t="inlineStr">
        <is>
          <t>Kyrkan</t>
        </is>
      </c>
      <c r="G7957" t="n">
        <v>5.5</v>
      </c>
      <c r="H7957" t="n">
        <v>0</v>
      </c>
      <c r="I7957" t="n">
        <v>0</v>
      </c>
      <c r="J7957" t="n">
        <v>0</v>
      </c>
      <c r="K7957" t="n">
        <v>0</v>
      </c>
      <c r="L7957" t="n">
        <v>0</v>
      </c>
      <c r="M7957" t="n">
        <v>0</v>
      </c>
      <c r="N7957" t="n">
        <v>0</v>
      </c>
      <c r="O7957" t="n">
        <v>0</v>
      </c>
      <c r="P7957" t="n">
        <v>0</v>
      </c>
      <c r="Q7957" t="n">
        <v>0</v>
      </c>
      <c r="R7957" s="2" t="inlineStr"/>
    </row>
    <row r="7958" ht="15" customHeight="1">
      <c r="A7958" t="inlineStr">
        <is>
          <t>A 4509-2022</t>
        </is>
      </c>
      <c r="B7958" s="1" t="n">
        <v>44589</v>
      </c>
      <c r="C7958" s="1" t="n">
        <v>45212</v>
      </c>
      <c r="D7958" t="inlineStr">
        <is>
          <t>VÄSTRA GÖTALANDS LÄN</t>
        </is>
      </c>
      <c r="E7958" t="inlineStr">
        <is>
          <t>TIDAHOLM</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4344-2022</t>
        </is>
      </c>
      <c r="B7959" s="1" t="n">
        <v>44589</v>
      </c>
      <c r="C7959" s="1" t="n">
        <v>45212</v>
      </c>
      <c r="D7959" t="inlineStr">
        <is>
          <t>VÄSTRA GÖTALANDS LÄN</t>
        </is>
      </c>
      <c r="E7959" t="inlineStr">
        <is>
          <t>ÅMÅL</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4639-2022</t>
        </is>
      </c>
      <c r="B7960" s="1" t="n">
        <v>44592</v>
      </c>
      <c r="C7960" s="1" t="n">
        <v>45212</v>
      </c>
      <c r="D7960" t="inlineStr">
        <is>
          <t>VÄSTRA GÖTALANDS LÄN</t>
        </is>
      </c>
      <c r="E7960" t="inlineStr">
        <is>
          <t>UDDEVALLA</t>
        </is>
      </c>
      <c r="G7960" t="n">
        <v>2.2</v>
      </c>
      <c r="H7960" t="n">
        <v>0</v>
      </c>
      <c r="I7960" t="n">
        <v>0</v>
      </c>
      <c r="J7960" t="n">
        <v>0</v>
      </c>
      <c r="K7960" t="n">
        <v>0</v>
      </c>
      <c r="L7960" t="n">
        <v>0</v>
      </c>
      <c r="M7960" t="n">
        <v>0</v>
      </c>
      <c r="N7960" t="n">
        <v>0</v>
      </c>
      <c r="O7960" t="n">
        <v>0</v>
      </c>
      <c r="P7960" t="n">
        <v>0</v>
      </c>
      <c r="Q7960" t="n">
        <v>0</v>
      </c>
      <c r="R7960" s="2" t="inlineStr"/>
    </row>
    <row r="7961" ht="15" customHeight="1">
      <c r="A7961" t="inlineStr">
        <is>
          <t>A 4731-2022</t>
        </is>
      </c>
      <c r="B7961" s="1" t="n">
        <v>44592</v>
      </c>
      <c r="C7961" s="1" t="n">
        <v>45212</v>
      </c>
      <c r="D7961" t="inlineStr">
        <is>
          <t>VÄSTRA GÖTALANDS LÄN</t>
        </is>
      </c>
      <c r="E7961" t="inlineStr">
        <is>
          <t>DALS-ED</t>
        </is>
      </c>
      <c r="G7961" t="n">
        <v>2.6</v>
      </c>
      <c r="H7961" t="n">
        <v>0</v>
      </c>
      <c r="I7961" t="n">
        <v>0</v>
      </c>
      <c r="J7961" t="n">
        <v>0</v>
      </c>
      <c r="K7961" t="n">
        <v>0</v>
      </c>
      <c r="L7961" t="n">
        <v>0</v>
      </c>
      <c r="M7961" t="n">
        <v>0</v>
      </c>
      <c r="N7961" t="n">
        <v>0</v>
      </c>
      <c r="O7961" t="n">
        <v>0</v>
      </c>
      <c r="P7961" t="n">
        <v>0</v>
      </c>
      <c r="Q7961" t="n">
        <v>0</v>
      </c>
      <c r="R7961" s="2" t="inlineStr"/>
    </row>
    <row r="7962" ht="15" customHeight="1">
      <c r="A7962" t="inlineStr">
        <is>
          <t>A 4724-2022</t>
        </is>
      </c>
      <c r="B7962" s="1" t="n">
        <v>44592</v>
      </c>
      <c r="C7962" s="1" t="n">
        <v>45212</v>
      </c>
      <c r="D7962" t="inlineStr">
        <is>
          <t>VÄSTRA GÖTALANDS LÄN</t>
        </is>
      </c>
      <c r="E7962" t="inlineStr">
        <is>
          <t>DALS-ED</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4838-2022</t>
        </is>
      </c>
      <c r="B7963" s="1" t="n">
        <v>44592</v>
      </c>
      <c r="C7963" s="1" t="n">
        <v>45212</v>
      </c>
      <c r="D7963" t="inlineStr">
        <is>
          <t>VÄSTRA GÖTALANDS LÄN</t>
        </is>
      </c>
      <c r="E7963" t="inlineStr">
        <is>
          <t>FÄRGELANDA</t>
        </is>
      </c>
      <c r="G7963" t="n">
        <v>1.2</v>
      </c>
      <c r="H7963" t="n">
        <v>0</v>
      </c>
      <c r="I7963" t="n">
        <v>0</v>
      </c>
      <c r="J7963" t="n">
        <v>0</v>
      </c>
      <c r="K7963" t="n">
        <v>0</v>
      </c>
      <c r="L7963" t="n">
        <v>0</v>
      </c>
      <c r="M7963" t="n">
        <v>0</v>
      </c>
      <c r="N7963" t="n">
        <v>0</v>
      </c>
      <c r="O7963" t="n">
        <v>0</v>
      </c>
      <c r="P7963" t="n">
        <v>0</v>
      </c>
      <c r="Q7963" t="n">
        <v>0</v>
      </c>
      <c r="R7963" s="2" t="inlineStr"/>
    </row>
    <row r="7964" ht="15" customHeight="1">
      <c r="A7964" t="inlineStr">
        <is>
          <t>A 4617-2022</t>
        </is>
      </c>
      <c r="B7964" s="1" t="n">
        <v>44592</v>
      </c>
      <c r="C7964" s="1" t="n">
        <v>45212</v>
      </c>
      <c r="D7964" t="inlineStr">
        <is>
          <t>VÄSTRA GÖTALANDS LÄN</t>
        </is>
      </c>
      <c r="E7964" t="inlineStr">
        <is>
          <t>BORÅS</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4875-2022</t>
        </is>
      </c>
      <c r="B7965" s="1" t="n">
        <v>44592</v>
      </c>
      <c r="C7965" s="1" t="n">
        <v>45212</v>
      </c>
      <c r="D7965" t="inlineStr">
        <is>
          <t>VÄSTRA GÖTALANDS LÄN</t>
        </is>
      </c>
      <c r="E7965" t="inlineStr">
        <is>
          <t>MUNKEDAL</t>
        </is>
      </c>
      <c r="F7965" t="inlineStr">
        <is>
          <t>Övriga Aktiebolag</t>
        </is>
      </c>
      <c r="G7965" t="n">
        <v>3.7</v>
      </c>
      <c r="H7965" t="n">
        <v>0</v>
      </c>
      <c r="I7965" t="n">
        <v>0</v>
      </c>
      <c r="J7965" t="n">
        <v>0</v>
      </c>
      <c r="K7965" t="n">
        <v>0</v>
      </c>
      <c r="L7965" t="n">
        <v>0</v>
      </c>
      <c r="M7965" t="n">
        <v>0</v>
      </c>
      <c r="N7965" t="n">
        <v>0</v>
      </c>
      <c r="O7965" t="n">
        <v>0</v>
      </c>
      <c r="P7965" t="n">
        <v>0</v>
      </c>
      <c r="Q7965" t="n">
        <v>0</v>
      </c>
      <c r="R7965" s="2" t="inlineStr"/>
    </row>
    <row r="7966" ht="15" customHeight="1">
      <c r="A7966" t="inlineStr">
        <is>
          <t>A 5139-2022</t>
        </is>
      </c>
      <c r="B7966" s="1" t="n">
        <v>44593</v>
      </c>
      <c r="C7966" s="1" t="n">
        <v>45212</v>
      </c>
      <c r="D7966" t="inlineStr">
        <is>
          <t>VÄSTRA GÖTALANDS LÄN</t>
        </is>
      </c>
      <c r="E7966" t="inlineStr">
        <is>
          <t>MUNKEDAL</t>
        </is>
      </c>
      <c r="F7966" t="inlineStr">
        <is>
          <t>Övriga Aktiebolag</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5061-2022</t>
        </is>
      </c>
      <c r="B7967" s="1" t="n">
        <v>44593</v>
      </c>
      <c r="C7967" s="1" t="n">
        <v>45212</v>
      </c>
      <c r="D7967" t="inlineStr">
        <is>
          <t>VÄSTRA GÖTALANDS LÄN</t>
        </is>
      </c>
      <c r="E7967" t="inlineStr">
        <is>
          <t>ULRICEHAMN</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4948-2022</t>
        </is>
      </c>
      <c r="B7968" s="1" t="n">
        <v>44593</v>
      </c>
      <c r="C7968" s="1" t="n">
        <v>45212</v>
      </c>
      <c r="D7968" t="inlineStr">
        <is>
          <t>VÄSTRA GÖTALANDS LÄN</t>
        </is>
      </c>
      <c r="E7968" t="inlineStr">
        <is>
          <t>HERRLJUNGA</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5066-2022</t>
        </is>
      </c>
      <c r="B7969" s="1" t="n">
        <v>44593</v>
      </c>
      <c r="C7969" s="1" t="n">
        <v>45212</v>
      </c>
      <c r="D7969" t="inlineStr">
        <is>
          <t>VÄSTRA GÖTALANDS LÄN</t>
        </is>
      </c>
      <c r="E7969" t="inlineStr">
        <is>
          <t>ULRICEHAMN</t>
        </is>
      </c>
      <c r="G7969" t="n">
        <v>0.9</v>
      </c>
      <c r="H7969" t="n">
        <v>0</v>
      </c>
      <c r="I7969" t="n">
        <v>0</v>
      </c>
      <c r="J7969" t="n">
        <v>0</v>
      </c>
      <c r="K7969" t="n">
        <v>0</v>
      </c>
      <c r="L7969" t="n">
        <v>0</v>
      </c>
      <c r="M7969" t="n">
        <v>0</v>
      </c>
      <c r="N7969" t="n">
        <v>0</v>
      </c>
      <c r="O7969" t="n">
        <v>0</v>
      </c>
      <c r="P7969" t="n">
        <v>0</v>
      </c>
      <c r="Q7969" t="n">
        <v>0</v>
      </c>
      <c r="R7969" s="2" t="inlineStr"/>
    </row>
    <row r="7970" ht="15" customHeight="1">
      <c r="A7970" t="inlineStr">
        <is>
          <t>A 4918-2022</t>
        </is>
      </c>
      <c r="B7970" s="1" t="n">
        <v>44593</v>
      </c>
      <c r="C7970" s="1" t="n">
        <v>45212</v>
      </c>
      <c r="D7970" t="inlineStr">
        <is>
          <t>VÄSTRA GÖTALANDS LÄN</t>
        </is>
      </c>
      <c r="E7970" t="inlineStr">
        <is>
          <t>BENGTSFORS</t>
        </is>
      </c>
      <c r="G7970" t="n">
        <v>1</v>
      </c>
      <c r="H7970" t="n">
        <v>0</v>
      </c>
      <c r="I7970" t="n">
        <v>0</v>
      </c>
      <c r="J7970" t="n">
        <v>0</v>
      </c>
      <c r="K7970" t="n">
        <v>0</v>
      </c>
      <c r="L7970" t="n">
        <v>0</v>
      </c>
      <c r="M7970" t="n">
        <v>0</v>
      </c>
      <c r="N7970" t="n">
        <v>0</v>
      </c>
      <c r="O7970" t="n">
        <v>0</v>
      </c>
      <c r="P7970" t="n">
        <v>0</v>
      </c>
      <c r="Q7970" t="n">
        <v>0</v>
      </c>
      <c r="R7970" s="2" t="inlineStr"/>
    </row>
    <row r="7971" ht="15" customHeight="1">
      <c r="A7971" t="inlineStr">
        <is>
          <t>A 5174-2022</t>
        </is>
      </c>
      <c r="B7971" s="1" t="n">
        <v>44594</v>
      </c>
      <c r="C7971" s="1" t="n">
        <v>45212</v>
      </c>
      <c r="D7971" t="inlineStr">
        <is>
          <t>VÄSTRA GÖTALANDS LÄN</t>
        </is>
      </c>
      <c r="E7971" t="inlineStr">
        <is>
          <t>VARA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5177-2022</t>
        </is>
      </c>
      <c r="B7972" s="1" t="n">
        <v>44594</v>
      </c>
      <c r="C7972" s="1" t="n">
        <v>45212</v>
      </c>
      <c r="D7972" t="inlineStr">
        <is>
          <t>VÄSTRA GÖTALANDS LÄN</t>
        </is>
      </c>
      <c r="E7972" t="inlineStr">
        <is>
          <t>SKÖVDE</t>
        </is>
      </c>
      <c r="F7972" t="inlineStr">
        <is>
          <t>Kommuner</t>
        </is>
      </c>
      <c r="G7972" t="n">
        <v>0.5</v>
      </c>
      <c r="H7972" t="n">
        <v>0</v>
      </c>
      <c r="I7972" t="n">
        <v>0</v>
      </c>
      <c r="J7972" t="n">
        <v>0</v>
      </c>
      <c r="K7972" t="n">
        <v>0</v>
      </c>
      <c r="L7972" t="n">
        <v>0</v>
      </c>
      <c r="M7972" t="n">
        <v>0</v>
      </c>
      <c r="N7972" t="n">
        <v>0</v>
      </c>
      <c r="O7972" t="n">
        <v>0</v>
      </c>
      <c r="P7972" t="n">
        <v>0</v>
      </c>
      <c r="Q7972" t="n">
        <v>0</v>
      </c>
      <c r="R7972" s="2" t="inlineStr"/>
    </row>
    <row r="7973" ht="15" customHeight="1">
      <c r="A7973" t="inlineStr">
        <is>
          <t>A 5192-2022</t>
        </is>
      </c>
      <c r="B7973" s="1" t="n">
        <v>44594</v>
      </c>
      <c r="C7973" s="1" t="n">
        <v>45212</v>
      </c>
      <c r="D7973" t="inlineStr">
        <is>
          <t>VÄSTRA GÖTALANDS LÄN</t>
        </is>
      </c>
      <c r="E7973" t="inlineStr">
        <is>
          <t>SKÖVDE</t>
        </is>
      </c>
      <c r="F7973" t="inlineStr">
        <is>
          <t>Kommuner</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5264-2022</t>
        </is>
      </c>
      <c r="B7974" s="1" t="n">
        <v>44594</v>
      </c>
      <c r="C7974" s="1" t="n">
        <v>45212</v>
      </c>
      <c r="D7974" t="inlineStr">
        <is>
          <t>VÄSTRA GÖTALANDS LÄN</t>
        </is>
      </c>
      <c r="E7974" t="inlineStr">
        <is>
          <t>FALKÖPING</t>
        </is>
      </c>
      <c r="G7974" t="n">
        <v>1.5</v>
      </c>
      <c r="H7974" t="n">
        <v>0</v>
      </c>
      <c r="I7974" t="n">
        <v>0</v>
      </c>
      <c r="J7974" t="n">
        <v>0</v>
      </c>
      <c r="K7974" t="n">
        <v>0</v>
      </c>
      <c r="L7974" t="n">
        <v>0</v>
      </c>
      <c r="M7974" t="n">
        <v>0</v>
      </c>
      <c r="N7974" t="n">
        <v>0</v>
      </c>
      <c r="O7974" t="n">
        <v>0</v>
      </c>
      <c r="P7974" t="n">
        <v>0</v>
      </c>
      <c r="Q7974" t="n">
        <v>0</v>
      </c>
      <c r="R7974" s="2" t="inlineStr"/>
    </row>
    <row r="7975" ht="15" customHeight="1">
      <c r="A7975" t="inlineStr">
        <is>
          <t>A 5311-2022</t>
        </is>
      </c>
      <c r="B7975" s="1" t="n">
        <v>44594</v>
      </c>
      <c r="C7975" s="1" t="n">
        <v>45212</v>
      </c>
      <c r="D7975" t="inlineStr">
        <is>
          <t>VÄSTRA GÖTALANDS LÄN</t>
        </is>
      </c>
      <c r="E7975" t="inlineStr">
        <is>
          <t>LYSEKIL</t>
        </is>
      </c>
      <c r="G7975" t="n">
        <v>1.2</v>
      </c>
      <c r="H7975" t="n">
        <v>0</v>
      </c>
      <c r="I7975" t="n">
        <v>0</v>
      </c>
      <c r="J7975" t="n">
        <v>0</v>
      </c>
      <c r="K7975" t="n">
        <v>0</v>
      </c>
      <c r="L7975" t="n">
        <v>0</v>
      </c>
      <c r="M7975" t="n">
        <v>0</v>
      </c>
      <c r="N7975" t="n">
        <v>0</v>
      </c>
      <c r="O7975" t="n">
        <v>0</v>
      </c>
      <c r="P7975" t="n">
        <v>0</v>
      </c>
      <c r="Q7975" t="n">
        <v>0</v>
      </c>
      <c r="R7975" s="2" t="inlineStr"/>
    </row>
    <row r="7976" ht="15" customHeight="1">
      <c r="A7976" t="inlineStr">
        <is>
          <t>A 5156-2022</t>
        </is>
      </c>
      <c r="B7976" s="1" t="n">
        <v>44594</v>
      </c>
      <c r="C7976" s="1" t="n">
        <v>45212</v>
      </c>
      <c r="D7976" t="inlineStr">
        <is>
          <t>VÄSTRA GÖTALANDS LÄN</t>
        </is>
      </c>
      <c r="E7976" t="inlineStr">
        <is>
          <t>BORÅS</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5241-2022</t>
        </is>
      </c>
      <c r="B7977" s="1" t="n">
        <v>44594</v>
      </c>
      <c r="C7977" s="1" t="n">
        <v>45212</v>
      </c>
      <c r="D7977" t="inlineStr">
        <is>
          <t>VÄSTRA GÖTALANDS LÄN</t>
        </is>
      </c>
      <c r="E7977" t="inlineStr">
        <is>
          <t>BENGTSFORS</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5265-2022</t>
        </is>
      </c>
      <c r="B7978" s="1" t="n">
        <v>44594</v>
      </c>
      <c r="C7978" s="1" t="n">
        <v>45212</v>
      </c>
      <c r="D7978" t="inlineStr">
        <is>
          <t>VÄSTRA GÖTALANDS LÄN</t>
        </is>
      </c>
      <c r="E7978" t="inlineStr">
        <is>
          <t>FALKÖPING</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5400-2022</t>
        </is>
      </c>
      <c r="B7979" s="1" t="n">
        <v>44595</v>
      </c>
      <c r="C7979" s="1" t="n">
        <v>45212</v>
      </c>
      <c r="D7979" t="inlineStr">
        <is>
          <t>VÄSTRA GÖTALANDS LÄN</t>
        </is>
      </c>
      <c r="E7979" t="inlineStr">
        <is>
          <t>KUNGÄLV</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5402-2022</t>
        </is>
      </c>
      <c r="B7980" s="1" t="n">
        <v>44595</v>
      </c>
      <c r="C7980" s="1" t="n">
        <v>45212</v>
      </c>
      <c r="D7980" t="inlineStr">
        <is>
          <t>VÄSTRA GÖTALANDS LÄN</t>
        </is>
      </c>
      <c r="E7980" t="inlineStr">
        <is>
          <t>KARLSBORG</t>
        </is>
      </c>
      <c r="F7980" t="inlineStr">
        <is>
          <t>Övriga Aktiebolag</t>
        </is>
      </c>
      <c r="G7980" t="n">
        <v>5.6</v>
      </c>
      <c r="H7980" t="n">
        <v>0</v>
      </c>
      <c r="I7980" t="n">
        <v>0</v>
      </c>
      <c r="J7980" t="n">
        <v>0</v>
      </c>
      <c r="K7980" t="n">
        <v>0</v>
      </c>
      <c r="L7980" t="n">
        <v>0</v>
      </c>
      <c r="M7980" t="n">
        <v>0</v>
      </c>
      <c r="N7980" t="n">
        <v>0</v>
      </c>
      <c r="O7980" t="n">
        <v>0</v>
      </c>
      <c r="P7980" t="n">
        <v>0</v>
      </c>
      <c r="Q7980" t="n">
        <v>0</v>
      </c>
      <c r="R7980" s="2" t="inlineStr"/>
    </row>
    <row r="7981" ht="15" customHeight="1">
      <c r="A7981" t="inlineStr">
        <is>
          <t>A 5598-2022</t>
        </is>
      </c>
      <c r="B7981" s="1" t="n">
        <v>44595</v>
      </c>
      <c r="C7981" s="1" t="n">
        <v>45212</v>
      </c>
      <c r="D7981" t="inlineStr">
        <is>
          <t>VÄSTRA GÖTALANDS LÄN</t>
        </is>
      </c>
      <c r="E7981" t="inlineStr">
        <is>
          <t>SKARA</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5436-2022</t>
        </is>
      </c>
      <c r="B7982" s="1" t="n">
        <v>44595</v>
      </c>
      <c r="C7982" s="1" t="n">
        <v>45212</v>
      </c>
      <c r="D7982" t="inlineStr">
        <is>
          <t>VÄSTRA GÖTALANDS LÄN</t>
        </is>
      </c>
      <c r="E7982" t="inlineStr">
        <is>
          <t>FÄRGELANDA</t>
        </is>
      </c>
      <c r="G7982" t="n">
        <v>11.3</v>
      </c>
      <c r="H7982" t="n">
        <v>0</v>
      </c>
      <c r="I7982" t="n">
        <v>0</v>
      </c>
      <c r="J7982" t="n">
        <v>0</v>
      </c>
      <c r="K7982" t="n">
        <v>0</v>
      </c>
      <c r="L7982" t="n">
        <v>0</v>
      </c>
      <c r="M7982" t="n">
        <v>0</v>
      </c>
      <c r="N7982" t="n">
        <v>0</v>
      </c>
      <c r="O7982" t="n">
        <v>0</v>
      </c>
      <c r="P7982" t="n">
        <v>0</v>
      </c>
      <c r="Q7982" t="n">
        <v>0</v>
      </c>
      <c r="R7982" s="2" t="inlineStr"/>
    </row>
    <row r="7983" ht="15" customHeight="1">
      <c r="A7983" t="inlineStr">
        <is>
          <t>A 5453-2022</t>
        </is>
      </c>
      <c r="B7983" s="1" t="n">
        <v>44595</v>
      </c>
      <c r="C7983" s="1" t="n">
        <v>45212</v>
      </c>
      <c r="D7983" t="inlineStr">
        <is>
          <t>VÄSTRA GÖTALANDS LÄN</t>
        </is>
      </c>
      <c r="E7983" t="inlineStr">
        <is>
          <t>FÄRGELANDA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5594-2022</t>
        </is>
      </c>
      <c r="B7984" s="1" t="n">
        <v>44595</v>
      </c>
      <c r="C7984" s="1" t="n">
        <v>45212</v>
      </c>
      <c r="D7984" t="inlineStr">
        <is>
          <t>VÄSTRA GÖTALANDS LÄN</t>
        </is>
      </c>
      <c r="E7984" t="inlineStr">
        <is>
          <t>SKARA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5600-2022</t>
        </is>
      </c>
      <c r="B7985" s="1" t="n">
        <v>44595</v>
      </c>
      <c r="C7985" s="1" t="n">
        <v>45212</v>
      </c>
      <c r="D7985" t="inlineStr">
        <is>
          <t>VÄSTRA GÖTALANDS LÄN</t>
        </is>
      </c>
      <c r="E7985" t="inlineStr">
        <is>
          <t>SKARA</t>
        </is>
      </c>
      <c r="G7985" t="n">
        <v>8.9</v>
      </c>
      <c r="H7985" t="n">
        <v>0</v>
      </c>
      <c r="I7985" t="n">
        <v>0</v>
      </c>
      <c r="J7985" t="n">
        <v>0</v>
      </c>
      <c r="K7985" t="n">
        <v>0</v>
      </c>
      <c r="L7985" t="n">
        <v>0</v>
      </c>
      <c r="M7985" t="n">
        <v>0</v>
      </c>
      <c r="N7985" t="n">
        <v>0</v>
      </c>
      <c r="O7985" t="n">
        <v>0</v>
      </c>
      <c r="P7985" t="n">
        <v>0</v>
      </c>
      <c r="Q7985" t="n">
        <v>0</v>
      </c>
      <c r="R7985" s="2" t="inlineStr"/>
    </row>
    <row r="7986" ht="15" customHeight="1">
      <c r="A7986" t="inlineStr">
        <is>
          <t>A 5739-2022</t>
        </is>
      </c>
      <c r="B7986" s="1" t="n">
        <v>44596</v>
      </c>
      <c r="C7986" s="1" t="n">
        <v>45212</v>
      </c>
      <c r="D7986" t="inlineStr">
        <is>
          <t>VÄSTRA GÖTALANDS LÄN</t>
        </is>
      </c>
      <c r="E7986" t="inlineStr">
        <is>
          <t>MARK</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5961-2022</t>
        </is>
      </c>
      <c r="B7987" s="1" t="n">
        <v>44596</v>
      </c>
      <c r="C7987" s="1" t="n">
        <v>45212</v>
      </c>
      <c r="D7987" t="inlineStr">
        <is>
          <t>VÄSTRA GÖTALANDS LÄN</t>
        </is>
      </c>
      <c r="E7987" t="inlineStr">
        <is>
          <t>TANUM</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5687-2022</t>
        </is>
      </c>
      <c r="B7988" s="1" t="n">
        <v>44596</v>
      </c>
      <c r="C7988" s="1" t="n">
        <v>45212</v>
      </c>
      <c r="D7988" t="inlineStr">
        <is>
          <t>VÄSTRA GÖTALANDS LÄN</t>
        </is>
      </c>
      <c r="E7988" t="inlineStr">
        <is>
          <t>BENGTSFORS</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5743-2022</t>
        </is>
      </c>
      <c r="B7989" s="1" t="n">
        <v>44596</v>
      </c>
      <c r="C7989" s="1" t="n">
        <v>45212</v>
      </c>
      <c r="D7989" t="inlineStr">
        <is>
          <t>VÄSTRA GÖTALANDS LÄN</t>
        </is>
      </c>
      <c r="E7989" t="inlineStr">
        <is>
          <t>MARK</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5801-2022</t>
        </is>
      </c>
      <c r="B7990" s="1" t="n">
        <v>44596</v>
      </c>
      <c r="C7990" s="1" t="n">
        <v>45212</v>
      </c>
      <c r="D7990" t="inlineStr">
        <is>
          <t>VÄSTRA GÖTALANDS LÄN</t>
        </is>
      </c>
      <c r="E7990" t="inlineStr">
        <is>
          <t>TRANEMO</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5871-2022</t>
        </is>
      </c>
      <c r="B7991" s="1" t="n">
        <v>44596</v>
      </c>
      <c r="C7991" s="1" t="n">
        <v>45212</v>
      </c>
      <c r="D7991" t="inlineStr">
        <is>
          <t>VÄSTRA GÖTALANDS LÄN</t>
        </is>
      </c>
      <c r="E7991" t="inlineStr">
        <is>
          <t>TRANEMO</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5958-2022</t>
        </is>
      </c>
      <c r="B7992" s="1" t="n">
        <v>44596</v>
      </c>
      <c r="C7992" s="1" t="n">
        <v>45212</v>
      </c>
      <c r="D7992" t="inlineStr">
        <is>
          <t>VÄSTRA GÖTALANDS LÄN</t>
        </is>
      </c>
      <c r="E7992" t="inlineStr">
        <is>
          <t>TANUM</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6002-2022</t>
        </is>
      </c>
      <c r="B7993" s="1" t="n">
        <v>44599</v>
      </c>
      <c r="C7993" s="1" t="n">
        <v>45212</v>
      </c>
      <c r="D7993" t="inlineStr">
        <is>
          <t>VÄSTRA GÖTALANDS LÄN</t>
        </is>
      </c>
      <c r="E7993" t="inlineStr">
        <is>
          <t>TRANEMO</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6063-2022</t>
        </is>
      </c>
      <c r="B7994" s="1" t="n">
        <v>44599</v>
      </c>
      <c r="C7994" s="1" t="n">
        <v>45212</v>
      </c>
      <c r="D7994" t="inlineStr">
        <is>
          <t>VÄSTRA GÖTALANDS LÄN</t>
        </is>
      </c>
      <c r="E7994" t="inlineStr">
        <is>
          <t>UDDEVALLA</t>
        </is>
      </c>
      <c r="G7994" t="n">
        <v>14.4</v>
      </c>
      <c r="H7994" t="n">
        <v>0</v>
      </c>
      <c r="I7994" t="n">
        <v>0</v>
      </c>
      <c r="J7994" t="n">
        <v>0</v>
      </c>
      <c r="K7994" t="n">
        <v>0</v>
      </c>
      <c r="L7994" t="n">
        <v>0</v>
      </c>
      <c r="M7994" t="n">
        <v>0</v>
      </c>
      <c r="N7994" t="n">
        <v>0</v>
      </c>
      <c r="O7994" t="n">
        <v>0</v>
      </c>
      <c r="P7994" t="n">
        <v>0</v>
      </c>
      <c r="Q7994" t="n">
        <v>0</v>
      </c>
      <c r="R7994" s="2" t="inlineStr"/>
    </row>
    <row r="7995" ht="15" customHeight="1">
      <c r="A7995" t="inlineStr">
        <is>
          <t>A 6111-2022</t>
        </is>
      </c>
      <c r="B7995" s="1" t="n">
        <v>44599</v>
      </c>
      <c r="C7995" s="1" t="n">
        <v>45212</v>
      </c>
      <c r="D7995" t="inlineStr">
        <is>
          <t>VÄSTRA GÖTALANDS LÄN</t>
        </is>
      </c>
      <c r="E7995" t="inlineStr">
        <is>
          <t>HÄRRYDA</t>
        </is>
      </c>
      <c r="G7995" t="n">
        <v>5.9</v>
      </c>
      <c r="H7995" t="n">
        <v>0</v>
      </c>
      <c r="I7995" t="n">
        <v>0</v>
      </c>
      <c r="J7995" t="n">
        <v>0</v>
      </c>
      <c r="K7995" t="n">
        <v>0</v>
      </c>
      <c r="L7995" t="n">
        <v>0</v>
      </c>
      <c r="M7995" t="n">
        <v>0</v>
      </c>
      <c r="N7995" t="n">
        <v>0</v>
      </c>
      <c r="O7995" t="n">
        <v>0</v>
      </c>
      <c r="P7995" t="n">
        <v>0</v>
      </c>
      <c r="Q7995" t="n">
        <v>0</v>
      </c>
      <c r="R7995" s="2" t="inlineStr"/>
    </row>
    <row r="7996" ht="15" customHeight="1">
      <c r="A7996" t="inlineStr">
        <is>
          <t>A 6005-2022</t>
        </is>
      </c>
      <c r="B7996" s="1" t="n">
        <v>44599</v>
      </c>
      <c r="C7996" s="1" t="n">
        <v>45212</v>
      </c>
      <c r="D7996" t="inlineStr">
        <is>
          <t>VÄSTRA GÖTALANDS LÄN</t>
        </is>
      </c>
      <c r="E7996" t="inlineStr">
        <is>
          <t>TRANEMO</t>
        </is>
      </c>
      <c r="G7996" t="n">
        <v>1.4</v>
      </c>
      <c r="H7996" t="n">
        <v>0</v>
      </c>
      <c r="I7996" t="n">
        <v>0</v>
      </c>
      <c r="J7996" t="n">
        <v>0</v>
      </c>
      <c r="K7996" t="n">
        <v>0</v>
      </c>
      <c r="L7996" t="n">
        <v>0</v>
      </c>
      <c r="M7996" t="n">
        <v>0</v>
      </c>
      <c r="N7996" t="n">
        <v>0</v>
      </c>
      <c r="O7996" t="n">
        <v>0</v>
      </c>
      <c r="P7996" t="n">
        <v>0</v>
      </c>
      <c r="Q7996" t="n">
        <v>0</v>
      </c>
      <c r="R7996" s="2" t="inlineStr"/>
    </row>
    <row r="7997" ht="15" customHeight="1">
      <c r="A7997" t="inlineStr">
        <is>
          <t>A 5959-2022</t>
        </is>
      </c>
      <c r="B7997" s="1" t="n">
        <v>44599</v>
      </c>
      <c r="C7997" s="1" t="n">
        <v>45212</v>
      </c>
      <c r="D7997" t="inlineStr">
        <is>
          <t>VÄSTRA GÖTALANDS LÄN</t>
        </is>
      </c>
      <c r="E7997" t="inlineStr">
        <is>
          <t>LIDKÖPING</t>
        </is>
      </c>
      <c r="G7997" t="n">
        <v>2.7</v>
      </c>
      <c r="H7997" t="n">
        <v>0</v>
      </c>
      <c r="I7997" t="n">
        <v>0</v>
      </c>
      <c r="J7997" t="n">
        <v>0</v>
      </c>
      <c r="K7997" t="n">
        <v>0</v>
      </c>
      <c r="L7997" t="n">
        <v>0</v>
      </c>
      <c r="M7997" t="n">
        <v>0</v>
      </c>
      <c r="N7997" t="n">
        <v>0</v>
      </c>
      <c r="O7997" t="n">
        <v>0</v>
      </c>
      <c r="P7997" t="n">
        <v>0</v>
      </c>
      <c r="Q7997" t="n">
        <v>0</v>
      </c>
      <c r="R7997" s="2" t="inlineStr"/>
    </row>
    <row r="7998" ht="15" customHeight="1">
      <c r="A7998" t="inlineStr">
        <is>
          <t>A 5971-2022</t>
        </is>
      </c>
      <c r="B7998" s="1" t="n">
        <v>44599</v>
      </c>
      <c r="C7998" s="1" t="n">
        <v>45212</v>
      </c>
      <c r="D7998" t="inlineStr">
        <is>
          <t>VÄSTRA GÖTALANDS LÄN</t>
        </is>
      </c>
      <c r="E7998" t="inlineStr">
        <is>
          <t>TÖREBODA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6068-2022</t>
        </is>
      </c>
      <c r="B7999" s="1" t="n">
        <v>44599</v>
      </c>
      <c r="C7999" s="1" t="n">
        <v>45212</v>
      </c>
      <c r="D7999" t="inlineStr">
        <is>
          <t>VÄSTRA GÖTALANDS LÄN</t>
        </is>
      </c>
      <c r="E7999" t="inlineStr">
        <is>
          <t>KARLSBORG</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6010-2022</t>
        </is>
      </c>
      <c r="B8000" s="1" t="n">
        <v>44599</v>
      </c>
      <c r="C8000" s="1" t="n">
        <v>45212</v>
      </c>
      <c r="D8000" t="inlineStr">
        <is>
          <t>VÄSTRA GÖTALANDS LÄN</t>
        </is>
      </c>
      <c r="E8000" t="inlineStr">
        <is>
          <t>TRANEMO</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6114-2022</t>
        </is>
      </c>
      <c r="B8001" s="1" t="n">
        <v>44599</v>
      </c>
      <c r="C8001" s="1" t="n">
        <v>45212</v>
      </c>
      <c r="D8001" t="inlineStr">
        <is>
          <t>VÄSTRA GÖTALANDS LÄN</t>
        </is>
      </c>
      <c r="E8001" t="inlineStr">
        <is>
          <t>BENGTSFORS</t>
        </is>
      </c>
      <c r="G8001" t="n">
        <v>0</v>
      </c>
      <c r="H8001" t="n">
        <v>0</v>
      </c>
      <c r="I8001" t="n">
        <v>0</v>
      </c>
      <c r="J8001" t="n">
        <v>0</v>
      </c>
      <c r="K8001" t="n">
        <v>0</v>
      </c>
      <c r="L8001" t="n">
        <v>0</v>
      </c>
      <c r="M8001" t="n">
        <v>0</v>
      </c>
      <c r="N8001" t="n">
        <v>0</v>
      </c>
      <c r="O8001" t="n">
        <v>0</v>
      </c>
      <c r="P8001" t="n">
        <v>0</v>
      </c>
      <c r="Q8001" t="n">
        <v>0</v>
      </c>
      <c r="R8001" s="2" t="inlineStr"/>
    </row>
    <row r="8002" ht="15" customHeight="1">
      <c r="A8002" t="inlineStr">
        <is>
          <t>A 6147-2022</t>
        </is>
      </c>
      <c r="B8002" s="1" t="n">
        <v>44599</v>
      </c>
      <c r="C8002" s="1" t="n">
        <v>45212</v>
      </c>
      <c r="D8002" t="inlineStr">
        <is>
          <t>VÄSTRA GÖTALANDS LÄN</t>
        </is>
      </c>
      <c r="E8002" t="inlineStr">
        <is>
          <t>STENUNGSUND</t>
        </is>
      </c>
      <c r="G8002" t="n">
        <v>2.2</v>
      </c>
      <c r="H8002" t="n">
        <v>0</v>
      </c>
      <c r="I8002" t="n">
        <v>0</v>
      </c>
      <c r="J8002" t="n">
        <v>0</v>
      </c>
      <c r="K8002" t="n">
        <v>0</v>
      </c>
      <c r="L8002" t="n">
        <v>0</v>
      </c>
      <c r="M8002" t="n">
        <v>0</v>
      </c>
      <c r="N8002" t="n">
        <v>0</v>
      </c>
      <c r="O8002" t="n">
        <v>0</v>
      </c>
      <c r="P8002" t="n">
        <v>0</v>
      </c>
      <c r="Q8002" t="n">
        <v>0</v>
      </c>
      <c r="R8002" s="2" t="inlineStr"/>
    </row>
    <row r="8003" ht="15" customHeight="1">
      <c r="A8003" t="inlineStr">
        <is>
          <t>A 6156-2022</t>
        </is>
      </c>
      <c r="B8003" s="1" t="n">
        <v>44599</v>
      </c>
      <c r="C8003" s="1" t="n">
        <v>45212</v>
      </c>
      <c r="D8003" t="inlineStr">
        <is>
          <t>VÄSTRA GÖTALANDS LÄN</t>
        </is>
      </c>
      <c r="E8003" t="inlineStr">
        <is>
          <t>MARK</t>
        </is>
      </c>
      <c r="G8003" t="n">
        <v>3.7</v>
      </c>
      <c r="H8003" t="n">
        <v>0</v>
      </c>
      <c r="I8003" t="n">
        <v>0</v>
      </c>
      <c r="J8003" t="n">
        <v>0</v>
      </c>
      <c r="K8003" t="n">
        <v>0</v>
      </c>
      <c r="L8003" t="n">
        <v>0</v>
      </c>
      <c r="M8003" t="n">
        <v>0</v>
      </c>
      <c r="N8003" t="n">
        <v>0</v>
      </c>
      <c r="O8003" t="n">
        <v>0</v>
      </c>
      <c r="P8003" t="n">
        <v>0</v>
      </c>
      <c r="Q8003" t="n">
        <v>0</v>
      </c>
      <c r="R8003" s="2" t="inlineStr"/>
    </row>
    <row r="8004" ht="15" customHeight="1">
      <c r="A8004" t="inlineStr">
        <is>
          <t>A 6190-2022</t>
        </is>
      </c>
      <c r="B8004" s="1" t="n">
        <v>44600</v>
      </c>
      <c r="C8004" s="1" t="n">
        <v>45212</v>
      </c>
      <c r="D8004" t="inlineStr">
        <is>
          <t>VÄSTRA GÖTALANDS LÄN</t>
        </is>
      </c>
      <c r="E8004" t="inlineStr">
        <is>
          <t>ÅMÅL</t>
        </is>
      </c>
      <c r="G8004" t="n">
        <v>4.4</v>
      </c>
      <c r="H8004" t="n">
        <v>0</v>
      </c>
      <c r="I8004" t="n">
        <v>0</v>
      </c>
      <c r="J8004" t="n">
        <v>0</v>
      </c>
      <c r="K8004" t="n">
        <v>0</v>
      </c>
      <c r="L8004" t="n">
        <v>0</v>
      </c>
      <c r="M8004" t="n">
        <v>0</v>
      </c>
      <c r="N8004" t="n">
        <v>0</v>
      </c>
      <c r="O8004" t="n">
        <v>0</v>
      </c>
      <c r="P8004" t="n">
        <v>0</v>
      </c>
      <c r="Q8004" t="n">
        <v>0</v>
      </c>
      <c r="R8004" s="2" t="inlineStr"/>
    </row>
    <row r="8005" ht="15" customHeight="1">
      <c r="A8005" t="inlineStr">
        <is>
          <t>A 6378-2022</t>
        </is>
      </c>
      <c r="B8005" s="1" t="n">
        <v>44600</v>
      </c>
      <c r="C8005" s="1" t="n">
        <v>45212</v>
      </c>
      <c r="D8005" t="inlineStr">
        <is>
          <t>VÄSTRA GÖTALANDS LÄN</t>
        </is>
      </c>
      <c r="E8005" t="inlineStr">
        <is>
          <t>DALS-ED</t>
        </is>
      </c>
      <c r="F8005" t="inlineStr">
        <is>
          <t>Kyrkan</t>
        </is>
      </c>
      <c r="G8005" t="n">
        <v>9</v>
      </c>
      <c r="H8005" t="n">
        <v>0</v>
      </c>
      <c r="I8005" t="n">
        <v>0</v>
      </c>
      <c r="J8005" t="n">
        <v>0</v>
      </c>
      <c r="K8005" t="n">
        <v>0</v>
      </c>
      <c r="L8005" t="n">
        <v>0</v>
      </c>
      <c r="M8005" t="n">
        <v>0</v>
      </c>
      <c r="N8005" t="n">
        <v>0</v>
      </c>
      <c r="O8005" t="n">
        <v>0</v>
      </c>
      <c r="P8005" t="n">
        <v>0</v>
      </c>
      <c r="Q8005" t="n">
        <v>0</v>
      </c>
      <c r="R8005" s="2" t="inlineStr"/>
    </row>
    <row r="8006" ht="15" customHeight="1">
      <c r="A8006" t="inlineStr">
        <is>
          <t>A 6180-2022</t>
        </is>
      </c>
      <c r="B8006" s="1" t="n">
        <v>44600</v>
      </c>
      <c r="C8006" s="1" t="n">
        <v>45212</v>
      </c>
      <c r="D8006" t="inlineStr">
        <is>
          <t>VÄSTRA GÖTALANDS LÄN</t>
        </is>
      </c>
      <c r="E8006" t="inlineStr">
        <is>
          <t>FÄRGELANDA</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6293-2022</t>
        </is>
      </c>
      <c r="B8007" s="1" t="n">
        <v>44600</v>
      </c>
      <c r="C8007" s="1" t="n">
        <v>45212</v>
      </c>
      <c r="D8007" t="inlineStr">
        <is>
          <t>VÄSTRA GÖTALANDS LÄN</t>
        </is>
      </c>
      <c r="E8007" t="inlineStr">
        <is>
          <t>STENUNGSUND</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6368-2022</t>
        </is>
      </c>
      <c r="B8008" s="1" t="n">
        <v>44600</v>
      </c>
      <c r="C8008" s="1" t="n">
        <v>45212</v>
      </c>
      <c r="D8008" t="inlineStr">
        <is>
          <t>VÄSTRA GÖTALANDS LÄN</t>
        </is>
      </c>
      <c r="E8008" t="inlineStr">
        <is>
          <t>DALS-ED</t>
        </is>
      </c>
      <c r="F8008" t="inlineStr">
        <is>
          <t>Kyrkan</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6586-2022</t>
        </is>
      </c>
      <c r="B8009" s="1" t="n">
        <v>44601</v>
      </c>
      <c r="C8009" s="1" t="n">
        <v>45212</v>
      </c>
      <c r="D8009" t="inlineStr">
        <is>
          <t>VÄSTRA GÖTALANDS LÄN</t>
        </is>
      </c>
      <c r="E8009" t="inlineStr">
        <is>
          <t>BENGTSFORS</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6598-2022</t>
        </is>
      </c>
      <c r="B8010" s="1" t="n">
        <v>44601</v>
      </c>
      <c r="C8010" s="1" t="n">
        <v>45212</v>
      </c>
      <c r="D8010" t="inlineStr">
        <is>
          <t>VÄSTRA GÖTALANDS LÄN</t>
        </is>
      </c>
      <c r="E8010" t="inlineStr">
        <is>
          <t>SKÖVDE</t>
        </is>
      </c>
      <c r="F8010" t="inlineStr">
        <is>
          <t>Kommuner</t>
        </is>
      </c>
      <c r="G8010" t="n">
        <v>0.3</v>
      </c>
      <c r="H8010" t="n">
        <v>0</v>
      </c>
      <c r="I8010" t="n">
        <v>0</v>
      </c>
      <c r="J8010" t="n">
        <v>0</v>
      </c>
      <c r="K8010" t="n">
        <v>0</v>
      </c>
      <c r="L8010" t="n">
        <v>0</v>
      </c>
      <c r="M8010" t="n">
        <v>0</v>
      </c>
      <c r="N8010" t="n">
        <v>0</v>
      </c>
      <c r="O8010" t="n">
        <v>0</v>
      </c>
      <c r="P8010" t="n">
        <v>0</v>
      </c>
      <c r="Q8010" t="n">
        <v>0</v>
      </c>
      <c r="R8010" s="2" t="inlineStr"/>
    </row>
    <row r="8011" ht="15" customHeight="1">
      <c r="A8011" t="inlineStr">
        <is>
          <t>A 6624-2022</t>
        </is>
      </c>
      <c r="B8011" s="1" t="n">
        <v>44601</v>
      </c>
      <c r="C8011" s="1" t="n">
        <v>45212</v>
      </c>
      <c r="D8011" t="inlineStr">
        <is>
          <t>VÄSTRA GÖTALANDS LÄN</t>
        </is>
      </c>
      <c r="E8011" t="inlineStr">
        <is>
          <t>VÅRGÅRDA</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6448-2022</t>
        </is>
      </c>
      <c r="B8012" s="1" t="n">
        <v>44601</v>
      </c>
      <c r="C8012" s="1" t="n">
        <v>45212</v>
      </c>
      <c r="D8012" t="inlineStr">
        <is>
          <t>VÄSTRA GÖTALANDS LÄN</t>
        </is>
      </c>
      <c r="E8012" t="inlineStr">
        <is>
          <t>MARIESTAD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6508-2022</t>
        </is>
      </c>
      <c r="B8013" s="1" t="n">
        <v>44601</v>
      </c>
      <c r="C8013" s="1" t="n">
        <v>45212</v>
      </c>
      <c r="D8013" t="inlineStr">
        <is>
          <t>VÄSTRA GÖTALANDS LÄN</t>
        </is>
      </c>
      <c r="E8013" t="inlineStr">
        <is>
          <t>FALKÖPING</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6529-2022</t>
        </is>
      </c>
      <c r="B8014" s="1" t="n">
        <v>44601</v>
      </c>
      <c r="C8014" s="1" t="n">
        <v>45212</v>
      </c>
      <c r="D8014" t="inlineStr">
        <is>
          <t>VÄSTRA GÖTALANDS LÄN</t>
        </is>
      </c>
      <c r="E8014" t="inlineStr">
        <is>
          <t>TANUM</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6630-2022</t>
        </is>
      </c>
      <c r="B8015" s="1" t="n">
        <v>44601</v>
      </c>
      <c r="C8015" s="1" t="n">
        <v>45212</v>
      </c>
      <c r="D8015" t="inlineStr">
        <is>
          <t>VÄSTRA GÖTALANDS LÄN</t>
        </is>
      </c>
      <c r="E8015" t="inlineStr">
        <is>
          <t>TANUM</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6653-2022</t>
        </is>
      </c>
      <c r="B8016" s="1" t="n">
        <v>44602</v>
      </c>
      <c r="C8016" s="1" t="n">
        <v>45212</v>
      </c>
      <c r="D8016" t="inlineStr">
        <is>
          <t>VÄSTRA GÖTALANDS LÄN</t>
        </is>
      </c>
      <c r="E8016" t="inlineStr">
        <is>
          <t>BOLLEBYGD</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6699-2022</t>
        </is>
      </c>
      <c r="B8017" s="1" t="n">
        <v>44602</v>
      </c>
      <c r="C8017" s="1" t="n">
        <v>45212</v>
      </c>
      <c r="D8017" t="inlineStr">
        <is>
          <t>VÄSTRA GÖTALANDS LÄN</t>
        </is>
      </c>
      <c r="E8017" t="inlineStr">
        <is>
          <t>STENUNGSUND</t>
        </is>
      </c>
      <c r="G8017" t="n">
        <v>10</v>
      </c>
      <c r="H8017" t="n">
        <v>0</v>
      </c>
      <c r="I8017" t="n">
        <v>0</v>
      </c>
      <c r="J8017" t="n">
        <v>0</v>
      </c>
      <c r="K8017" t="n">
        <v>0</v>
      </c>
      <c r="L8017" t="n">
        <v>0</v>
      </c>
      <c r="M8017" t="n">
        <v>0</v>
      </c>
      <c r="N8017" t="n">
        <v>0</v>
      </c>
      <c r="O8017" t="n">
        <v>0</v>
      </c>
      <c r="P8017" t="n">
        <v>0</v>
      </c>
      <c r="Q8017" t="n">
        <v>0</v>
      </c>
      <c r="R8017" s="2" t="inlineStr"/>
    </row>
    <row r="8018" ht="15" customHeight="1">
      <c r="A8018" t="inlineStr">
        <is>
          <t>A 6822-2022</t>
        </is>
      </c>
      <c r="B8018" s="1" t="n">
        <v>44602</v>
      </c>
      <c r="C8018" s="1" t="n">
        <v>45212</v>
      </c>
      <c r="D8018" t="inlineStr">
        <is>
          <t>VÄSTRA GÖTALANDS LÄN</t>
        </is>
      </c>
      <c r="E8018" t="inlineStr">
        <is>
          <t>TIBRO</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6875-2022</t>
        </is>
      </c>
      <c r="B8019" s="1" t="n">
        <v>44602</v>
      </c>
      <c r="C8019" s="1" t="n">
        <v>45212</v>
      </c>
      <c r="D8019" t="inlineStr">
        <is>
          <t>VÄSTRA GÖTALANDS LÄN</t>
        </is>
      </c>
      <c r="E8019" t="inlineStr">
        <is>
          <t>UDDEVALLA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6783-2022</t>
        </is>
      </c>
      <c r="B8020" s="1" t="n">
        <v>44602</v>
      </c>
      <c r="C8020" s="1" t="n">
        <v>45212</v>
      </c>
      <c r="D8020" t="inlineStr">
        <is>
          <t>VÄSTRA GÖTALANDS LÄN</t>
        </is>
      </c>
      <c r="E8020" t="inlineStr">
        <is>
          <t>FALKÖPING</t>
        </is>
      </c>
      <c r="G8020" t="n">
        <v>0.3</v>
      </c>
      <c r="H8020" t="n">
        <v>0</v>
      </c>
      <c r="I8020" t="n">
        <v>0</v>
      </c>
      <c r="J8020" t="n">
        <v>0</v>
      </c>
      <c r="K8020" t="n">
        <v>0</v>
      </c>
      <c r="L8020" t="n">
        <v>0</v>
      </c>
      <c r="M8020" t="n">
        <v>0</v>
      </c>
      <c r="N8020" t="n">
        <v>0</v>
      </c>
      <c r="O8020" t="n">
        <v>0</v>
      </c>
      <c r="P8020" t="n">
        <v>0</v>
      </c>
      <c r="Q8020" t="n">
        <v>0</v>
      </c>
      <c r="R8020" s="2" t="inlineStr"/>
    </row>
    <row r="8021" ht="15" customHeight="1">
      <c r="A8021" t="inlineStr">
        <is>
          <t>A 6870-2022</t>
        </is>
      </c>
      <c r="B8021" s="1" t="n">
        <v>44602</v>
      </c>
      <c r="C8021" s="1" t="n">
        <v>45212</v>
      </c>
      <c r="D8021" t="inlineStr">
        <is>
          <t>VÄSTRA GÖTALANDS LÄN</t>
        </is>
      </c>
      <c r="E8021" t="inlineStr">
        <is>
          <t>TIBRO</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7086-2022</t>
        </is>
      </c>
      <c r="B8022" s="1" t="n">
        <v>44603</v>
      </c>
      <c r="C8022" s="1" t="n">
        <v>45212</v>
      </c>
      <c r="D8022" t="inlineStr">
        <is>
          <t>VÄSTRA GÖTALANDS LÄN</t>
        </is>
      </c>
      <c r="E8022" t="inlineStr">
        <is>
          <t>ÅMÅL</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7030-2022</t>
        </is>
      </c>
      <c r="B8023" s="1" t="n">
        <v>44603</v>
      </c>
      <c r="C8023" s="1" t="n">
        <v>45212</v>
      </c>
      <c r="D8023" t="inlineStr">
        <is>
          <t>VÄSTRA GÖTALANDS LÄN</t>
        </is>
      </c>
      <c r="E8023" t="inlineStr">
        <is>
          <t>ALINGSÅS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7050-2022</t>
        </is>
      </c>
      <c r="B8024" s="1" t="n">
        <v>44603</v>
      </c>
      <c r="C8024" s="1" t="n">
        <v>45212</v>
      </c>
      <c r="D8024" t="inlineStr">
        <is>
          <t>VÄSTRA GÖTALANDS LÄN</t>
        </is>
      </c>
      <c r="E8024" t="inlineStr">
        <is>
          <t>MARK</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6962-2022</t>
        </is>
      </c>
      <c r="B8025" s="1" t="n">
        <v>44603</v>
      </c>
      <c r="C8025" s="1" t="n">
        <v>45212</v>
      </c>
      <c r="D8025" t="inlineStr">
        <is>
          <t>VÄSTRA GÖTALANDS LÄN</t>
        </is>
      </c>
      <c r="E8025" t="inlineStr">
        <is>
          <t>FALKÖPING</t>
        </is>
      </c>
      <c r="G8025" t="n">
        <v>4.1</v>
      </c>
      <c r="H8025" t="n">
        <v>0</v>
      </c>
      <c r="I8025" t="n">
        <v>0</v>
      </c>
      <c r="J8025" t="n">
        <v>0</v>
      </c>
      <c r="K8025" t="n">
        <v>0</v>
      </c>
      <c r="L8025" t="n">
        <v>0</v>
      </c>
      <c r="M8025" t="n">
        <v>0</v>
      </c>
      <c r="N8025" t="n">
        <v>0</v>
      </c>
      <c r="O8025" t="n">
        <v>0</v>
      </c>
      <c r="P8025" t="n">
        <v>0</v>
      </c>
      <c r="Q8025" t="n">
        <v>0</v>
      </c>
      <c r="R8025" s="2" t="inlineStr"/>
    </row>
    <row r="8026" ht="15" customHeight="1">
      <c r="A8026" t="inlineStr">
        <is>
          <t>A 7064-2022</t>
        </is>
      </c>
      <c r="B8026" s="1" t="n">
        <v>44603</v>
      </c>
      <c r="C8026" s="1" t="n">
        <v>45212</v>
      </c>
      <c r="D8026" t="inlineStr">
        <is>
          <t>VÄSTRA GÖTALANDS LÄN</t>
        </is>
      </c>
      <c r="E8026" t="inlineStr">
        <is>
          <t>BENGTSFORS</t>
        </is>
      </c>
      <c r="F8026" t="inlineStr">
        <is>
          <t>Kyrkan</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7136-2022</t>
        </is>
      </c>
      <c r="B8027" s="1" t="n">
        <v>44603</v>
      </c>
      <c r="C8027" s="1" t="n">
        <v>45212</v>
      </c>
      <c r="D8027" t="inlineStr">
        <is>
          <t>VÄSTRA GÖTALANDS LÄN</t>
        </is>
      </c>
      <c r="E8027" t="inlineStr">
        <is>
          <t>STRÖMSTAD</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7322-2022</t>
        </is>
      </c>
      <c r="B8028" s="1" t="n">
        <v>44606</v>
      </c>
      <c r="C8028" s="1" t="n">
        <v>45212</v>
      </c>
      <c r="D8028" t="inlineStr">
        <is>
          <t>VÄSTRA GÖTALANDS LÄN</t>
        </is>
      </c>
      <c r="E8028" t="inlineStr">
        <is>
          <t>BORÅS</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7427-2022</t>
        </is>
      </c>
      <c r="B8029" s="1" t="n">
        <v>44606</v>
      </c>
      <c r="C8029" s="1" t="n">
        <v>45212</v>
      </c>
      <c r="D8029" t="inlineStr">
        <is>
          <t>VÄSTRA GÖTALANDS LÄN</t>
        </is>
      </c>
      <c r="E8029" t="inlineStr">
        <is>
          <t>VÄNERSBORG</t>
        </is>
      </c>
      <c r="G8029" t="n">
        <v>2.2</v>
      </c>
      <c r="H8029" t="n">
        <v>0</v>
      </c>
      <c r="I8029" t="n">
        <v>0</v>
      </c>
      <c r="J8029" t="n">
        <v>0</v>
      </c>
      <c r="K8029" t="n">
        <v>0</v>
      </c>
      <c r="L8029" t="n">
        <v>0</v>
      </c>
      <c r="M8029" t="n">
        <v>0</v>
      </c>
      <c r="N8029" t="n">
        <v>0</v>
      </c>
      <c r="O8029" t="n">
        <v>0</v>
      </c>
      <c r="P8029" t="n">
        <v>0</v>
      </c>
      <c r="Q8029" t="n">
        <v>0</v>
      </c>
      <c r="R8029" s="2" t="inlineStr"/>
    </row>
    <row r="8030" ht="15" customHeight="1">
      <c r="A8030" t="inlineStr">
        <is>
          <t>A 7450-2022</t>
        </is>
      </c>
      <c r="B8030" s="1" t="n">
        <v>44606</v>
      </c>
      <c r="C8030" s="1" t="n">
        <v>45212</v>
      </c>
      <c r="D8030" t="inlineStr">
        <is>
          <t>VÄSTRA GÖTALANDS LÄN</t>
        </is>
      </c>
      <c r="E8030" t="inlineStr">
        <is>
          <t>MUNKEDAL</t>
        </is>
      </c>
      <c r="F8030" t="inlineStr">
        <is>
          <t>Övriga Aktiebolag</t>
        </is>
      </c>
      <c r="G8030" t="n">
        <v>5.8</v>
      </c>
      <c r="H8030" t="n">
        <v>0</v>
      </c>
      <c r="I8030" t="n">
        <v>0</v>
      </c>
      <c r="J8030" t="n">
        <v>0</v>
      </c>
      <c r="K8030" t="n">
        <v>0</v>
      </c>
      <c r="L8030" t="n">
        <v>0</v>
      </c>
      <c r="M8030" t="n">
        <v>0</v>
      </c>
      <c r="N8030" t="n">
        <v>0</v>
      </c>
      <c r="O8030" t="n">
        <v>0</v>
      </c>
      <c r="P8030" t="n">
        <v>0</v>
      </c>
      <c r="Q8030" t="n">
        <v>0</v>
      </c>
      <c r="R8030" s="2" t="inlineStr"/>
    </row>
    <row r="8031" ht="15" customHeight="1">
      <c r="A8031" t="inlineStr">
        <is>
          <t>A 7212-2022</t>
        </is>
      </c>
      <c r="B8031" s="1" t="n">
        <v>44606</v>
      </c>
      <c r="C8031" s="1" t="n">
        <v>45212</v>
      </c>
      <c r="D8031" t="inlineStr">
        <is>
          <t>VÄSTRA GÖTALANDS LÄN</t>
        </is>
      </c>
      <c r="E8031" t="inlineStr">
        <is>
          <t>MARK</t>
        </is>
      </c>
      <c r="F8031" t="inlineStr">
        <is>
          <t>Sveaskog</t>
        </is>
      </c>
      <c r="G8031" t="n">
        <v>1.6</v>
      </c>
      <c r="H8031" t="n">
        <v>0</v>
      </c>
      <c r="I8031" t="n">
        <v>0</v>
      </c>
      <c r="J8031" t="n">
        <v>0</v>
      </c>
      <c r="K8031" t="n">
        <v>0</v>
      </c>
      <c r="L8031" t="n">
        <v>0</v>
      </c>
      <c r="M8031" t="n">
        <v>0</v>
      </c>
      <c r="N8031" t="n">
        <v>0</v>
      </c>
      <c r="O8031" t="n">
        <v>0</v>
      </c>
      <c r="P8031" t="n">
        <v>0</v>
      </c>
      <c r="Q8031" t="n">
        <v>0</v>
      </c>
      <c r="R8031" s="2" t="inlineStr"/>
    </row>
    <row r="8032" ht="15" customHeight="1">
      <c r="A8032" t="inlineStr">
        <is>
          <t>A 7352-2022</t>
        </is>
      </c>
      <c r="B8032" s="1" t="n">
        <v>44606</v>
      </c>
      <c r="C8032" s="1" t="n">
        <v>45212</v>
      </c>
      <c r="D8032" t="inlineStr">
        <is>
          <t>VÄSTRA GÖTALANDS LÄN</t>
        </is>
      </c>
      <c r="E8032" t="inlineStr">
        <is>
          <t>TANUM</t>
        </is>
      </c>
      <c r="G8032" t="n">
        <v>5.9</v>
      </c>
      <c r="H8032" t="n">
        <v>0</v>
      </c>
      <c r="I8032" t="n">
        <v>0</v>
      </c>
      <c r="J8032" t="n">
        <v>0</v>
      </c>
      <c r="K8032" t="n">
        <v>0</v>
      </c>
      <c r="L8032" t="n">
        <v>0</v>
      </c>
      <c r="M8032" t="n">
        <v>0</v>
      </c>
      <c r="N8032" t="n">
        <v>0</v>
      </c>
      <c r="O8032" t="n">
        <v>0</v>
      </c>
      <c r="P8032" t="n">
        <v>0</v>
      </c>
      <c r="Q8032" t="n">
        <v>0</v>
      </c>
      <c r="R8032" s="2" t="inlineStr"/>
    </row>
    <row r="8033" ht="15" customHeight="1">
      <c r="A8033" t="inlineStr">
        <is>
          <t>A 7611-2022</t>
        </is>
      </c>
      <c r="B8033" s="1" t="n">
        <v>44606</v>
      </c>
      <c r="C8033" s="1" t="n">
        <v>45212</v>
      </c>
      <c r="D8033" t="inlineStr">
        <is>
          <t>VÄSTRA GÖTALANDS LÄN</t>
        </is>
      </c>
      <c r="E8033" t="inlineStr">
        <is>
          <t>VÄNERSBORG</t>
        </is>
      </c>
      <c r="G8033" t="n">
        <v>2.5</v>
      </c>
      <c r="H8033" t="n">
        <v>0</v>
      </c>
      <c r="I8033" t="n">
        <v>0</v>
      </c>
      <c r="J8033" t="n">
        <v>0</v>
      </c>
      <c r="K8033" t="n">
        <v>0</v>
      </c>
      <c r="L8033" t="n">
        <v>0</v>
      </c>
      <c r="M8033" t="n">
        <v>0</v>
      </c>
      <c r="N8033" t="n">
        <v>0</v>
      </c>
      <c r="O8033" t="n">
        <v>0</v>
      </c>
      <c r="P8033" t="n">
        <v>0</v>
      </c>
      <c r="Q8033" t="n">
        <v>0</v>
      </c>
      <c r="R8033" s="2" t="inlineStr"/>
    </row>
    <row r="8034" ht="15" customHeight="1">
      <c r="A8034" t="inlineStr">
        <is>
          <t>A 7329-2022</t>
        </is>
      </c>
      <c r="B8034" s="1" t="n">
        <v>44606</v>
      </c>
      <c r="C8034" s="1" t="n">
        <v>45212</v>
      </c>
      <c r="D8034" t="inlineStr">
        <is>
          <t>VÄSTRA GÖTALANDS LÄN</t>
        </is>
      </c>
      <c r="E8034" t="inlineStr">
        <is>
          <t>STRÖMSTAD</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7389-2022</t>
        </is>
      </c>
      <c r="B8035" s="1" t="n">
        <v>44606</v>
      </c>
      <c r="C8035" s="1" t="n">
        <v>45212</v>
      </c>
      <c r="D8035" t="inlineStr">
        <is>
          <t>VÄSTRA GÖTALANDS LÄN</t>
        </is>
      </c>
      <c r="E8035" t="inlineStr">
        <is>
          <t>MUNKEDAL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7605-2022</t>
        </is>
      </c>
      <c r="B8036" s="1" t="n">
        <v>44606</v>
      </c>
      <c r="C8036" s="1" t="n">
        <v>45212</v>
      </c>
      <c r="D8036" t="inlineStr">
        <is>
          <t>VÄSTRA GÖTALANDS LÄN</t>
        </is>
      </c>
      <c r="E8036" t="inlineStr">
        <is>
          <t>VÄNERSBORG</t>
        </is>
      </c>
      <c r="G8036" t="n">
        <v>7.1</v>
      </c>
      <c r="H8036" t="n">
        <v>0</v>
      </c>
      <c r="I8036" t="n">
        <v>0</v>
      </c>
      <c r="J8036" t="n">
        <v>0</v>
      </c>
      <c r="K8036" t="n">
        <v>0</v>
      </c>
      <c r="L8036" t="n">
        <v>0</v>
      </c>
      <c r="M8036" t="n">
        <v>0</v>
      </c>
      <c r="N8036" t="n">
        <v>0</v>
      </c>
      <c r="O8036" t="n">
        <v>0</v>
      </c>
      <c r="P8036" t="n">
        <v>0</v>
      </c>
      <c r="Q8036" t="n">
        <v>0</v>
      </c>
      <c r="R8036" s="2" t="inlineStr"/>
    </row>
    <row r="8037" ht="15" customHeight="1">
      <c r="A8037" t="inlineStr">
        <is>
          <t>A 7531-2022</t>
        </is>
      </c>
      <c r="B8037" s="1" t="n">
        <v>44607</v>
      </c>
      <c r="C8037" s="1" t="n">
        <v>45212</v>
      </c>
      <c r="D8037" t="inlineStr">
        <is>
          <t>VÄSTRA GÖTALANDS LÄN</t>
        </is>
      </c>
      <c r="E8037" t="inlineStr">
        <is>
          <t>VÅRGÅRDA</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7714-2022</t>
        </is>
      </c>
      <c r="B8038" s="1" t="n">
        <v>44607</v>
      </c>
      <c r="C8038" s="1" t="n">
        <v>45212</v>
      </c>
      <c r="D8038" t="inlineStr">
        <is>
          <t>VÄSTRA GÖTALANDS LÄN</t>
        </is>
      </c>
      <c r="E8038" t="inlineStr">
        <is>
          <t>ULRICEHAMN</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7628-2022</t>
        </is>
      </c>
      <c r="B8039" s="1" t="n">
        <v>44607</v>
      </c>
      <c r="C8039" s="1" t="n">
        <v>45212</v>
      </c>
      <c r="D8039" t="inlineStr">
        <is>
          <t>VÄSTRA GÖTALANDS LÄN</t>
        </is>
      </c>
      <c r="E8039" t="inlineStr">
        <is>
          <t>TROLLHÄTTAN</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7853-2022</t>
        </is>
      </c>
      <c r="B8040" s="1" t="n">
        <v>44608</v>
      </c>
      <c r="C8040" s="1" t="n">
        <v>45212</v>
      </c>
      <c r="D8040" t="inlineStr">
        <is>
          <t>VÄSTRA GÖTALANDS LÄN</t>
        </is>
      </c>
      <c r="E8040" t="inlineStr">
        <is>
          <t>MUNKEDAL</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7933-2022</t>
        </is>
      </c>
      <c r="B8041" s="1" t="n">
        <v>44608</v>
      </c>
      <c r="C8041" s="1" t="n">
        <v>45212</v>
      </c>
      <c r="D8041" t="inlineStr">
        <is>
          <t>VÄSTRA GÖTALANDS LÄN</t>
        </is>
      </c>
      <c r="E8041" t="inlineStr">
        <is>
          <t>DALS-ED</t>
        </is>
      </c>
      <c r="G8041" t="n">
        <v>5.2</v>
      </c>
      <c r="H8041" t="n">
        <v>0</v>
      </c>
      <c r="I8041" t="n">
        <v>0</v>
      </c>
      <c r="J8041" t="n">
        <v>0</v>
      </c>
      <c r="K8041" t="n">
        <v>0</v>
      </c>
      <c r="L8041" t="n">
        <v>0</v>
      </c>
      <c r="M8041" t="n">
        <v>0</v>
      </c>
      <c r="N8041" t="n">
        <v>0</v>
      </c>
      <c r="O8041" t="n">
        <v>0</v>
      </c>
      <c r="P8041" t="n">
        <v>0</v>
      </c>
      <c r="Q8041" t="n">
        <v>0</v>
      </c>
      <c r="R8041" s="2" t="inlineStr"/>
    </row>
    <row r="8042" ht="15" customHeight="1">
      <c r="A8042" t="inlineStr">
        <is>
          <t>A 8028-2022</t>
        </is>
      </c>
      <c r="B8042" s="1" t="n">
        <v>44608</v>
      </c>
      <c r="C8042" s="1" t="n">
        <v>45212</v>
      </c>
      <c r="D8042" t="inlineStr">
        <is>
          <t>VÄSTRA GÖTALANDS LÄN</t>
        </is>
      </c>
      <c r="E8042" t="inlineStr">
        <is>
          <t>HERRLJUNGA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7787-2022</t>
        </is>
      </c>
      <c r="B8043" s="1" t="n">
        <v>44608</v>
      </c>
      <c r="C8043" s="1" t="n">
        <v>45212</v>
      </c>
      <c r="D8043" t="inlineStr">
        <is>
          <t>VÄSTRA GÖTALANDS LÄN</t>
        </is>
      </c>
      <c r="E8043" t="inlineStr">
        <is>
          <t>STENUNGSUND</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7867-2022</t>
        </is>
      </c>
      <c r="B8044" s="1" t="n">
        <v>44608</v>
      </c>
      <c r="C8044" s="1" t="n">
        <v>45212</v>
      </c>
      <c r="D8044" t="inlineStr">
        <is>
          <t>VÄSTRA GÖTALANDS LÄN</t>
        </is>
      </c>
      <c r="E8044" t="inlineStr">
        <is>
          <t>BENGTSFORS</t>
        </is>
      </c>
      <c r="G8044" t="n">
        <v>9.199999999999999</v>
      </c>
      <c r="H8044" t="n">
        <v>0</v>
      </c>
      <c r="I8044" t="n">
        <v>0</v>
      </c>
      <c r="J8044" t="n">
        <v>0</v>
      </c>
      <c r="K8044" t="n">
        <v>0</v>
      </c>
      <c r="L8044" t="n">
        <v>0</v>
      </c>
      <c r="M8044" t="n">
        <v>0</v>
      </c>
      <c r="N8044" t="n">
        <v>0</v>
      </c>
      <c r="O8044" t="n">
        <v>0</v>
      </c>
      <c r="P8044" t="n">
        <v>0</v>
      </c>
      <c r="Q8044" t="n">
        <v>0</v>
      </c>
      <c r="R8044" s="2" t="inlineStr"/>
    </row>
    <row r="8045" ht="15" customHeight="1">
      <c r="A8045" t="inlineStr">
        <is>
          <t>A 7734-2022</t>
        </is>
      </c>
      <c r="B8045" s="1" t="n">
        <v>44608</v>
      </c>
      <c r="C8045" s="1" t="n">
        <v>45212</v>
      </c>
      <c r="D8045" t="inlineStr">
        <is>
          <t>VÄSTRA GÖTALANDS LÄN</t>
        </is>
      </c>
      <c r="E8045" t="inlineStr">
        <is>
          <t>VÅRGÅRDA</t>
        </is>
      </c>
      <c r="G8045" t="n">
        <v>2.7</v>
      </c>
      <c r="H8045" t="n">
        <v>0</v>
      </c>
      <c r="I8045" t="n">
        <v>0</v>
      </c>
      <c r="J8045" t="n">
        <v>0</v>
      </c>
      <c r="K8045" t="n">
        <v>0</v>
      </c>
      <c r="L8045" t="n">
        <v>0</v>
      </c>
      <c r="M8045" t="n">
        <v>0</v>
      </c>
      <c r="N8045" t="n">
        <v>0</v>
      </c>
      <c r="O8045" t="n">
        <v>0</v>
      </c>
      <c r="P8045" t="n">
        <v>0</v>
      </c>
      <c r="Q8045" t="n">
        <v>0</v>
      </c>
      <c r="R8045" s="2" t="inlineStr"/>
    </row>
    <row r="8046" ht="15" customHeight="1">
      <c r="A8046" t="inlineStr">
        <is>
          <t>A 7786-2022</t>
        </is>
      </c>
      <c r="B8046" s="1" t="n">
        <v>44608</v>
      </c>
      <c r="C8046" s="1" t="n">
        <v>45212</v>
      </c>
      <c r="D8046" t="inlineStr">
        <is>
          <t>VÄSTRA GÖTALANDS LÄN</t>
        </is>
      </c>
      <c r="E8046" t="inlineStr">
        <is>
          <t>HJO</t>
        </is>
      </c>
      <c r="G8046" t="n">
        <v>0.1</v>
      </c>
      <c r="H8046" t="n">
        <v>0</v>
      </c>
      <c r="I8046" t="n">
        <v>0</v>
      </c>
      <c r="J8046" t="n">
        <v>0</v>
      </c>
      <c r="K8046" t="n">
        <v>0</v>
      </c>
      <c r="L8046" t="n">
        <v>0</v>
      </c>
      <c r="M8046" t="n">
        <v>0</v>
      </c>
      <c r="N8046" t="n">
        <v>0</v>
      </c>
      <c r="O8046" t="n">
        <v>0</v>
      </c>
      <c r="P8046" t="n">
        <v>0</v>
      </c>
      <c r="Q8046" t="n">
        <v>0</v>
      </c>
      <c r="R8046" s="2" t="inlineStr"/>
    </row>
    <row r="8047" ht="15" customHeight="1">
      <c r="A8047" t="inlineStr">
        <is>
          <t>A 7844-2022</t>
        </is>
      </c>
      <c r="B8047" s="1" t="n">
        <v>44608</v>
      </c>
      <c r="C8047" s="1" t="n">
        <v>45212</v>
      </c>
      <c r="D8047" t="inlineStr">
        <is>
          <t>VÄSTRA GÖTALANDS LÄN</t>
        </is>
      </c>
      <c r="E8047" t="inlineStr">
        <is>
          <t>MUNKEDAL</t>
        </is>
      </c>
      <c r="G8047" t="n">
        <v>15.4</v>
      </c>
      <c r="H8047" t="n">
        <v>0</v>
      </c>
      <c r="I8047" t="n">
        <v>0</v>
      </c>
      <c r="J8047" t="n">
        <v>0</v>
      </c>
      <c r="K8047" t="n">
        <v>0</v>
      </c>
      <c r="L8047" t="n">
        <v>0</v>
      </c>
      <c r="M8047" t="n">
        <v>0</v>
      </c>
      <c r="N8047" t="n">
        <v>0</v>
      </c>
      <c r="O8047" t="n">
        <v>0</v>
      </c>
      <c r="P8047" t="n">
        <v>0</v>
      </c>
      <c r="Q8047" t="n">
        <v>0</v>
      </c>
      <c r="R8047" s="2" t="inlineStr"/>
    </row>
    <row r="8048" ht="15" customHeight="1">
      <c r="A8048" t="inlineStr">
        <is>
          <t>A 8074-2022</t>
        </is>
      </c>
      <c r="B8048" s="1" t="n">
        <v>44609</v>
      </c>
      <c r="C8048" s="1" t="n">
        <v>45212</v>
      </c>
      <c r="D8048" t="inlineStr">
        <is>
          <t>VÄSTRA GÖTALANDS LÄN</t>
        </is>
      </c>
      <c r="E8048" t="inlineStr">
        <is>
          <t>FÄRGELANDA</t>
        </is>
      </c>
      <c r="F8048" t="inlineStr">
        <is>
          <t>Övriga Aktiebolag</t>
        </is>
      </c>
      <c r="G8048" t="n">
        <v>13.5</v>
      </c>
      <c r="H8048" t="n">
        <v>0</v>
      </c>
      <c r="I8048" t="n">
        <v>0</v>
      </c>
      <c r="J8048" t="n">
        <v>0</v>
      </c>
      <c r="K8048" t="n">
        <v>0</v>
      </c>
      <c r="L8048" t="n">
        <v>0</v>
      </c>
      <c r="M8048" t="n">
        <v>0</v>
      </c>
      <c r="N8048" t="n">
        <v>0</v>
      </c>
      <c r="O8048" t="n">
        <v>0</v>
      </c>
      <c r="P8048" t="n">
        <v>0</v>
      </c>
      <c r="Q8048" t="n">
        <v>0</v>
      </c>
      <c r="R8048" s="2" t="inlineStr"/>
    </row>
    <row r="8049" ht="15" customHeight="1">
      <c r="A8049" t="inlineStr">
        <is>
          <t>A 8093-2022</t>
        </is>
      </c>
      <c r="B8049" s="1" t="n">
        <v>44609</v>
      </c>
      <c r="C8049" s="1" t="n">
        <v>45212</v>
      </c>
      <c r="D8049" t="inlineStr">
        <is>
          <t>VÄSTRA GÖTALANDS LÄN</t>
        </is>
      </c>
      <c r="E8049" t="inlineStr">
        <is>
          <t>MARK</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8185-2022</t>
        </is>
      </c>
      <c r="B8050" s="1" t="n">
        <v>44609</v>
      </c>
      <c r="C8050" s="1" t="n">
        <v>45212</v>
      </c>
      <c r="D8050" t="inlineStr">
        <is>
          <t>VÄSTRA GÖTALANDS LÄN</t>
        </is>
      </c>
      <c r="E8050" t="inlineStr">
        <is>
          <t>MUNKEDAL</t>
        </is>
      </c>
      <c r="G8050" t="n">
        <v>3.1</v>
      </c>
      <c r="H8050" t="n">
        <v>0</v>
      </c>
      <c r="I8050" t="n">
        <v>0</v>
      </c>
      <c r="J8050" t="n">
        <v>0</v>
      </c>
      <c r="K8050" t="n">
        <v>0</v>
      </c>
      <c r="L8050" t="n">
        <v>0</v>
      </c>
      <c r="M8050" t="n">
        <v>0</v>
      </c>
      <c r="N8050" t="n">
        <v>0</v>
      </c>
      <c r="O8050" t="n">
        <v>0</v>
      </c>
      <c r="P8050" t="n">
        <v>0</v>
      </c>
      <c r="Q8050" t="n">
        <v>0</v>
      </c>
      <c r="R8050" s="2" t="inlineStr"/>
    </row>
    <row r="8051" ht="15" customHeight="1">
      <c r="A8051" t="inlineStr">
        <is>
          <t>A 8240-2022</t>
        </is>
      </c>
      <c r="B8051" s="1" t="n">
        <v>44609</v>
      </c>
      <c r="C8051" s="1" t="n">
        <v>45212</v>
      </c>
      <c r="D8051" t="inlineStr">
        <is>
          <t>VÄSTRA GÖTALANDS LÄN</t>
        </is>
      </c>
      <c r="E8051" t="inlineStr">
        <is>
          <t>BORÅS</t>
        </is>
      </c>
      <c r="G8051" t="n">
        <v>0.1</v>
      </c>
      <c r="H8051" t="n">
        <v>0</v>
      </c>
      <c r="I8051" t="n">
        <v>0</v>
      </c>
      <c r="J8051" t="n">
        <v>0</v>
      </c>
      <c r="K8051" t="n">
        <v>0</v>
      </c>
      <c r="L8051" t="n">
        <v>0</v>
      </c>
      <c r="M8051" t="n">
        <v>0</v>
      </c>
      <c r="N8051" t="n">
        <v>0</v>
      </c>
      <c r="O8051" t="n">
        <v>0</v>
      </c>
      <c r="P8051" t="n">
        <v>0</v>
      </c>
      <c r="Q8051" t="n">
        <v>0</v>
      </c>
      <c r="R8051" s="2" t="inlineStr"/>
    </row>
    <row r="8052" ht="15" customHeight="1">
      <c r="A8052" t="inlineStr">
        <is>
          <t>A 7998-2022</t>
        </is>
      </c>
      <c r="B8052" s="1" t="n">
        <v>44609</v>
      </c>
      <c r="C8052" s="1" t="n">
        <v>45212</v>
      </c>
      <c r="D8052" t="inlineStr">
        <is>
          <t>VÄSTRA GÖTALANDS LÄN</t>
        </is>
      </c>
      <c r="E8052" t="inlineStr">
        <is>
          <t>ORUST</t>
        </is>
      </c>
      <c r="G8052" t="n">
        <v>24.2</v>
      </c>
      <c r="H8052" t="n">
        <v>0</v>
      </c>
      <c r="I8052" t="n">
        <v>0</v>
      </c>
      <c r="J8052" t="n">
        <v>0</v>
      </c>
      <c r="K8052" t="n">
        <v>0</v>
      </c>
      <c r="L8052" t="n">
        <v>0</v>
      </c>
      <c r="M8052" t="n">
        <v>0</v>
      </c>
      <c r="N8052" t="n">
        <v>0</v>
      </c>
      <c r="O8052" t="n">
        <v>0</v>
      </c>
      <c r="P8052" t="n">
        <v>0</v>
      </c>
      <c r="Q8052" t="n">
        <v>0</v>
      </c>
      <c r="R8052" s="2" t="inlineStr"/>
    </row>
    <row r="8053" ht="15" customHeight="1">
      <c r="A8053" t="inlineStr">
        <is>
          <t>A 8218-2022</t>
        </is>
      </c>
      <c r="B8053" s="1" t="n">
        <v>44609</v>
      </c>
      <c r="C8053" s="1" t="n">
        <v>45212</v>
      </c>
      <c r="D8053" t="inlineStr">
        <is>
          <t>VÄSTRA GÖTALANDS LÄN</t>
        </is>
      </c>
      <c r="E8053" t="inlineStr">
        <is>
          <t>MUNKEDAL</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7977-2022</t>
        </is>
      </c>
      <c r="B8054" s="1" t="n">
        <v>44609</v>
      </c>
      <c r="C8054" s="1" t="n">
        <v>45212</v>
      </c>
      <c r="D8054" t="inlineStr">
        <is>
          <t>VÄSTRA GÖTALANDS LÄN</t>
        </is>
      </c>
      <c r="E8054" t="inlineStr">
        <is>
          <t>ÅMÅL</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8147-2022</t>
        </is>
      </c>
      <c r="B8055" s="1" t="n">
        <v>44609</v>
      </c>
      <c r="C8055" s="1" t="n">
        <v>45212</v>
      </c>
      <c r="D8055" t="inlineStr">
        <is>
          <t>VÄSTRA GÖTALANDS LÄN</t>
        </is>
      </c>
      <c r="E8055" t="inlineStr">
        <is>
          <t>ULRICEHAMN</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8170-2022</t>
        </is>
      </c>
      <c r="B8056" s="1" t="n">
        <v>44609</v>
      </c>
      <c r="C8056" s="1" t="n">
        <v>45212</v>
      </c>
      <c r="D8056" t="inlineStr">
        <is>
          <t>VÄSTRA GÖTALANDS LÄN</t>
        </is>
      </c>
      <c r="E8056" t="inlineStr">
        <is>
          <t>ULRICEHAMN</t>
        </is>
      </c>
      <c r="G8056" t="n">
        <v>0.3</v>
      </c>
      <c r="H8056" t="n">
        <v>0</v>
      </c>
      <c r="I8056" t="n">
        <v>0</v>
      </c>
      <c r="J8056" t="n">
        <v>0</v>
      </c>
      <c r="K8056" t="n">
        <v>0</v>
      </c>
      <c r="L8056" t="n">
        <v>0</v>
      </c>
      <c r="M8056" t="n">
        <v>0</v>
      </c>
      <c r="N8056" t="n">
        <v>0</v>
      </c>
      <c r="O8056" t="n">
        <v>0</v>
      </c>
      <c r="P8056" t="n">
        <v>0</v>
      </c>
      <c r="Q8056" t="n">
        <v>0</v>
      </c>
      <c r="R8056" s="2" t="inlineStr"/>
    </row>
    <row r="8057" ht="15" customHeight="1">
      <c r="A8057" t="inlineStr">
        <is>
          <t>A 8164-2022</t>
        </is>
      </c>
      <c r="B8057" s="1" t="n">
        <v>44609</v>
      </c>
      <c r="C8057" s="1" t="n">
        <v>45212</v>
      </c>
      <c r="D8057" t="inlineStr">
        <is>
          <t>VÄSTRA GÖTALANDS LÄN</t>
        </is>
      </c>
      <c r="E8057" t="inlineStr">
        <is>
          <t>FÄRGELANDA</t>
        </is>
      </c>
      <c r="F8057" t="inlineStr">
        <is>
          <t>Övriga Aktiebolag</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8373-2022</t>
        </is>
      </c>
      <c r="B8058" s="1" t="n">
        <v>44610</v>
      </c>
      <c r="C8058" s="1" t="n">
        <v>45212</v>
      </c>
      <c r="D8058" t="inlineStr">
        <is>
          <t>VÄSTRA GÖTALANDS LÄN</t>
        </is>
      </c>
      <c r="E8058" t="inlineStr">
        <is>
          <t>TIDAHOLM</t>
        </is>
      </c>
      <c r="G8058" t="n">
        <v>1.9</v>
      </c>
      <c r="H8058" t="n">
        <v>0</v>
      </c>
      <c r="I8058" t="n">
        <v>0</v>
      </c>
      <c r="J8058" t="n">
        <v>0</v>
      </c>
      <c r="K8058" t="n">
        <v>0</v>
      </c>
      <c r="L8058" t="n">
        <v>0</v>
      </c>
      <c r="M8058" t="n">
        <v>0</v>
      </c>
      <c r="N8058" t="n">
        <v>0</v>
      </c>
      <c r="O8058" t="n">
        <v>0</v>
      </c>
      <c r="P8058" t="n">
        <v>0</v>
      </c>
      <c r="Q8058" t="n">
        <v>0</v>
      </c>
      <c r="R8058" s="2" t="inlineStr"/>
    </row>
    <row r="8059" ht="15" customHeight="1">
      <c r="A8059" t="inlineStr">
        <is>
          <t>A 8278-2022</t>
        </is>
      </c>
      <c r="B8059" s="1" t="n">
        <v>44610</v>
      </c>
      <c r="C8059" s="1" t="n">
        <v>45212</v>
      </c>
      <c r="D8059" t="inlineStr">
        <is>
          <t>VÄSTRA GÖTALANDS LÄN</t>
        </is>
      </c>
      <c r="E8059" t="inlineStr">
        <is>
          <t>SVENLJUNGA</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8265-2022</t>
        </is>
      </c>
      <c r="B8060" s="1" t="n">
        <v>44610</v>
      </c>
      <c r="C8060" s="1" t="n">
        <v>45212</v>
      </c>
      <c r="D8060" t="inlineStr">
        <is>
          <t>VÄSTRA GÖTALANDS LÄN</t>
        </is>
      </c>
      <c r="E8060" t="inlineStr">
        <is>
          <t>MARIESTAD</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8286-2022</t>
        </is>
      </c>
      <c r="B8061" s="1" t="n">
        <v>44610</v>
      </c>
      <c r="C8061" s="1" t="n">
        <v>45212</v>
      </c>
      <c r="D8061" t="inlineStr">
        <is>
          <t>VÄSTRA GÖTALANDS LÄN</t>
        </is>
      </c>
      <c r="E8061" t="inlineStr">
        <is>
          <t>ORUST</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8345-2022</t>
        </is>
      </c>
      <c r="B8062" s="1" t="n">
        <v>44610</v>
      </c>
      <c r="C8062" s="1" t="n">
        <v>45212</v>
      </c>
      <c r="D8062" t="inlineStr">
        <is>
          <t>VÄSTRA GÖTALANDS LÄN</t>
        </is>
      </c>
      <c r="E8062" t="inlineStr">
        <is>
          <t>LERUM</t>
        </is>
      </c>
      <c r="G8062" t="n">
        <v>3.8</v>
      </c>
      <c r="H8062" t="n">
        <v>0</v>
      </c>
      <c r="I8062" t="n">
        <v>0</v>
      </c>
      <c r="J8062" t="n">
        <v>0</v>
      </c>
      <c r="K8062" t="n">
        <v>0</v>
      </c>
      <c r="L8062" t="n">
        <v>0</v>
      </c>
      <c r="M8062" t="n">
        <v>0</v>
      </c>
      <c r="N8062" t="n">
        <v>0</v>
      </c>
      <c r="O8062" t="n">
        <v>0</v>
      </c>
      <c r="P8062" t="n">
        <v>0</v>
      </c>
      <c r="Q8062" t="n">
        <v>0</v>
      </c>
      <c r="R8062" s="2" t="inlineStr"/>
    </row>
    <row r="8063" ht="15" customHeight="1">
      <c r="A8063" t="inlineStr">
        <is>
          <t>A 8502-2022</t>
        </is>
      </c>
      <c r="B8063" s="1" t="n">
        <v>44613</v>
      </c>
      <c r="C8063" s="1" t="n">
        <v>45212</v>
      </c>
      <c r="D8063" t="inlineStr">
        <is>
          <t>VÄSTRA GÖTALANDS LÄN</t>
        </is>
      </c>
      <c r="E8063" t="inlineStr">
        <is>
          <t>TIDAHOLM</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8584-2022</t>
        </is>
      </c>
      <c r="B8064" s="1" t="n">
        <v>44613</v>
      </c>
      <c r="C8064" s="1" t="n">
        <v>45212</v>
      </c>
      <c r="D8064" t="inlineStr">
        <is>
          <t>VÄSTRA GÖTALANDS LÄN</t>
        </is>
      </c>
      <c r="E8064" t="inlineStr">
        <is>
          <t>TANUM</t>
        </is>
      </c>
      <c r="G8064" t="n">
        <v>10.6</v>
      </c>
      <c r="H8064" t="n">
        <v>0</v>
      </c>
      <c r="I8064" t="n">
        <v>0</v>
      </c>
      <c r="J8064" t="n">
        <v>0</v>
      </c>
      <c r="K8064" t="n">
        <v>0</v>
      </c>
      <c r="L8064" t="n">
        <v>0</v>
      </c>
      <c r="M8064" t="n">
        <v>0</v>
      </c>
      <c r="N8064" t="n">
        <v>0</v>
      </c>
      <c r="O8064" t="n">
        <v>0</v>
      </c>
      <c r="P8064" t="n">
        <v>0</v>
      </c>
      <c r="Q8064" t="n">
        <v>0</v>
      </c>
      <c r="R8064" s="2" t="inlineStr"/>
    </row>
    <row r="8065" ht="15" customHeight="1">
      <c r="A8065" t="inlineStr">
        <is>
          <t>A 8654-2022</t>
        </is>
      </c>
      <c r="B8065" s="1" t="n">
        <v>44613</v>
      </c>
      <c r="C8065" s="1" t="n">
        <v>45212</v>
      </c>
      <c r="D8065" t="inlineStr">
        <is>
          <t>VÄSTRA GÖTALANDS LÄN</t>
        </is>
      </c>
      <c r="E8065" t="inlineStr">
        <is>
          <t>DALS-ED</t>
        </is>
      </c>
      <c r="G8065" t="n">
        <v>5.3</v>
      </c>
      <c r="H8065" t="n">
        <v>0</v>
      </c>
      <c r="I8065" t="n">
        <v>0</v>
      </c>
      <c r="J8065" t="n">
        <v>0</v>
      </c>
      <c r="K8065" t="n">
        <v>0</v>
      </c>
      <c r="L8065" t="n">
        <v>0</v>
      </c>
      <c r="M8065" t="n">
        <v>0</v>
      </c>
      <c r="N8065" t="n">
        <v>0</v>
      </c>
      <c r="O8065" t="n">
        <v>0</v>
      </c>
      <c r="P8065" t="n">
        <v>0</v>
      </c>
      <c r="Q8065" t="n">
        <v>0</v>
      </c>
      <c r="R8065" s="2" t="inlineStr"/>
    </row>
    <row r="8066" ht="15" customHeight="1">
      <c r="A8066" t="inlineStr">
        <is>
          <t>A 8702-2022</t>
        </is>
      </c>
      <c r="B8066" s="1" t="n">
        <v>44613</v>
      </c>
      <c r="C8066" s="1" t="n">
        <v>45212</v>
      </c>
      <c r="D8066" t="inlineStr">
        <is>
          <t>VÄSTRA GÖTALANDS LÄN</t>
        </is>
      </c>
      <c r="E8066" t="inlineStr">
        <is>
          <t>SVENLJUNGA</t>
        </is>
      </c>
      <c r="G8066" t="n">
        <v>1.1</v>
      </c>
      <c r="H8066" t="n">
        <v>0</v>
      </c>
      <c r="I8066" t="n">
        <v>0</v>
      </c>
      <c r="J8066" t="n">
        <v>0</v>
      </c>
      <c r="K8066" t="n">
        <v>0</v>
      </c>
      <c r="L8066" t="n">
        <v>0</v>
      </c>
      <c r="M8066" t="n">
        <v>0</v>
      </c>
      <c r="N8066" t="n">
        <v>0</v>
      </c>
      <c r="O8066" t="n">
        <v>0</v>
      </c>
      <c r="P8066" t="n">
        <v>0</v>
      </c>
      <c r="Q8066" t="n">
        <v>0</v>
      </c>
      <c r="R8066" s="2" t="inlineStr"/>
    </row>
    <row r="8067" ht="15" customHeight="1">
      <c r="A8067" t="inlineStr">
        <is>
          <t>A 8586-2022</t>
        </is>
      </c>
      <c r="B8067" s="1" t="n">
        <v>44613</v>
      </c>
      <c r="C8067" s="1" t="n">
        <v>45212</v>
      </c>
      <c r="D8067" t="inlineStr">
        <is>
          <t>VÄSTRA GÖTALANDS LÄN</t>
        </is>
      </c>
      <c r="E8067" t="inlineStr">
        <is>
          <t>TANUM</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8609-2022</t>
        </is>
      </c>
      <c r="B8068" s="1" t="n">
        <v>44613</v>
      </c>
      <c r="C8068" s="1" t="n">
        <v>45212</v>
      </c>
      <c r="D8068" t="inlineStr">
        <is>
          <t>VÄSTRA GÖTALANDS LÄN</t>
        </is>
      </c>
      <c r="E8068" t="inlineStr">
        <is>
          <t>ALE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8639-2022</t>
        </is>
      </c>
      <c r="B8069" s="1" t="n">
        <v>44613</v>
      </c>
      <c r="C8069" s="1" t="n">
        <v>45212</v>
      </c>
      <c r="D8069" t="inlineStr">
        <is>
          <t>VÄSTRA GÖTALANDS LÄN</t>
        </is>
      </c>
      <c r="E8069" t="inlineStr">
        <is>
          <t>BENGTSFORS</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8777-2022</t>
        </is>
      </c>
      <c r="B8070" s="1" t="n">
        <v>44614</v>
      </c>
      <c r="C8070" s="1" t="n">
        <v>45212</v>
      </c>
      <c r="D8070" t="inlineStr">
        <is>
          <t>VÄSTRA GÖTALANDS LÄN</t>
        </is>
      </c>
      <c r="E8070" t="inlineStr">
        <is>
          <t>ALINGSÅS</t>
        </is>
      </c>
      <c r="G8070" t="n">
        <v>4.8</v>
      </c>
      <c r="H8070" t="n">
        <v>0</v>
      </c>
      <c r="I8070" t="n">
        <v>0</v>
      </c>
      <c r="J8070" t="n">
        <v>0</v>
      </c>
      <c r="K8070" t="n">
        <v>0</v>
      </c>
      <c r="L8070" t="n">
        <v>0</v>
      </c>
      <c r="M8070" t="n">
        <v>0</v>
      </c>
      <c r="N8070" t="n">
        <v>0</v>
      </c>
      <c r="O8070" t="n">
        <v>0</v>
      </c>
      <c r="P8070" t="n">
        <v>0</v>
      </c>
      <c r="Q8070" t="n">
        <v>0</v>
      </c>
      <c r="R8070" s="2" t="inlineStr"/>
    </row>
    <row r="8071" ht="15" customHeight="1">
      <c r="A8071" t="inlineStr">
        <is>
          <t>A 8790-2022</t>
        </is>
      </c>
      <c r="B8071" s="1" t="n">
        <v>44614</v>
      </c>
      <c r="C8071" s="1" t="n">
        <v>45212</v>
      </c>
      <c r="D8071" t="inlineStr">
        <is>
          <t>VÄSTRA GÖTALANDS LÄN</t>
        </is>
      </c>
      <c r="E8071" t="inlineStr">
        <is>
          <t>LIDKÖPING</t>
        </is>
      </c>
      <c r="F8071" t="inlineStr">
        <is>
          <t>Kyrkan</t>
        </is>
      </c>
      <c r="G8071" t="n">
        <v>2.1</v>
      </c>
      <c r="H8071" t="n">
        <v>0</v>
      </c>
      <c r="I8071" t="n">
        <v>0</v>
      </c>
      <c r="J8071" t="n">
        <v>0</v>
      </c>
      <c r="K8071" t="n">
        <v>0</v>
      </c>
      <c r="L8071" t="n">
        <v>0</v>
      </c>
      <c r="M8071" t="n">
        <v>0</v>
      </c>
      <c r="N8071" t="n">
        <v>0</v>
      </c>
      <c r="O8071" t="n">
        <v>0</v>
      </c>
      <c r="P8071" t="n">
        <v>0</v>
      </c>
      <c r="Q8071" t="n">
        <v>0</v>
      </c>
      <c r="R8071" s="2" t="inlineStr"/>
    </row>
    <row r="8072" ht="15" customHeight="1">
      <c r="A8072" t="inlineStr">
        <is>
          <t>A 8814-2022</t>
        </is>
      </c>
      <c r="B8072" s="1" t="n">
        <v>44614</v>
      </c>
      <c r="C8072" s="1" t="n">
        <v>45212</v>
      </c>
      <c r="D8072" t="inlineStr">
        <is>
          <t>VÄSTRA GÖTALANDS LÄN</t>
        </is>
      </c>
      <c r="E8072" t="inlineStr">
        <is>
          <t>HJO</t>
        </is>
      </c>
      <c r="F8072" t="inlineStr">
        <is>
          <t>Kyrkan</t>
        </is>
      </c>
      <c r="G8072" t="n">
        <v>4.6</v>
      </c>
      <c r="H8072" t="n">
        <v>0</v>
      </c>
      <c r="I8072" t="n">
        <v>0</v>
      </c>
      <c r="J8072" t="n">
        <v>0</v>
      </c>
      <c r="K8072" t="n">
        <v>0</v>
      </c>
      <c r="L8072" t="n">
        <v>0</v>
      </c>
      <c r="M8072" t="n">
        <v>0</v>
      </c>
      <c r="N8072" t="n">
        <v>0</v>
      </c>
      <c r="O8072" t="n">
        <v>0</v>
      </c>
      <c r="P8072" t="n">
        <v>0</v>
      </c>
      <c r="Q8072" t="n">
        <v>0</v>
      </c>
      <c r="R8072" s="2" t="inlineStr"/>
    </row>
    <row r="8073" ht="15" customHeight="1">
      <c r="A8073" t="inlineStr">
        <is>
          <t>A 8830-2022</t>
        </is>
      </c>
      <c r="B8073" s="1" t="n">
        <v>44614</v>
      </c>
      <c r="C8073" s="1" t="n">
        <v>45212</v>
      </c>
      <c r="D8073" t="inlineStr">
        <is>
          <t>VÄSTRA GÖTALANDS LÄN</t>
        </is>
      </c>
      <c r="E8073" t="inlineStr">
        <is>
          <t>MARIESTAD</t>
        </is>
      </c>
      <c r="G8073" t="n">
        <v>6.6</v>
      </c>
      <c r="H8073" t="n">
        <v>0</v>
      </c>
      <c r="I8073" t="n">
        <v>0</v>
      </c>
      <c r="J8073" t="n">
        <v>0</v>
      </c>
      <c r="K8073" t="n">
        <v>0</v>
      </c>
      <c r="L8073" t="n">
        <v>0</v>
      </c>
      <c r="M8073" t="n">
        <v>0</v>
      </c>
      <c r="N8073" t="n">
        <v>0</v>
      </c>
      <c r="O8073" t="n">
        <v>0</v>
      </c>
      <c r="P8073" t="n">
        <v>0</v>
      </c>
      <c r="Q8073" t="n">
        <v>0</v>
      </c>
      <c r="R8073" s="2" t="inlineStr"/>
    </row>
    <row r="8074" ht="15" customHeight="1">
      <c r="A8074" t="inlineStr">
        <is>
          <t>A 8849-2022</t>
        </is>
      </c>
      <c r="B8074" s="1" t="n">
        <v>44614</v>
      </c>
      <c r="C8074" s="1" t="n">
        <v>45212</v>
      </c>
      <c r="D8074" t="inlineStr">
        <is>
          <t>VÄSTRA GÖTALANDS LÄN</t>
        </is>
      </c>
      <c r="E8074" t="inlineStr">
        <is>
          <t>MARIESTAD</t>
        </is>
      </c>
      <c r="F8074" t="inlineStr">
        <is>
          <t>Kyrkan</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8858-2022</t>
        </is>
      </c>
      <c r="B8075" s="1" t="n">
        <v>44614</v>
      </c>
      <c r="C8075" s="1" t="n">
        <v>45212</v>
      </c>
      <c r="D8075" t="inlineStr">
        <is>
          <t>VÄSTRA GÖTALANDS LÄN</t>
        </is>
      </c>
      <c r="E8075" t="inlineStr">
        <is>
          <t>TÖREBODA</t>
        </is>
      </c>
      <c r="F8075" t="inlineStr">
        <is>
          <t>Kyrkan</t>
        </is>
      </c>
      <c r="G8075" t="n">
        <v>13.5</v>
      </c>
      <c r="H8075" t="n">
        <v>0</v>
      </c>
      <c r="I8075" t="n">
        <v>0</v>
      </c>
      <c r="J8075" t="n">
        <v>0</v>
      </c>
      <c r="K8075" t="n">
        <v>0</v>
      </c>
      <c r="L8075" t="n">
        <v>0</v>
      </c>
      <c r="M8075" t="n">
        <v>0</v>
      </c>
      <c r="N8075" t="n">
        <v>0</v>
      </c>
      <c r="O8075" t="n">
        <v>0</v>
      </c>
      <c r="P8075" t="n">
        <v>0</v>
      </c>
      <c r="Q8075" t="n">
        <v>0</v>
      </c>
      <c r="R8075" s="2" t="inlineStr"/>
    </row>
    <row r="8076" ht="15" customHeight="1">
      <c r="A8076" t="inlineStr">
        <is>
          <t>A 8919-2022</t>
        </is>
      </c>
      <c r="B8076" s="1" t="n">
        <v>44614</v>
      </c>
      <c r="C8076" s="1" t="n">
        <v>45212</v>
      </c>
      <c r="D8076" t="inlineStr">
        <is>
          <t>VÄSTRA GÖTALANDS LÄN</t>
        </is>
      </c>
      <c r="E8076" t="inlineStr">
        <is>
          <t>TÖREBODA</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8924-2022</t>
        </is>
      </c>
      <c r="B8077" s="1" t="n">
        <v>44614</v>
      </c>
      <c r="C8077" s="1" t="n">
        <v>45212</v>
      </c>
      <c r="D8077" t="inlineStr">
        <is>
          <t>VÄSTRA GÖTALANDS LÄN</t>
        </is>
      </c>
      <c r="E8077" t="inlineStr">
        <is>
          <t>GULLSPÅNG</t>
        </is>
      </c>
      <c r="F8077" t="inlineStr">
        <is>
          <t>Kyrkan</t>
        </is>
      </c>
      <c r="G8077" t="n">
        <v>3.9</v>
      </c>
      <c r="H8077" t="n">
        <v>0</v>
      </c>
      <c r="I8077" t="n">
        <v>0</v>
      </c>
      <c r="J8077" t="n">
        <v>0</v>
      </c>
      <c r="K8077" t="n">
        <v>0</v>
      </c>
      <c r="L8077" t="n">
        <v>0</v>
      </c>
      <c r="M8077" t="n">
        <v>0</v>
      </c>
      <c r="N8077" t="n">
        <v>0</v>
      </c>
      <c r="O8077" t="n">
        <v>0</v>
      </c>
      <c r="P8077" t="n">
        <v>0</v>
      </c>
      <c r="Q8077" t="n">
        <v>0</v>
      </c>
      <c r="R8077" s="2" t="inlineStr"/>
    </row>
    <row r="8078" ht="15" customHeight="1">
      <c r="A8078" t="inlineStr">
        <is>
          <t>A 8807-2022</t>
        </is>
      </c>
      <c r="B8078" s="1" t="n">
        <v>44614</v>
      </c>
      <c r="C8078" s="1" t="n">
        <v>45212</v>
      </c>
      <c r="D8078" t="inlineStr">
        <is>
          <t>VÄSTRA GÖTALANDS LÄN</t>
        </is>
      </c>
      <c r="E8078" t="inlineStr">
        <is>
          <t>SKARA</t>
        </is>
      </c>
      <c r="F8078" t="inlineStr">
        <is>
          <t>Kyrkan</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8819-2022</t>
        </is>
      </c>
      <c r="B8079" s="1" t="n">
        <v>44614</v>
      </c>
      <c r="C8079" s="1" t="n">
        <v>45212</v>
      </c>
      <c r="D8079" t="inlineStr">
        <is>
          <t>VÄSTRA GÖTALANDS LÄN</t>
        </is>
      </c>
      <c r="E8079" t="inlineStr">
        <is>
          <t>SKÖVDE</t>
        </is>
      </c>
      <c r="F8079" t="inlineStr">
        <is>
          <t>Kyrkan</t>
        </is>
      </c>
      <c r="G8079" t="n">
        <v>1</v>
      </c>
      <c r="H8079" t="n">
        <v>0</v>
      </c>
      <c r="I8079" t="n">
        <v>0</v>
      </c>
      <c r="J8079" t="n">
        <v>0</v>
      </c>
      <c r="K8079" t="n">
        <v>0</v>
      </c>
      <c r="L8079" t="n">
        <v>0</v>
      </c>
      <c r="M8079" t="n">
        <v>0</v>
      </c>
      <c r="N8079" t="n">
        <v>0</v>
      </c>
      <c r="O8079" t="n">
        <v>0</v>
      </c>
      <c r="P8079" t="n">
        <v>0</v>
      </c>
      <c r="Q8079" t="n">
        <v>0</v>
      </c>
      <c r="R8079" s="2" t="inlineStr"/>
    </row>
    <row r="8080" ht="15" customHeight="1">
      <c r="A8080" t="inlineStr">
        <is>
          <t>A 8839-2022</t>
        </is>
      </c>
      <c r="B8080" s="1" t="n">
        <v>44614</v>
      </c>
      <c r="C8080" s="1" t="n">
        <v>45212</v>
      </c>
      <c r="D8080" t="inlineStr">
        <is>
          <t>VÄSTRA GÖTALANDS LÄN</t>
        </is>
      </c>
      <c r="E8080" t="inlineStr">
        <is>
          <t>TÖREBODA</t>
        </is>
      </c>
      <c r="F8080" t="inlineStr">
        <is>
          <t>Kyrkan</t>
        </is>
      </c>
      <c r="G8080" t="n">
        <v>5.4</v>
      </c>
      <c r="H8080" t="n">
        <v>0</v>
      </c>
      <c r="I8080" t="n">
        <v>0</v>
      </c>
      <c r="J8080" t="n">
        <v>0</v>
      </c>
      <c r="K8080" t="n">
        <v>0</v>
      </c>
      <c r="L8080" t="n">
        <v>0</v>
      </c>
      <c r="M8080" t="n">
        <v>0</v>
      </c>
      <c r="N8080" t="n">
        <v>0</v>
      </c>
      <c r="O8080" t="n">
        <v>0</v>
      </c>
      <c r="P8080" t="n">
        <v>0</v>
      </c>
      <c r="Q8080" t="n">
        <v>0</v>
      </c>
      <c r="R8080" s="2" t="inlineStr"/>
    </row>
    <row r="8081" ht="15" customHeight="1">
      <c r="A8081" t="inlineStr">
        <is>
          <t>A 8854-2022</t>
        </is>
      </c>
      <c r="B8081" s="1" t="n">
        <v>44614</v>
      </c>
      <c r="C8081" s="1" t="n">
        <v>45212</v>
      </c>
      <c r="D8081" t="inlineStr">
        <is>
          <t>VÄSTRA GÖTALANDS LÄN</t>
        </is>
      </c>
      <c r="E8081" t="inlineStr">
        <is>
          <t>MARIESTAD</t>
        </is>
      </c>
      <c r="F8081" t="inlineStr">
        <is>
          <t>Kyrkan</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8910-2022</t>
        </is>
      </c>
      <c r="B8082" s="1" t="n">
        <v>44614</v>
      </c>
      <c r="C8082" s="1" t="n">
        <v>45212</v>
      </c>
      <c r="D8082" t="inlineStr">
        <is>
          <t>VÄSTRA GÖTALANDS LÄN</t>
        </is>
      </c>
      <c r="E8082" t="inlineStr">
        <is>
          <t>GULLSPÅNG</t>
        </is>
      </c>
      <c r="F8082" t="inlineStr">
        <is>
          <t>Kyrkan</t>
        </is>
      </c>
      <c r="G8082" t="n">
        <v>9.9</v>
      </c>
      <c r="H8082" t="n">
        <v>0</v>
      </c>
      <c r="I8082" t="n">
        <v>0</v>
      </c>
      <c r="J8082" t="n">
        <v>0</v>
      </c>
      <c r="K8082" t="n">
        <v>0</v>
      </c>
      <c r="L8082" t="n">
        <v>0</v>
      </c>
      <c r="M8082" t="n">
        <v>0</v>
      </c>
      <c r="N8082" t="n">
        <v>0</v>
      </c>
      <c r="O8082" t="n">
        <v>0</v>
      </c>
      <c r="P8082" t="n">
        <v>0</v>
      </c>
      <c r="Q8082" t="n">
        <v>0</v>
      </c>
      <c r="R8082" s="2" t="inlineStr"/>
    </row>
    <row r="8083" ht="15" customHeight="1">
      <c r="A8083" t="inlineStr">
        <is>
          <t>A 8918-2022</t>
        </is>
      </c>
      <c r="B8083" s="1" t="n">
        <v>44614</v>
      </c>
      <c r="C8083" s="1" t="n">
        <v>45212</v>
      </c>
      <c r="D8083" t="inlineStr">
        <is>
          <t>VÄSTRA GÖTALANDS LÄN</t>
        </is>
      </c>
      <c r="E8083" t="inlineStr">
        <is>
          <t>TÖREBODA</t>
        </is>
      </c>
      <c r="F8083" t="inlineStr">
        <is>
          <t>Kyrkan</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8922-2022</t>
        </is>
      </c>
      <c r="B8084" s="1" t="n">
        <v>44614</v>
      </c>
      <c r="C8084" s="1" t="n">
        <v>45212</v>
      </c>
      <c r="D8084" t="inlineStr">
        <is>
          <t>VÄSTRA GÖTALANDS LÄN</t>
        </is>
      </c>
      <c r="E8084" t="inlineStr">
        <is>
          <t>TÖREBODA</t>
        </is>
      </c>
      <c r="F8084" t="inlineStr">
        <is>
          <t>Kyrkan</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8948-2022</t>
        </is>
      </c>
      <c r="B8085" s="1" t="n">
        <v>44614</v>
      </c>
      <c r="C8085" s="1" t="n">
        <v>45212</v>
      </c>
      <c r="D8085" t="inlineStr">
        <is>
          <t>VÄSTRA GÖTALANDS LÄN</t>
        </is>
      </c>
      <c r="E8085" t="inlineStr">
        <is>
          <t>STENUNGSUND</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8780-2022</t>
        </is>
      </c>
      <c r="B8086" s="1" t="n">
        <v>44614</v>
      </c>
      <c r="C8086" s="1" t="n">
        <v>45212</v>
      </c>
      <c r="D8086" t="inlineStr">
        <is>
          <t>VÄSTRA GÖTALANDS LÄN</t>
        </is>
      </c>
      <c r="E8086" t="inlineStr">
        <is>
          <t>ALINGSÅS</t>
        </is>
      </c>
      <c r="G8086" t="n">
        <v>4.3</v>
      </c>
      <c r="H8086" t="n">
        <v>0</v>
      </c>
      <c r="I8086" t="n">
        <v>0</v>
      </c>
      <c r="J8086" t="n">
        <v>0</v>
      </c>
      <c r="K8086" t="n">
        <v>0</v>
      </c>
      <c r="L8086" t="n">
        <v>0</v>
      </c>
      <c r="M8086" t="n">
        <v>0</v>
      </c>
      <c r="N8086" t="n">
        <v>0</v>
      </c>
      <c r="O8086" t="n">
        <v>0</v>
      </c>
      <c r="P8086" t="n">
        <v>0</v>
      </c>
      <c r="Q8086" t="n">
        <v>0</v>
      </c>
      <c r="R8086" s="2" t="inlineStr"/>
    </row>
    <row r="8087" ht="15" customHeight="1">
      <c r="A8087" t="inlineStr">
        <is>
          <t>A 8786-2022</t>
        </is>
      </c>
      <c r="B8087" s="1" t="n">
        <v>44614</v>
      </c>
      <c r="C8087" s="1" t="n">
        <v>45212</v>
      </c>
      <c r="D8087" t="inlineStr">
        <is>
          <t>VÄSTRA GÖTALANDS LÄN</t>
        </is>
      </c>
      <c r="E8087" t="inlineStr">
        <is>
          <t>GÖTENE</t>
        </is>
      </c>
      <c r="F8087" t="inlineStr">
        <is>
          <t>Kyrkan</t>
        </is>
      </c>
      <c r="G8087" t="n">
        <v>8.1</v>
      </c>
      <c r="H8087" t="n">
        <v>0</v>
      </c>
      <c r="I8087" t="n">
        <v>0</v>
      </c>
      <c r="J8087" t="n">
        <v>0</v>
      </c>
      <c r="K8087" t="n">
        <v>0</v>
      </c>
      <c r="L8087" t="n">
        <v>0</v>
      </c>
      <c r="M8087" t="n">
        <v>0</v>
      </c>
      <c r="N8087" t="n">
        <v>0</v>
      </c>
      <c r="O8087" t="n">
        <v>0</v>
      </c>
      <c r="P8087" t="n">
        <v>0</v>
      </c>
      <c r="Q8087" t="n">
        <v>0</v>
      </c>
      <c r="R8087" s="2" t="inlineStr"/>
    </row>
    <row r="8088" ht="15" customHeight="1">
      <c r="A8088" t="inlineStr">
        <is>
          <t>A 8810-2022</t>
        </is>
      </c>
      <c r="B8088" s="1" t="n">
        <v>44614</v>
      </c>
      <c r="C8088" s="1" t="n">
        <v>45212</v>
      </c>
      <c r="D8088" t="inlineStr">
        <is>
          <t>VÄSTRA GÖTALANDS LÄN</t>
        </is>
      </c>
      <c r="E8088" t="inlineStr">
        <is>
          <t>SKARA</t>
        </is>
      </c>
      <c r="F8088" t="inlineStr">
        <is>
          <t>Kyrkan</t>
        </is>
      </c>
      <c r="G8088" t="n">
        <v>7.3</v>
      </c>
      <c r="H8088" t="n">
        <v>0</v>
      </c>
      <c r="I8088" t="n">
        <v>0</v>
      </c>
      <c r="J8088" t="n">
        <v>0</v>
      </c>
      <c r="K8088" t="n">
        <v>0</v>
      </c>
      <c r="L8088" t="n">
        <v>0</v>
      </c>
      <c r="M8088" t="n">
        <v>0</v>
      </c>
      <c r="N8088" t="n">
        <v>0</v>
      </c>
      <c r="O8088" t="n">
        <v>0</v>
      </c>
      <c r="P8088" t="n">
        <v>0</v>
      </c>
      <c r="Q8088" t="n">
        <v>0</v>
      </c>
      <c r="R8088" s="2" t="inlineStr"/>
    </row>
    <row r="8089" ht="15" customHeight="1">
      <c r="A8089" t="inlineStr">
        <is>
          <t>A 8817-2022</t>
        </is>
      </c>
      <c r="B8089" s="1" t="n">
        <v>44614</v>
      </c>
      <c r="C8089" s="1" t="n">
        <v>45212</v>
      </c>
      <c r="D8089" t="inlineStr">
        <is>
          <t>VÄSTRA GÖTALANDS LÄN</t>
        </is>
      </c>
      <c r="E8089" t="inlineStr">
        <is>
          <t>SKÖVDE</t>
        </is>
      </c>
      <c r="F8089" t="inlineStr">
        <is>
          <t>Kyrkan</t>
        </is>
      </c>
      <c r="G8089" t="n">
        <v>7</v>
      </c>
      <c r="H8089" t="n">
        <v>0</v>
      </c>
      <c r="I8089" t="n">
        <v>0</v>
      </c>
      <c r="J8089" t="n">
        <v>0</v>
      </c>
      <c r="K8089" t="n">
        <v>0</v>
      </c>
      <c r="L8089" t="n">
        <v>0</v>
      </c>
      <c r="M8089" t="n">
        <v>0</v>
      </c>
      <c r="N8089" t="n">
        <v>0</v>
      </c>
      <c r="O8089" t="n">
        <v>0</v>
      </c>
      <c r="P8089" t="n">
        <v>0</v>
      </c>
      <c r="Q8089" t="n">
        <v>0</v>
      </c>
      <c r="R8089" s="2" t="inlineStr"/>
    </row>
    <row r="8090" ht="15" customHeight="1">
      <c r="A8090" t="inlineStr">
        <is>
          <t>A 8827-2022</t>
        </is>
      </c>
      <c r="B8090" s="1" t="n">
        <v>44614</v>
      </c>
      <c r="C8090" s="1" t="n">
        <v>45212</v>
      </c>
      <c r="D8090" t="inlineStr">
        <is>
          <t>VÄSTRA GÖTALANDS LÄN</t>
        </is>
      </c>
      <c r="E8090" t="inlineStr">
        <is>
          <t>KARLSBORG</t>
        </is>
      </c>
      <c r="F8090" t="inlineStr">
        <is>
          <t>Kyrkan</t>
        </is>
      </c>
      <c r="G8090" t="n">
        <v>13.2</v>
      </c>
      <c r="H8090" t="n">
        <v>0</v>
      </c>
      <c r="I8090" t="n">
        <v>0</v>
      </c>
      <c r="J8090" t="n">
        <v>0</v>
      </c>
      <c r="K8090" t="n">
        <v>0</v>
      </c>
      <c r="L8090" t="n">
        <v>0</v>
      </c>
      <c r="M8090" t="n">
        <v>0</v>
      </c>
      <c r="N8090" t="n">
        <v>0</v>
      </c>
      <c r="O8090" t="n">
        <v>0</v>
      </c>
      <c r="P8090" t="n">
        <v>0</v>
      </c>
      <c r="Q8090" t="n">
        <v>0</v>
      </c>
      <c r="R8090" s="2" t="inlineStr"/>
    </row>
    <row r="8091" ht="15" customHeight="1">
      <c r="A8091" t="inlineStr">
        <is>
          <t>A 8838-2022</t>
        </is>
      </c>
      <c r="B8091" s="1" t="n">
        <v>44614</v>
      </c>
      <c r="C8091" s="1" t="n">
        <v>45212</v>
      </c>
      <c r="D8091" t="inlineStr">
        <is>
          <t>VÄSTRA GÖTALANDS LÄN</t>
        </is>
      </c>
      <c r="E8091" t="inlineStr">
        <is>
          <t>TÖREBODA</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8853-2022</t>
        </is>
      </c>
      <c r="B8092" s="1" t="n">
        <v>44614</v>
      </c>
      <c r="C8092" s="1" t="n">
        <v>45212</v>
      </c>
      <c r="D8092" t="inlineStr">
        <is>
          <t>VÄSTRA GÖTALANDS LÄN</t>
        </is>
      </c>
      <c r="E8092" t="inlineStr">
        <is>
          <t>MARIESTAD</t>
        </is>
      </c>
      <c r="F8092" t="inlineStr">
        <is>
          <t>Kyrkan</t>
        </is>
      </c>
      <c r="G8092" t="n">
        <v>1.9</v>
      </c>
      <c r="H8092" t="n">
        <v>0</v>
      </c>
      <c r="I8092" t="n">
        <v>0</v>
      </c>
      <c r="J8092" t="n">
        <v>0</v>
      </c>
      <c r="K8092" t="n">
        <v>0</v>
      </c>
      <c r="L8092" t="n">
        <v>0</v>
      </c>
      <c r="M8092" t="n">
        <v>0</v>
      </c>
      <c r="N8092" t="n">
        <v>0</v>
      </c>
      <c r="O8092" t="n">
        <v>0</v>
      </c>
      <c r="P8092" t="n">
        <v>0</v>
      </c>
      <c r="Q8092" t="n">
        <v>0</v>
      </c>
      <c r="R8092" s="2" t="inlineStr"/>
    </row>
    <row r="8093" ht="15" customHeight="1">
      <c r="A8093" t="inlineStr">
        <is>
          <t>A 8916-2022</t>
        </is>
      </c>
      <c r="B8093" s="1" t="n">
        <v>44614</v>
      </c>
      <c r="C8093" s="1" t="n">
        <v>45212</v>
      </c>
      <c r="D8093" t="inlineStr">
        <is>
          <t>VÄSTRA GÖTALANDS LÄN</t>
        </is>
      </c>
      <c r="E8093" t="inlineStr">
        <is>
          <t>TÖREBODA</t>
        </is>
      </c>
      <c r="F8093" t="inlineStr">
        <is>
          <t>Kyrkan</t>
        </is>
      </c>
      <c r="G8093" t="n">
        <v>4.3</v>
      </c>
      <c r="H8093" t="n">
        <v>0</v>
      </c>
      <c r="I8093" t="n">
        <v>0</v>
      </c>
      <c r="J8093" t="n">
        <v>0</v>
      </c>
      <c r="K8093" t="n">
        <v>0</v>
      </c>
      <c r="L8093" t="n">
        <v>0</v>
      </c>
      <c r="M8093" t="n">
        <v>0</v>
      </c>
      <c r="N8093" t="n">
        <v>0</v>
      </c>
      <c r="O8093" t="n">
        <v>0</v>
      </c>
      <c r="P8093" t="n">
        <v>0</v>
      </c>
      <c r="Q8093" t="n">
        <v>0</v>
      </c>
      <c r="R8093" s="2" t="inlineStr"/>
    </row>
    <row r="8094" ht="15" customHeight="1">
      <c r="A8094" t="inlineStr">
        <is>
          <t>A 8921-2022</t>
        </is>
      </c>
      <c r="B8094" s="1" t="n">
        <v>44614</v>
      </c>
      <c r="C8094" s="1" t="n">
        <v>45212</v>
      </c>
      <c r="D8094" t="inlineStr">
        <is>
          <t>VÄSTRA GÖTALANDS LÄN</t>
        </is>
      </c>
      <c r="E8094" t="inlineStr">
        <is>
          <t>TÖREBODA</t>
        </is>
      </c>
      <c r="F8094" t="inlineStr">
        <is>
          <t>Kyrkan</t>
        </is>
      </c>
      <c r="G8094" t="n">
        <v>6.6</v>
      </c>
      <c r="H8094" t="n">
        <v>0</v>
      </c>
      <c r="I8094" t="n">
        <v>0</v>
      </c>
      <c r="J8094" t="n">
        <v>0</v>
      </c>
      <c r="K8094" t="n">
        <v>0</v>
      </c>
      <c r="L8094" t="n">
        <v>0</v>
      </c>
      <c r="M8094" t="n">
        <v>0</v>
      </c>
      <c r="N8094" t="n">
        <v>0</v>
      </c>
      <c r="O8094" t="n">
        <v>0</v>
      </c>
      <c r="P8094" t="n">
        <v>0</v>
      </c>
      <c r="Q8094" t="n">
        <v>0</v>
      </c>
      <c r="R8094" s="2" t="inlineStr"/>
    </row>
    <row r="8095" ht="15" customHeight="1">
      <c r="A8095" t="inlineStr">
        <is>
          <t>A 8765-2022</t>
        </is>
      </c>
      <c r="B8095" s="1" t="n">
        <v>44614</v>
      </c>
      <c r="C8095" s="1" t="n">
        <v>45212</v>
      </c>
      <c r="D8095" t="inlineStr">
        <is>
          <t>VÄSTRA GÖTALANDS LÄN</t>
        </is>
      </c>
      <c r="E8095" t="inlineStr">
        <is>
          <t>GÖTENE</t>
        </is>
      </c>
      <c r="F8095" t="inlineStr">
        <is>
          <t>Kyrkan</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8825-2022</t>
        </is>
      </c>
      <c r="B8096" s="1" t="n">
        <v>44614</v>
      </c>
      <c r="C8096" s="1" t="n">
        <v>45212</v>
      </c>
      <c r="D8096" t="inlineStr">
        <is>
          <t>VÄSTRA GÖTALANDS LÄN</t>
        </is>
      </c>
      <c r="E8096" t="inlineStr">
        <is>
          <t>TÖREBODA</t>
        </is>
      </c>
      <c r="F8096" t="inlineStr">
        <is>
          <t>Kyrkan</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8852-2022</t>
        </is>
      </c>
      <c r="B8097" s="1" t="n">
        <v>44614</v>
      </c>
      <c r="C8097" s="1" t="n">
        <v>45212</v>
      </c>
      <c r="D8097" t="inlineStr">
        <is>
          <t>VÄSTRA GÖTALANDS LÄN</t>
        </is>
      </c>
      <c r="E8097" t="inlineStr">
        <is>
          <t>MARIESTAD</t>
        </is>
      </c>
      <c r="F8097" t="inlineStr">
        <is>
          <t>Kyrkan</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8892-2022</t>
        </is>
      </c>
      <c r="B8098" s="1" t="n">
        <v>44614</v>
      </c>
      <c r="C8098" s="1" t="n">
        <v>45212</v>
      </c>
      <c r="D8098" t="inlineStr">
        <is>
          <t>VÄSTRA GÖTALANDS LÄN</t>
        </is>
      </c>
      <c r="E8098" t="inlineStr">
        <is>
          <t>DALS-ED</t>
        </is>
      </c>
      <c r="G8098" t="n">
        <v>0.2</v>
      </c>
      <c r="H8098" t="n">
        <v>0</v>
      </c>
      <c r="I8098" t="n">
        <v>0</v>
      </c>
      <c r="J8098" t="n">
        <v>0</v>
      </c>
      <c r="K8098" t="n">
        <v>0</v>
      </c>
      <c r="L8098" t="n">
        <v>0</v>
      </c>
      <c r="M8098" t="n">
        <v>0</v>
      </c>
      <c r="N8098" t="n">
        <v>0</v>
      </c>
      <c r="O8098" t="n">
        <v>0</v>
      </c>
      <c r="P8098" t="n">
        <v>0</v>
      </c>
      <c r="Q8098" t="n">
        <v>0</v>
      </c>
      <c r="R8098" s="2" t="inlineStr"/>
    </row>
    <row r="8099" ht="15" customHeight="1">
      <c r="A8099" t="inlineStr">
        <is>
          <t>A 8906-2022</t>
        </is>
      </c>
      <c r="B8099" s="1" t="n">
        <v>44614</v>
      </c>
      <c r="C8099" s="1" t="n">
        <v>45212</v>
      </c>
      <c r="D8099" t="inlineStr">
        <is>
          <t>VÄSTRA GÖTALANDS LÄN</t>
        </is>
      </c>
      <c r="E8099" t="inlineStr">
        <is>
          <t>HJO</t>
        </is>
      </c>
      <c r="F8099" t="inlineStr">
        <is>
          <t>Kyrkan</t>
        </is>
      </c>
      <c r="G8099" t="n">
        <v>2.3</v>
      </c>
      <c r="H8099" t="n">
        <v>0</v>
      </c>
      <c r="I8099" t="n">
        <v>0</v>
      </c>
      <c r="J8099" t="n">
        <v>0</v>
      </c>
      <c r="K8099" t="n">
        <v>0</v>
      </c>
      <c r="L8099" t="n">
        <v>0</v>
      </c>
      <c r="M8099" t="n">
        <v>0</v>
      </c>
      <c r="N8099" t="n">
        <v>0</v>
      </c>
      <c r="O8099" t="n">
        <v>0</v>
      </c>
      <c r="P8099" t="n">
        <v>0</v>
      </c>
      <c r="Q8099" t="n">
        <v>0</v>
      </c>
      <c r="R8099" s="2" t="inlineStr"/>
    </row>
    <row r="8100" ht="15" customHeight="1">
      <c r="A8100" t="inlineStr">
        <is>
          <t>A 8915-2022</t>
        </is>
      </c>
      <c r="B8100" s="1" t="n">
        <v>44614</v>
      </c>
      <c r="C8100" s="1" t="n">
        <v>45212</v>
      </c>
      <c r="D8100" t="inlineStr">
        <is>
          <t>VÄSTRA GÖTALANDS LÄN</t>
        </is>
      </c>
      <c r="E8100" t="inlineStr">
        <is>
          <t>TÖREBODA</t>
        </is>
      </c>
      <c r="F8100" t="inlineStr">
        <is>
          <t>Kyrkan</t>
        </is>
      </c>
      <c r="G8100" t="n">
        <v>18.4</v>
      </c>
      <c r="H8100" t="n">
        <v>0</v>
      </c>
      <c r="I8100" t="n">
        <v>0</v>
      </c>
      <c r="J8100" t="n">
        <v>0</v>
      </c>
      <c r="K8100" t="n">
        <v>0</v>
      </c>
      <c r="L8100" t="n">
        <v>0</v>
      </c>
      <c r="M8100" t="n">
        <v>0</v>
      </c>
      <c r="N8100" t="n">
        <v>0</v>
      </c>
      <c r="O8100" t="n">
        <v>0</v>
      </c>
      <c r="P8100" t="n">
        <v>0</v>
      </c>
      <c r="Q8100" t="n">
        <v>0</v>
      </c>
      <c r="R8100" s="2" t="inlineStr"/>
    </row>
    <row r="8101" ht="15" customHeight="1">
      <c r="A8101" t="inlineStr">
        <is>
          <t>A 8926-2022</t>
        </is>
      </c>
      <c r="B8101" s="1" t="n">
        <v>44614</v>
      </c>
      <c r="C8101" s="1" t="n">
        <v>45212</v>
      </c>
      <c r="D8101" t="inlineStr">
        <is>
          <t>VÄSTRA GÖTALANDS LÄN</t>
        </is>
      </c>
      <c r="E8101" t="inlineStr">
        <is>
          <t>GULLSPÅNG</t>
        </is>
      </c>
      <c r="F8101" t="inlineStr">
        <is>
          <t>Kyrkan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9004-2022</t>
        </is>
      </c>
      <c r="B8102" s="1" t="n">
        <v>44615</v>
      </c>
      <c r="C8102" s="1" t="n">
        <v>45212</v>
      </c>
      <c r="D8102" t="inlineStr">
        <is>
          <t>VÄSTRA GÖTALANDS LÄN</t>
        </is>
      </c>
      <c r="E8102" t="inlineStr">
        <is>
          <t>TIDAHOLM</t>
        </is>
      </c>
      <c r="F8102" t="inlineStr">
        <is>
          <t>Kyrkan</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9023-2022</t>
        </is>
      </c>
      <c r="B8103" s="1" t="n">
        <v>44615</v>
      </c>
      <c r="C8103" s="1" t="n">
        <v>45212</v>
      </c>
      <c r="D8103" t="inlineStr">
        <is>
          <t>VÄSTRA GÖTALANDS LÄN</t>
        </is>
      </c>
      <c r="E8103" t="inlineStr">
        <is>
          <t>BENGTSFORS</t>
        </is>
      </c>
      <c r="G8103" t="n">
        <v>6.2</v>
      </c>
      <c r="H8103" t="n">
        <v>0</v>
      </c>
      <c r="I8103" t="n">
        <v>0</v>
      </c>
      <c r="J8103" t="n">
        <v>0</v>
      </c>
      <c r="K8103" t="n">
        <v>0</v>
      </c>
      <c r="L8103" t="n">
        <v>0</v>
      </c>
      <c r="M8103" t="n">
        <v>0</v>
      </c>
      <c r="N8103" t="n">
        <v>0</v>
      </c>
      <c r="O8103" t="n">
        <v>0</v>
      </c>
      <c r="P8103" t="n">
        <v>0</v>
      </c>
      <c r="Q8103" t="n">
        <v>0</v>
      </c>
      <c r="R8103" s="2" t="inlineStr"/>
    </row>
    <row r="8104" ht="15" customHeight="1">
      <c r="A8104" t="inlineStr">
        <is>
          <t>A 9091-2022</t>
        </is>
      </c>
      <c r="B8104" s="1" t="n">
        <v>44615</v>
      </c>
      <c r="C8104" s="1" t="n">
        <v>45212</v>
      </c>
      <c r="D8104" t="inlineStr">
        <is>
          <t>VÄSTRA GÖTALANDS LÄN</t>
        </is>
      </c>
      <c r="E8104" t="inlineStr">
        <is>
          <t>HJO</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9157-2022</t>
        </is>
      </c>
      <c r="B8105" s="1" t="n">
        <v>44615</v>
      </c>
      <c r="C8105" s="1" t="n">
        <v>45212</v>
      </c>
      <c r="D8105" t="inlineStr">
        <is>
          <t>VÄSTRA GÖTALANDS LÄN</t>
        </is>
      </c>
      <c r="E8105" t="inlineStr">
        <is>
          <t>DALS-ED</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9177-2022</t>
        </is>
      </c>
      <c r="B8106" s="1" t="n">
        <v>44615</v>
      </c>
      <c r="C8106" s="1" t="n">
        <v>45212</v>
      </c>
      <c r="D8106" t="inlineStr">
        <is>
          <t>VÄSTRA GÖTALANDS LÄN</t>
        </is>
      </c>
      <c r="E8106" t="inlineStr">
        <is>
          <t>HJO</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9021-2022</t>
        </is>
      </c>
      <c r="B8107" s="1" t="n">
        <v>44615</v>
      </c>
      <c r="C8107" s="1" t="n">
        <v>45212</v>
      </c>
      <c r="D8107" t="inlineStr">
        <is>
          <t>VÄSTRA GÖTALANDS LÄN</t>
        </is>
      </c>
      <c r="E8107" t="inlineStr">
        <is>
          <t>BOLLEBYGD</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9154-2022</t>
        </is>
      </c>
      <c r="B8108" s="1" t="n">
        <v>44615</v>
      </c>
      <c r="C8108" s="1" t="n">
        <v>45212</v>
      </c>
      <c r="D8108" t="inlineStr">
        <is>
          <t>VÄSTRA GÖTALANDS LÄN</t>
        </is>
      </c>
      <c r="E8108" t="inlineStr">
        <is>
          <t>DALS-ED</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9163-2022</t>
        </is>
      </c>
      <c r="B8109" s="1" t="n">
        <v>44615</v>
      </c>
      <c r="C8109" s="1" t="n">
        <v>45212</v>
      </c>
      <c r="D8109" t="inlineStr">
        <is>
          <t>VÄSTRA GÖTALANDS LÄN</t>
        </is>
      </c>
      <c r="E8109" t="inlineStr">
        <is>
          <t>TIDAHOLM</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9065-2022</t>
        </is>
      </c>
      <c r="B8110" s="1" t="n">
        <v>44615</v>
      </c>
      <c r="C8110" s="1" t="n">
        <v>45212</v>
      </c>
      <c r="D8110" t="inlineStr">
        <is>
          <t>VÄSTRA GÖTALANDS LÄN</t>
        </is>
      </c>
      <c r="E8110" t="inlineStr">
        <is>
          <t>HJO</t>
        </is>
      </c>
      <c r="F8110" t="inlineStr">
        <is>
          <t>Övriga Aktiebolag</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9144-2022</t>
        </is>
      </c>
      <c r="B8111" s="1" t="n">
        <v>44615</v>
      </c>
      <c r="C8111" s="1" t="n">
        <v>45212</v>
      </c>
      <c r="D8111" t="inlineStr">
        <is>
          <t>VÄSTRA GÖTALANDS LÄN</t>
        </is>
      </c>
      <c r="E8111" t="inlineStr">
        <is>
          <t>DALS-ED</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9184-2022</t>
        </is>
      </c>
      <c r="B8112" s="1" t="n">
        <v>44615</v>
      </c>
      <c r="C8112" s="1" t="n">
        <v>45212</v>
      </c>
      <c r="D8112" t="inlineStr">
        <is>
          <t>VÄSTRA GÖTALANDS LÄN</t>
        </is>
      </c>
      <c r="E8112" t="inlineStr">
        <is>
          <t>HJO</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9009-2022</t>
        </is>
      </c>
      <c r="B8113" s="1" t="n">
        <v>44615</v>
      </c>
      <c r="C8113" s="1" t="n">
        <v>45212</v>
      </c>
      <c r="D8113" t="inlineStr">
        <is>
          <t>VÄSTRA GÖTALANDS LÄN</t>
        </is>
      </c>
      <c r="E8113" t="inlineStr">
        <is>
          <t>TIDAHOLM</t>
        </is>
      </c>
      <c r="F8113" t="inlineStr">
        <is>
          <t>Kyrkan</t>
        </is>
      </c>
      <c r="G8113" t="n">
        <v>7.9</v>
      </c>
      <c r="H8113" t="n">
        <v>0</v>
      </c>
      <c r="I8113" t="n">
        <v>0</v>
      </c>
      <c r="J8113" t="n">
        <v>0</v>
      </c>
      <c r="K8113" t="n">
        <v>0</v>
      </c>
      <c r="L8113" t="n">
        <v>0</v>
      </c>
      <c r="M8113" t="n">
        <v>0</v>
      </c>
      <c r="N8113" t="n">
        <v>0</v>
      </c>
      <c r="O8113" t="n">
        <v>0</v>
      </c>
      <c r="P8113" t="n">
        <v>0</v>
      </c>
      <c r="Q8113" t="n">
        <v>0</v>
      </c>
      <c r="R8113" s="2" t="inlineStr"/>
    </row>
    <row r="8114" ht="15" customHeight="1">
      <c r="A8114" t="inlineStr">
        <is>
          <t>A 9064-2022</t>
        </is>
      </c>
      <c r="B8114" s="1" t="n">
        <v>44615</v>
      </c>
      <c r="C8114" s="1" t="n">
        <v>45212</v>
      </c>
      <c r="D8114" t="inlineStr">
        <is>
          <t>VÄSTRA GÖTALANDS LÄN</t>
        </is>
      </c>
      <c r="E8114" t="inlineStr">
        <is>
          <t>TIDAHOLM</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9108-2022</t>
        </is>
      </c>
      <c r="B8115" s="1" t="n">
        <v>44615</v>
      </c>
      <c r="C8115" s="1" t="n">
        <v>45212</v>
      </c>
      <c r="D8115" t="inlineStr">
        <is>
          <t>VÄSTRA GÖTALANDS LÄN</t>
        </is>
      </c>
      <c r="E8115" t="inlineStr">
        <is>
          <t>VARA</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9140-2022</t>
        </is>
      </c>
      <c r="B8116" s="1" t="n">
        <v>44615</v>
      </c>
      <c r="C8116" s="1" t="n">
        <v>45212</v>
      </c>
      <c r="D8116" t="inlineStr">
        <is>
          <t>VÄSTRA GÖTALANDS LÄN</t>
        </is>
      </c>
      <c r="E8116" t="inlineStr">
        <is>
          <t>TIDAHOLM</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9205-2022</t>
        </is>
      </c>
      <c r="B8117" s="1" t="n">
        <v>44615</v>
      </c>
      <c r="C8117" s="1" t="n">
        <v>45212</v>
      </c>
      <c r="D8117" t="inlineStr">
        <is>
          <t>VÄSTRA GÖTALANDS LÄN</t>
        </is>
      </c>
      <c r="E8117" t="inlineStr">
        <is>
          <t>SVENLJUNGA</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9268-2022</t>
        </is>
      </c>
      <c r="B8118" s="1" t="n">
        <v>44616</v>
      </c>
      <c r="C8118" s="1" t="n">
        <v>45212</v>
      </c>
      <c r="D8118" t="inlineStr">
        <is>
          <t>VÄSTRA GÖTALANDS LÄN</t>
        </is>
      </c>
      <c r="E8118" t="inlineStr">
        <is>
          <t>ESSUNGA</t>
        </is>
      </c>
      <c r="G8118" t="n">
        <v>14.7</v>
      </c>
      <c r="H8118" t="n">
        <v>0</v>
      </c>
      <c r="I8118" t="n">
        <v>0</v>
      </c>
      <c r="J8118" t="n">
        <v>0</v>
      </c>
      <c r="K8118" t="n">
        <v>0</v>
      </c>
      <c r="L8118" t="n">
        <v>0</v>
      </c>
      <c r="M8118" t="n">
        <v>0</v>
      </c>
      <c r="N8118" t="n">
        <v>0</v>
      </c>
      <c r="O8118" t="n">
        <v>0</v>
      </c>
      <c r="P8118" t="n">
        <v>0</v>
      </c>
      <c r="Q8118" t="n">
        <v>0</v>
      </c>
      <c r="R8118" s="2" t="inlineStr"/>
    </row>
    <row r="8119" ht="15" customHeight="1">
      <c r="A8119" t="inlineStr">
        <is>
          <t>A 9284-2022</t>
        </is>
      </c>
      <c r="B8119" s="1" t="n">
        <v>44616</v>
      </c>
      <c r="C8119" s="1" t="n">
        <v>45212</v>
      </c>
      <c r="D8119" t="inlineStr">
        <is>
          <t>VÄSTRA GÖTALANDS LÄN</t>
        </is>
      </c>
      <c r="E8119" t="inlineStr">
        <is>
          <t>ÅMÅL</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9322-2022</t>
        </is>
      </c>
      <c r="B8120" s="1" t="n">
        <v>44616</v>
      </c>
      <c r="C8120" s="1" t="n">
        <v>45212</v>
      </c>
      <c r="D8120" t="inlineStr">
        <is>
          <t>VÄSTRA GÖTALANDS LÄN</t>
        </is>
      </c>
      <c r="E8120" t="inlineStr">
        <is>
          <t>TRANEMO</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9423-2022</t>
        </is>
      </c>
      <c r="B8121" s="1" t="n">
        <v>44616</v>
      </c>
      <c r="C8121" s="1" t="n">
        <v>45212</v>
      </c>
      <c r="D8121" t="inlineStr">
        <is>
          <t>VÄSTRA GÖTALANDS LÄN</t>
        </is>
      </c>
      <c r="E8121" t="inlineStr">
        <is>
          <t>GULLSPÅNG</t>
        </is>
      </c>
      <c r="F8121" t="inlineStr">
        <is>
          <t>Kyrkan</t>
        </is>
      </c>
      <c r="G8121" t="n">
        <v>8.6</v>
      </c>
      <c r="H8121" t="n">
        <v>0</v>
      </c>
      <c r="I8121" t="n">
        <v>0</v>
      </c>
      <c r="J8121" t="n">
        <v>0</v>
      </c>
      <c r="K8121" t="n">
        <v>0</v>
      </c>
      <c r="L8121" t="n">
        <v>0</v>
      </c>
      <c r="M8121" t="n">
        <v>0</v>
      </c>
      <c r="N8121" t="n">
        <v>0</v>
      </c>
      <c r="O8121" t="n">
        <v>0</v>
      </c>
      <c r="P8121" t="n">
        <v>0</v>
      </c>
      <c r="Q8121" t="n">
        <v>0</v>
      </c>
      <c r="R8121" s="2" t="inlineStr"/>
    </row>
    <row r="8122" ht="15" customHeight="1">
      <c r="A8122" t="inlineStr">
        <is>
          <t>A 9444-2022</t>
        </is>
      </c>
      <c r="B8122" s="1" t="n">
        <v>44616</v>
      </c>
      <c r="C8122" s="1" t="n">
        <v>45212</v>
      </c>
      <c r="D8122" t="inlineStr">
        <is>
          <t>VÄSTRA GÖTALANDS LÄN</t>
        </is>
      </c>
      <c r="E8122" t="inlineStr">
        <is>
          <t>MARIESTAD</t>
        </is>
      </c>
      <c r="F8122" t="inlineStr">
        <is>
          <t>Kyrkan</t>
        </is>
      </c>
      <c r="G8122" t="n">
        <v>7.7</v>
      </c>
      <c r="H8122" t="n">
        <v>0</v>
      </c>
      <c r="I8122" t="n">
        <v>0</v>
      </c>
      <c r="J8122" t="n">
        <v>0</v>
      </c>
      <c r="K8122" t="n">
        <v>0</v>
      </c>
      <c r="L8122" t="n">
        <v>0</v>
      </c>
      <c r="M8122" t="n">
        <v>0</v>
      </c>
      <c r="N8122" t="n">
        <v>0</v>
      </c>
      <c r="O8122" t="n">
        <v>0</v>
      </c>
      <c r="P8122" t="n">
        <v>0</v>
      </c>
      <c r="Q8122" t="n">
        <v>0</v>
      </c>
      <c r="R8122" s="2" t="inlineStr"/>
    </row>
    <row r="8123" ht="15" customHeight="1">
      <c r="A8123" t="inlineStr">
        <is>
          <t>A 9473-2022</t>
        </is>
      </c>
      <c r="B8123" s="1" t="n">
        <v>44616</v>
      </c>
      <c r="C8123" s="1" t="n">
        <v>45212</v>
      </c>
      <c r="D8123" t="inlineStr">
        <is>
          <t>VÄSTRA GÖTALANDS LÄN</t>
        </is>
      </c>
      <c r="E8123" t="inlineStr">
        <is>
          <t>VÅRGÅRDA</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9273-2022</t>
        </is>
      </c>
      <c r="B8124" s="1" t="n">
        <v>44616</v>
      </c>
      <c r="C8124" s="1" t="n">
        <v>45212</v>
      </c>
      <c r="D8124" t="inlineStr">
        <is>
          <t>VÄSTRA GÖTALANDS LÄN</t>
        </is>
      </c>
      <c r="E8124" t="inlineStr">
        <is>
          <t>STENUNGSUND</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9410-2022</t>
        </is>
      </c>
      <c r="B8125" s="1" t="n">
        <v>44616</v>
      </c>
      <c r="C8125" s="1" t="n">
        <v>45212</v>
      </c>
      <c r="D8125" t="inlineStr">
        <is>
          <t>VÄSTRA GÖTALANDS LÄN</t>
        </is>
      </c>
      <c r="E8125" t="inlineStr">
        <is>
          <t>MARIESTAD</t>
        </is>
      </c>
      <c r="F8125" t="inlineStr">
        <is>
          <t>Kyrkan</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9427-2022</t>
        </is>
      </c>
      <c r="B8126" s="1" t="n">
        <v>44616</v>
      </c>
      <c r="C8126" s="1" t="n">
        <v>45212</v>
      </c>
      <c r="D8126" t="inlineStr">
        <is>
          <t>VÄSTRA GÖTALANDS LÄN</t>
        </is>
      </c>
      <c r="E8126" t="inlineStr">
        <is>
          <t>SKÖVDE</t>
        </is>
      </c>
      <c r="F8126" t="inlineStr">
        <is>
          <t>Kyrkan</t>
        </is>
      </c>
      <c r="G8126" t="n">
        <v>2.4</v>
      </c>
      <c r="H8126" t="n">
        <v>0</v>
      </c>
      <c r="I8126" t="n">
        <v>0</v>
      </c>
      <c r="J8126" t="n">
        <v>0</v>
      </c>
      <c r="K8126" t="n">
        <v>0</v>
      </c>
      <c r="L8126" t="n">
        <v>0</v>
      </c>
      <c r="M8126" t="n">
        <v>0</v>
      </c>
      <c r="N8126" t="n">
        <v>0</v>
      </c>
      <c r="O8126" t="n">
        <v>0</v>
      </c>
      <c r="P8126" t="n">
        <v>0</v>
      </c>
      <c r="Q8126" t="n">
        <v>0</v>
      </c>
      <c r="R8126" s="2" t="inlineStr"/>
    </row>
    <row r="8127" ht="15" customHeight="1">
      <c r="A8127" t="inlineStr">
        <is>
          <t>A 9438-2022</t>
        </is>
      </c>
      <c r="B8127" s="1" t="n">
        <v>44616</v>
      </c>
      <c r="C8127" s="1" t="n">
        <v>45212</v>
      </c>
      <c r="D8127" t="inlineStr">
        <is>
          <t>VÄSTRA GÖTALANDS LÄN</t>
        </is>
      </c>
      <c r="E8127" t="inlineStr">
        <is>
          <t>TÖREBODA</t>
        </is>
      </c>
      <c r="F8127" t="inlineStr">
        <is>
          <t>Kyrkan</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9451-2022</t>
        </is>
      </c>
      <c r="B8128" s="1" t="n">
        <v>44616</v>
      </c>
      <c r="C8128" s="1" t="n">
        <v>45212</v>
      </c>
      <c r="D8128" t="inlineStr">
        <is>
          <t>VÄSTRA GÖTALANDS LÄN</t>
        </is>
      </c>
      <c r="E8128" t="inlineStr">
        <is>
          <t>MARIESTAD</t>
        </is>
      </c>
      <c r="F8128" t="inlineStr">
        <is>
          <t>Kyrkan</t>
        </is>
      </c>
      <c r="G8128" t="n">
        <v>5.3</v>
      </c>
      <c r="H8128" t="n">
        <v>0</v>
      </c>
      <c r="I8128" t="n">
        <v>0</v>
      </c>
      <c r="J8128" t="n">
        <v>0</v>
      </c>
      <c r="K8128" t="n">
        <v>0</v>
      </c>
      <c r="L8128" t="n">
        <v>0</v>
      </c>
      <c r="M8128" t="n">
        <v>0</v>
      </c>
      <c r="N8128" t="n">
        <v>0</v>
      </c>
      <c r="O8128" t="n">
        <v>0</v>
      </c>
      <c r="P8128" t="n">
        <v>0</v>
      </c>
      <c r="Q8128" t="n">
        <v>0</v>
      </c>
      <c r="R8128" s="2" t="inlineStr"/>
    </row>
    <row r="8129" ht="15" customHeight="1">
      <c r="A8129" t="inlineStr">
        <is>
          <t>A 9249-2022</t>
        </is>
      </c>
      <c r="B8129" s="1" t="n">
        <v>44616</v>
      </c>
      <c r="C8129" s="1" t="n">
        <v>45212</v>
      </c>
      <c r="D8129" t="inlineStr">
        <is>
          <t>VÄSTRA GÖTALANDS LÄN</t>
        </is>
      </c>
      <c r="E8129" t="inlineStr">
        <is>
          <t>FALKÖPING</t>
        </is>
      </c>
      <c r="G8129" t="n">
        <v>13.4</v>
      </c>
      <c r="H8129" t="n">
        <v>0</v>
      </c>
      <c r="I8129" t="n">
        <v>0</v>
      </c>
      <c r="J8129" t="n">
        <v>0</v>
      </c>
      <c r="K8129" t="n">
        <v>0</v>
      </c>
      <c r="L8129" t="n">
        <v>0</v>
      </c>
      <c r="M8129" t="n">
        <v>0</v>
      </c>
      <c r="N8129" t="n">
        <v>0</v>
      </c>
      <c r="O8129" t="n">
        <v>0</v>
      </c>
      <c r="P8129" t="n">
        <v>0</v>
      </c>
      <c r="Q8129" t="n">
        <v>0</v>
      </c>
      <c r="R8129" s="2" t="inlineStr"/>
    </row>
    <row r="8130" ht="15" customHeight="1">
      <c r="A8130" t="inlineStr">
        <is>
          <t>A 9404-2022</t>
        </is>
      </c>
      <c r="B8130" s="1" t="n">
        <v>44616</v>
      </c>
      <c r="C8130" s="1" t="n">
        <v>45212</v>
      </c>
      <c r="D8130" t="inlineStr">
        <is>
          <t>VÄSTRA GÖTALANDS LÄN</t>
        </is>
      </c>
      <c r="E8130" t="inlineStr">
        <is>
          <t>VARA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9429-2022</t>
        </is>
      </c>
      <c r="B8131" s="1" t="n">
        <v>44616</v>
      </c>
      <c r="C8131" s="1" t="n">
        <v>45212</v>
      </c>
      <c r="D8131" t="inlineStr">
        <is>
          <t>VÄSTRA GÖTALANDS LÄN</t>
        </is>
      </c>
      <c r="E8131" t="inlineStr">
        <is>
          <t>SKÖVDE</t>
        </is>
      </c>
      <c r="F8131" t="inlineStr">
        <is>
          <t>Kyrkan</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9470-2022</t>
        </is>
      </c>
      <c r="B8132" s="1" t="n">
        <v>44616</v>
      </c>
      <c r="C8132" s="1" t="n">
        <v>45212</v>
      </c>
      <c r="D8132" t="inlineStr">
        <is>
          <t>VÄSTRA GÖTALANDS LÄN</t>
        </is>
      </c>
      <c r="E8132" t="inlineStr">
        <is>
          <t>VÅRGÅRDA</t>
        </is>
      </c>
      <c r="G8132" t="n">
        <v>21.5</v>
      </c>
      <c r="H8132" t="n">
        <v>0</v>
      </c>
      <c r="I8132" t="n">
        <v>0</v>
      </c>
      <c r="J8132" t="n">
        <v>0</v>
      </c>
      <c r="K8132" t="n">
        <v>0</v>
      </c>
      <c r="L8132" t="n">
        <v>0</v>
      </c>
      <c r="M8132" t="n">
        <v>0</v>
      </c>
      <c r="N8132" t="n">
        <v>0</v>
      </c>
      <c r="O8132" t="n">
        <v>0</v>
      </c>
      <c r="P8132" t="n">
        <v>0</v>
      </c>
      <c r="Q8132" t="n">
        <v>0</v>
      </c>
      <c r="R8132" s="2" t="inlineStr"/>
    </row>
    <row r="8133" ht="15" customHeight="1">
      <c r="A8133" t="inlineStr">
        <is>
          <t>A 9300-2022</t>
        </is>
      </c>
      <c r="B8133" s="1" t="n">
        <v>44616</v>
      </c>
      <c r="C8133" s="1" t="n">
        <v>45212</v>
      </c>
      <c r="D8133" t="inlineStr">
        <is>
          <t>VÄSTRA GÖTALANDS LÄN</t>
        </is>
      </c>
      <c r="E8133" t="inlineStr">
        <is>
          <t>MARIESTAD</t>
        </is>
      </c>
      <c r="F8133" t="inlineStr">
        <is>
          <t>Kyrkan</t>
        </is>
      </c>
      <c r="G8133" t="n">
        <v>6.6</v>
      </c>
      <c r="H8133" t="n">
        <v>0</v>
      </c>
      <c r="I8133" t="n">
        <v>0</v>
      </c>
      <c r="J8133" t="n">
        <v>0</v>
      </c>
      <c r="K8133" t="n">
        <v>0</v>
      </c>
      <c r="L8133" t="n">
        <v>0</v>
      </c>
      <c r="M8133" t="n">
        <v>0</v>
      </c>
      <c r="N8133" t="n">
        <v>0</v>
      </c>
      <c r="O8133" t="n">
        <v>0</v>
      </c>
      <c r="P8133" t="n">
        <v>0</v>
      </c>
      <c r="Q8133" t="n">
        <v>0</v>
      </c>
      <c r="R8133" s="2" t="inlineStr"/>
    </row>
    <row r="8134" ht="15" customHeight="1">
      <c r="A8134" t="inlineStr">
        <is>
          <t>A 9361-2022</t>
        </is>
      </c>
      <c r="B8134" s="1" t="n">
        <v>44616</v>
      </c>
      <c r="C8134" s="1" t="n">
        <v>45212</v>
      </c>
      <c r="D8134" t="inlineStr">
        <is>
          <t>VÄSTRA GÖTALANDS LÄN</t>
        </is>
      </c>
      <c r="E8134" t="inlineStr">
        <is>
          <t>SVENLJUNGA</t>
        </is>
      </c>
      <c r="G8134" t="n">
        <v>1.5</v>
      </c>
      <c r="H8134" t="n">
        <v>0</v>
      </c>
      <c r="I8134" t="n">
        <v>0</v>
      </c>
      <c r="J8134" t="n">
        <v>0</v>
      </c>
      <c r="K8134" t="n">
        <v>0</v>
      </c>
      <c r="L8134" t="n">
        <v>0</v>
      </c>
      <c r="M8134" t="n">
        <v>0</v>
      </c>
      <c r="N8134" t="n">
        <v>0</v>
      </c>
      <c r="O8134" t="n">
        <v>0</v>
      </c>
      <c r="P8134" t="n">
        <v>0</v>
      </c>
      <c r="Q8134" t="n">
        <v>0</v>
      </c>
      <c r="R8134" s="2" t="inlineStr"/>
    </row>
    <row r="8135" ht="15" customHeight="1">
      <c r="A8135" t="inlineStr">
        <is>
          <t>A 9375-2022</t>
        </is>
      </c>
      <c r="B8135" s="1" t="n">
        <v>44616</v>
      </c>
      <c r="C8135" s="1" t="n">
        <v>45212</v>
      </c>
      <c r="D8135" t="inlineStr">
        <is>
          <t>VÄSTRA GÖTALANDS LÄN</t>
        </is>
      </c>
      <c r="E8135" t="inlineStr">
        <is>
          <t>VÄNERSBORG</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9398-2022</t>
        </is>
      </c>
      <c r="B8136" s="1" t="n">
        <v>44616</v>
      </c>
      <c r="C8136" s="1" t="n">
        <v>45212</v>
      </c>
      <c r="D8136" t="inlineStr">
        <is>
          <t>VÄSTRA GÖTALANDS LÄN</t>
        </is>
      </c>
      <c r="E8136" t="inlineStr">
        <is>
          <t>SVENLJUNGA</t>
        </is>
      </c>
      <c r="G8136" t="n">
        <v>2.8</v>
      </c>
      <c r="H8136" t="n">
        <v>0</v>
      </c>
      <c r="I8136" t="n">
        <v>0</v>
      </c>
      <c r="J8136" t="n">
        <v>0</v>
      </c>
      <c r="K8136" t="n">
        <v>0</v>
      </c>
      <c r="L8136" t="n">
        <v>0</v>
      </c>
      <c r="M8136" t="n">
        <v>0</v>
      </c>
      <c r="N8136" t="n">
        <v>0</v>
      </c>
      <c r="O8136" t="n">
        <v>0</v>
      </c>
      <c r="P8136" t="n">
        <v>0</v>
      </c>
      <c r="Q8136" t="n">
        <v>0</v>
      </c>
      <c r="R8136" s="2" t="inlineStr"/>
    </row>
    <row r="8137" ht="15" customHeight="1">
      <c r="A8137" t="inlineStr">
        <is>
          <t>A 9413-2022</t>
        </is>
      </c>
      <c r="B8137" s="1" t="n">
        <v>44616</v>
      </c>
      <c r="C8137" s="1" t="n">
        <v>45212</v>
      </c>
      <c r="D8137" t="inlineStr">
        <is>
          <t>VÄSTRA GÖTALANDS LÄN</t>
        </is>
      </c>
      <c r="E8137" t="inlineStr">
        <is>
          <t>MARIESTAD</t>
        </is>
      </c>
      <c r="F8137" t="inlineStr">
        <is>
          <t>Kyrkan</t>
        </is>
      </c>
      <c r="G8137" t="n">
        <v>4.4</v>
      </c>
      <c r="H8137" t="n">
        <v>0</v>
      </c>
      <c r="I8137" t="n">
        <v>0</v>
      </c>
      <c r="J8137" t="n">
        <v>0</v>
      </c>
      <c r="K8137" t="n">
        <v>0</v>
      </c>
      <c r="L8137" t="n">
        <v>0</v>
      </c>
      <c r="M8137" t="n">
        <v>0</v>
      </c>
      <c r="N8137" t="n">
        <v>0</v>
      </c>
      <c r="O8137" t="n">
        <v>0</v>
      </c>
      <c r="P8137" t="n">
        <v>0</v>
      </c>
      <c r="Q8137" t="n">
        <v>0</v>
      </c>
      <c r="R8137" s="2" t="inlineStr"/>
    </row>
    <row r="8138" ht="15" customHeight="1">
      <c r="A8138" t="inlineStr">
        <is>
          <t>A 9434-2022</t>
        </is>
      </c>
      <c r="B8138" s="1" t="n">
        <v>44616</v>
      </c>
      <c r="C8138" s="1" t="n">
        <v>45212</v>
      </c>
      <c r="D8138" t="inlineStr">
        <is>
          <t>VÄSTRA GÖTALANDS LÄN</t>
        </is>
      </c>
      <c r="E8138" t="inlineStr">
        <is>
          <t>TÖREBODA</t>
        </is>
      </c>
      <c r="F8138" t="inlineStr">
        <is>
          <t>Kyrkan</t>
        </is>
      </c>
      <c r="G8138" t="n">
        <v>8.4</v>
      </c>
      <c r="H8138" t="n">
        <v>0</v>
      </c>
      <c r="I8138" t="n">
        <v>0</v>
      </c>
      <c r="J8138" t="n">
        <v>0</v>
      </c>
      <c r="K8138" t="n">
        <v>0</v>
      </c>
      <c r="L8138" t="n">
        <v>0</v>
      </c>
      <c r="M8138" t="n">
        <v>0</v>
      </c>
      <c r="N8138" t="n">
        <v>0</v>
      </c>
      <c r="O8138" t="n">
        <v>0</v>
      </c>
      <c r="P8138" t="n">
        <v>0</v>
      </c>
      <c r="Q8138" t="n">
        <v>0</v>
      </c>
      <c r="R8138" s="2" t="inlineStr"/>
    </row>
    <row r="8139" ht="15" customHeight="1">
      <c r="A8139" t="inlineStr">
        <is>
          <t>A 9633-2022</t>
        </is>
      </c>
      <c r="B8139" s="1" t="n">
        <v>44617</v>
      </c>
      <c r="C8139" s="1" t="n">
        <v>45212</v>
      </c>
      <c r="D8139" t="inlineStr">
        <is>
          <t>VÄSTRA GÖTALANDS LÄN</t>
        </is>
      </c>
      <c r="E8139" t="inlineStr">
        <is>
          <t>MARIESTAD</t>
        </is>
      </c>
      <c r="F8139" t="inlineStr">
        <is>
          <t>Kyrkan</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9528-2022</t>
        </is>
      </c>
      <c r="B8140" s="1" t="n">
        <v>44617</v>
      </c>
      <c r="C8140" s="1" t="n">
        <v>45212</v>
      </c>
      <c r="D8140" t="inlineStr">
        <is>
          <t>VÄSTRA GÖTALANDS LÄN</t>
        </is>
      </c>
      <c r="E8140" t="inlineStr">
        <is>
          <t>LIDKÖPING</t>
        </is>
      </c>
      <c r="G8140" t="n">
        <v>20.3</v>
      </c>
      <c r="H8140" t="n">
        <v>0</v>
      </c>
      <c r="I8140" t="n">
        <v>0</v>
      </c>
      <c r="J8140" t="n">
        <v>0</v>
      </c>
      <c r="K8140" t="n">
        <v>0</v>
      </c>
      <c r="L8140" t="n">
        <v>0</v>
      </c>
      <c r="M8140" t="n">
        <v>0</v>
      </c>
      <c r="N8140" t="n">
        <v>0</v>
      </c>
      <c r="O8140" t="n">
        <v>0</v>
      </c>
      <c r="P8140" t="n">
        <v>0</v>
      </c>
      <c r="Q8140" t="n">
        <v>0</v>
      </c>
      <c r="R8140" s="2" t="inlineStr"/>
    </row>
    <row r="8141" ht="15" customHeight="1">
      <c r="A8141" t="inlineStr">
        <is>
          <t>A 9610-2022</t>
        </is>
      </c>
      <c r="B8141" s="1" t="n">
        <v>44617</v>
      </c>
      <c r="C8141" s="1" t="n">
        <v>45212</v>
      </c>
      <c r="D8141" t="inlineStr">
        <is>
          <t>VÄSTRA GÖTALANDS LÄN</t>
        </is>
      </c>
      <c r="E8141" t="inlineStr">
        <is>
          <t>MARIESTAD</t>
        </is>
      </c>
      <c r="F8141" t="inlineStr">
        <is>
          <t>Kyrkan</t>
        </is>
      </c>
      <c r="G8141" t="n">
        <v>2.7</v>
      </c>
      <c r="H8141" t="n">
        <v>0</v>
      </c>
      <c r="I8141" t="n">
        <v>0</v>
      </c>
      <c r="J8141" t="n">
        <v>0</v>
      </c>
      <c r="K8141" t="n">
        <v>0</v>
      </c>
      <c r="L8141" t="n">
        <v>0</v>
      </c>
      <c r="M8141" t="n">
        <v>0</v>
      </c>
      <c r="N8141" t="n">
        <v>0</v>
      </c>
      <c r="O8141" t="n">
        <v>0</v>
      </c>
      <c r="P8141" t="n">
        <v>0</v>
      </c>
      <c r="Q8141" t="n">
        <v>0</v>
      </c>
      <c r="R8141" s="2" t="inlineStr"/>
    </row>
    <row r="8142" ht="15" customHeight="1">
      <c r="A8142" t="inlineStr">
        <is>
          <t>A 9669-2022</t>
        </is>
      </c>
      <c r="B8142" s="1" t="n">
        <v>44617</v>
      </c>
      <c r="C8142" s="1" t="n">
        <v>45212</v>
      </c>
      <c r="D8142" t="inlineStr">
        <is>
          <t>VÄSTRA GÖTALANDS LÄN</t>
        </is>
      </c>
      <c r="E8142" t="inlineStr">
        <is>
          <t>BOLLEBYGD</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9523-2022</t>
        </is>
      </c>
      <c r="B8143" s="1" t="n">
        <v>44617</v>
      </c>
      <c r="C8143" s="1" t="n">
        <v>45212</v>
      </c>
      <c r="D8143" t="inlineStr">
        <is>
          <t>VÄSTRA GÖTALANDS LÄN</t>
        </is>
      </c>
      <c r="E8143" t="inlineStr">
        <is>
          <t>BENGTSFORS</t>
        </is>
      </c>
      <c r="F8143" t="inlineStr">
        <is>
          <t>Kyrkan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9532-2022</t>
        </is>
      </c>
      <c r="B8144" s="1" t="n">
        <v>44617</v>
      </c>
      <c r="C8144" s="1" t="n">
        <v>45212</v>
      </c>
      <c r="D8144" t="inlineStr">
        <is>
          <t>VÄSTRA GÖTALANDS LÄN</t>
        </is>
      </c>
      <c r="E8144" t="inlineStr">
        <is>
          <t>SVENLJUNGA</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9606-2022</t>
        </is>
      </c>
      <c r="B8145" s="1" t="n">
        <v>44617</v>
      </c>
      <c r="C8145" s="1" t="n">
        <v>45212</v>
      </c>
      <c r="D8145" t="inlineStr">
        <is>
          <t>VÄSTRA GÖTALANDS LÄN</t>
        </is>
      </c>
      <c r="E8145" t="inlineStr">
        <is>
          <t>MARIESTAD</t>
        </is>
      </c>
      <c r="F8145" t="inlineStr">
        <is>
          <t>Kyrkan</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9578-2022</t>
        </is>
      </c>
      <c r="B8146" s="1" t="n">
        <v>44617</v>
      </c>
      <c r="C8146" s="1" t="n">
        <v>45212</v>
      </c>
      <c r="D8146" t="inlineStr">
        <is>
          <t>VÄSTRA GÖTALANDS LÄN</t>
        </is>
      </c>
      <c r="E8146" t="inlineStr">
        <is>
          <t>VÄNERSBORG</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9651-2022</t>
        </is>
      </c>
      <c r="B8147" s="1" t="n">
        <v>44617</v>
      </c>
      <c r="C8147" s="1" t="n">
        <v>45212</v>
      </c>
      <c r="D8147" t="inlineStr">
        <is>
          <t>VÄSTRA GÖTALANDS LÄN</t>
        </is>
      </c>
      <c r="E8147" t="inlineStr">
        <is>
          <t>MARIESTAD</t>
        </is>
      </c>
      <c r="F8147" t="inlineStr">
        <is>
          <t>Kyrkan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9837-2022</t>
        </is>
      </c>
      <c r="B8148" s="1" t="n">
        <v>44620</v>
      </c>
      <c r="C8148" s="1" t="n">
        <v>45212</v>
      </c>
      <c r="D8148" t="inlineStr">
        <is>
          <t>VÄSTRA GÖTALANDS LÄN</t>
        </is>
      </c>
      <c r="E8148" t="inlineStr">
        <is>
          <t>SKÖVDE</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9828-2022</t>
        </is>
      </c>
      <c r="B8149" s="1" t="n">
        <v>44620</v>
      </c>
      <c r="C8149" s="1" t="n">
        <v>45212</v>
      </c>
      <c r="D8149" t="inlineStr">
        <is>
          <t>VÄSTRA GÖTALANDS LÄN</t>
        </is>
      </c>
      <c r="E8149" t="inlineStr">
        <is>
          <t>MARIESTAD</t>
        </is>
      </c>
      <c r="F8149" t="inlineStr">
        <is>
          <t>Kyrkan</t>
        </is>
      </c>
      <c r="G8149" t="n">
        <v>1.9</v>
      </c>
      <c r="H8149" t="n">
        <v>0</v>
      </c>
      <c r="I8149" t="n">
        <v>0</v>
      </c>
      <c r="J8149" t="n">
        <v>0</v>
      </c>
      <c r="K8149" t="n">
        <v>0</v>
      </c>
      <c r="L8149" t="n">
        <v>0</v>
      </c>
      <c r="M8149" t="n">
        <v>0</v>
      </c>
      <c r="N8149" t="n">
        <v>0</v>
      </c>
      <c r="O8149" t="n">
        <v>0</v>
      </c>
      <c r="P8149" t="n">
        <v>0</v>
      </c>
      <c r="Q8149" t="n">
        <v>0</v>
      </c>
      <c r="R8149" s="2" t="inlineStr"/>
    </row>
    <row r="8150" ht="15" customHeight="1">
      <c r="A8150" t="inlineStr">
        <is>
          <t>A 9847-2022</t>
        </is>
      </c>
      <c r="B8150" s="1" t="n">
        <v>44620</v>
      </c>
      <c r="C8150" s="1" t="n">
        <v>45212</v>
      </c>
      <c r="D8150" t="inlineStr">
        <is>
          <t>VÄSTRA GÖTALANDS LÄN</t>
        </is>
      </c>
      <c r="E8150" t="inlineStr">
        <is>
          <t>VARA</t>
        </is>
      </c>
      <c r="G8150" t="n">
        <v>1.3</v>
      </c>
      <c r="H8150" t="n">
        <v>0</v>
      </c>
      <c r="I8150" t="n">
        <v>0</v>
      </c>
      <c r="J8150" t="n">
        <v>0</v>
      </c>
      <c r="K8150" t="n">
        <v>0</v>
      </c>
      <c r="L8150" t="n">
        <v>0</v>
      </c>
      <c r="M8150" t="n">
        <v>0</v>
      </c>
      <c r="N8150" t="n">
        <v>0</v>
      </c>
      <c r="O8150" t="n">
        <v>0</v>
      </c>
      <c r="P8150" t="n">
        <v>0</v>
      </c>
      <c r="Q8150" t="n">
        <v>0</v>
      </c>
      <c r="R8150" s="2" t="inlineStr"/>
    </row>
    <row r="8151" ht="15" customHeight="1">
      <c r="A8151" t="inlineStr">
        <is>
          <t>A 9907-2022</t>
        </is>
      </c>
      <c r="B8151" s="1" t="n">
        <v>44620</v>
      </c>
      <c r="C8151" s="1" t="n">
        <v>45212</v>
      </c>
      <c r="D8151" t="inlineStr">
        <is>
          <t>VÄSTRA GÖTALANDS LÄN</t>
        </is>
      </c>
      <c r="E8151" t="inlineStr">
        <is>
          <t>BENGTSFORS</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10110-2022</t>
        </is>
      </c>
      <c r="B8152" s="1" t="n">
        <v>44621</v>
      </c>
      <c r="C8152" s="1" t="n">
        <v>45212</v>
      </c>
      <c r="D8152" t="inlineStr">
        <is>
          <t>VÄSTRA GÖTALANDS LÄN</t>
        </is>
      </c>
      <c r="E8152" t="inlineStr">
        <is>
          <t>ULRICEHAMN</t>
        </is>
      </c>
      <c r="G8152" t="n">
        <v>5.2</v>
      </c>
      <c r="H8152" t="n">
        <v>0</v>
      </c>
      <c r="I8152" t="n">
        <v>0</v>
      </c>
      <c r="J8152" t="n">
        <v>0</v>
      </c>
      <c r="K8152" t="n">
        <v>0</v>
      </c>
      <c r="L8152" t="n">
        <v>0</v>
      </c>
      <c r="M8152" t="n">
        <v>0</v>
      </c>
      <c r="N8152" t="n">
        <v>0</v>
      </c>
      <c r="O8152" t="n">
        <v>0</v>
      </c>
      <c r="P8152" t="n">
        <v>0</v>
      </c>
      <c r="Q8152" t="n">
        <v>0</v>
      </c>
      <c r="R8152" s="2" t="inlineStr"/>
    </row>
    <row r="8153" ht="15" customHeight="1">
      <c r="A8153" t="inlineStr">
        <is>
          <t>A 10056-2022</t>
        </is>
      </c>
      <c r="B8153" s="1" t="n">
        <v>44621</v>
      </c>
      <c r="C8153" s="1" t="n">
        <v>45212</v>
      </c>
      <c r="D8153" t="inlineStr">
        <is>
          <t>VÄSTRA GÖTALANDS LÄN</t>
        </is>
      </c>
      <c r="E8153" t="inlineStr">
        <is>
          <t>GULLSPÅNG</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10079-2022</t>
        </is>
      </c>
      <c r="B8154" s="1" t="n">
        <v>44621</v>
      </c>
      <c r="C8154" s="1" t="n">
        <v>45212</v>
      </c>
      <c r="D8154" t="inlineStr">
        <is>
          <t>VÄSTRA GÖTALANDS LÄN</t>
        </is>
      </c>
      <c r="E8154" t="inlineStr">
        <is>
          <t>BENGTSFORS</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10092-2022</t>
        </is>
      </c>
      <c r="B8155" s="1" t="n">
        <v>44621</v>
      </c>
      <c r="C8155" s="1" t="n">
        <v>45212</v>
      </c>
      <c r="D8155" t="inlineStr">
        <is>
          <t>VÄSTRA GÖTALANDS LÄN</t>
        </is>
      </c>
      <c r="E8155" t="inlineStr">
        <is>
          <t>DALS-ED</t>
        </is>
      </c>
      <c r="F8155" t="inlineStr">
        <is>
          <t>Övriga Aktiebolag</t>
        </is>
      </c>
      <c r="G8155" t="n">
        <v>2.2</v>
      </c>
      <c r="H8155" t="n">
        <v>0</v>
      </c>
      <c r="I8155" t="n">
        <v>0</v>
      </c>
      <c r="J8155" t="n">
        <v>0</v>
      </c>
      <c r="K8155" t="n">
        <v>0</v>
      </c>
      <c r="L8155" t="n">
        <v>0</v>
      </c>
      <c r="M8155" t="n">
        <v>0</v>
      </c>
      <c r="N8155" t="n">
        <v>0</v>
      </c>
      <c r="O8155" t="n">
        <v>0</v>
      </c>
      <c r="P8155" t="n">
        <v>0</v>
      </c>
      <c r="Q8155" t="n">
        <v>0</v>
      </c>
      <c r="R8155" s="2" t="inlineStr"/>
    </row>
    <row r="8156" ht="15" customHeight="1">
      <c r="A8156" t="inlineStr">
        <is>
          <t>A 10171-2022</t>
        </is>
      </c>
      <c r="B8156" s="1" t="n">
        <v>44622</v>
      </c>
      <c r="C8156" s="1" t="n">
        <v>45212</v>
      </c>
      <c r="D8156" t="inlineStr">
        <is>
          <t>VÄSTRA GÖTALANDS LÄN</t>
        </is>
      </c>
      <c r="E8156" t="inlineStr">
        <is>
          <t>FALKÖPING</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10193-2022</t>
        </is>
      </c>
      <c r="B8157" s="1" t="n">
        <v>44622</v>
      </c>
      <c r="C8157" s="1" t="n">
        <v>45212</v>
      </c>
      <c r="D8157" t="inlineStr">
        <is>
          <t>VÄSTRA GÖTALANDS LÄN</t>
        </is>
      </c>
      <c r="E8157" t="inlineStr">
        <is>
          <t>TRANEMO</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10150-2022</t>
        </is>
      </c>
      <c r="B8158" s="1" t="n">
        <v>44622</v>
      </c>
      <c r="C8158" s="1" t="n">
        <v>45212</v>
      </c>
      <c r="D8158" t="inlineStr">
        <is>
          <t>VÄSTRA GÖTALANDS LÄN</t>
        </is>
      </c>
      <c r="E8158" t="inlineStr">
        <is>
          <t>TROLLHÄTTAN</t>
        </is>
      </c>
      <c r="G8158" t="n">
        <v>1.5</v>
      </c>
      <c r="H8158" t="n">
        <v>0</v>
      </c>
      <c r="I8158" t="n">
        <v>0</v>
      </c>
      <c r="J8158" t="n">
        <v>0</v>
      </c>
      <c r="K8158" t="n">
        <v>0</v>
      </c>
      <c r="L8158" t="n">
        <v>0</v>
      </c>
      <c r="M8158" t="n">
        <v>0</v>
      </c>
      <c r="N8158" t="n">
        <v>0</v>
      </c>
      <c r="O8158" t="n">
        <v>0</v>
      </c>
      <c r="P8158" t="n">
        <v>0</v>
      </c>
      <c r="Q8158" t="n">
        <v>0</v>
      </c>
      <c r="R8158" s="2" t="inlineStr"/>
    </row>
    <row r="8159" ht="15" customHeight="1">
      <c r="A8159" t="inlineStr">
        <is>
          <t>A 10273-2022</t>
        </is>
      </c>
      <c r="B8159" s="1" t="n">
        <v>44622</v>
      </c>
      <c r="C8159" s="1" t="n">
        <v>45212</v>
      </c>
      <c r="D8159" t="inlineStr">
        <is>
          <t>VÄSTRA GÖTALANDS LÄN</t>
        </is>
      </c>
      <c r="E8159" t="inlineStr">
        <is>
          <t>TIDAHOLM</t>
        </is>
      </c>
      <c r="G8159" t="n">
        <v>6.8</v>
      </c>
      <c r="H8159" t="n">
        <v>0</v>
      </c>
      <c r="I8159" t="n">
        <v>0</v>
      </c>
      <c r="J8159" t="n">
        <v>0</v>
      </c>
      <c r="K8159" t="n">
        <v>0</v>
      </c>
      <c r="L8159" t="n">
        <v>0</v>
      </c>
      <c r="M8159" t="n">
        <v>0</v>
      </c>
      <c r="N8159" t="n">
        <v>0</v>
      </c>
      <c r="O8159" t="n">
        <v>0</v>
      </c>
      <c r="P8159" t="n">
        <v>0</v>
      </c>
      <c r="Q8159" t="n">
        <v>0</v>
      </c>
      <c r="R8159" s="2" t="inlineStr"/>
    </row>
    <row r="8160" ht="15" customHeight="1">
      <c r="A8160" t="inlineStr">
        <is>
          <t>A 10166-2022</t>
        </is>
      </c>
      <c r="B8160" s="1" t="n">
        <v>44622</v>
      </c>
      <c r="C8160" s="1" t="n">
        <v>45212</v>
      </c>
      <c r="D8160" t="inlineStr">
        <is>
          <t>VÄSTRA GÖTALANDS LÄN</t>
        </is>
      </c>
      <c r="E8160" t="inlineStr">
        <is>
          <t>MARK</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10185-2022</t>
        </is>
      </c>
      <c r="B8161" s="1" t="n">
        <v>44622</v>
      </c>
      <c r="C8161" s="1" t="n">
        <v>45212</v>
      </c>
      <c r="D8161" t="inlineStr">
        <is>
          <t>VÄSTRA GÖTALANDS LÄN</t>
        </is>
      </c>
      <c r="E8161" t="inlineStr">
        <is>
          <t>VÄNERSBORG</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10210-2022</t>
        </is>
      </c>
      <c r="B8162" s="1" t="n">
        <v>44622</v>
      </c>
      <c r="C8162" s="1" t="n">
        <v>45212</v>
      </c>
      <c r="D8162" t="inlineStr">
        <is>
          <t>VÄSTRA GÖTALANDS LÄN</t>
        </is>
      </c>
      <c r="E8162" t="inlineStr">
        <is>
          <t>MUNKEDAL</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10337-2022</t>
        </is>
      </c>
      <c r="B8163" s="1" t="n">
        <v>44623</v>
      </c>
      <c r="C8163" s="1" t="n">
        <v>45212</v>
      </c>
      <c r="D8163" t="inlineStr">
        <is>
          <t>VÄSTRA GÖTALANDS LÄN</t>
        </is>
      </c>
      <c r="E8163" t="inlineStr">
        <is>
          <t>HJO</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10390-2022</t>
        </is>
      </c>
      <c r="B8164" s="1" t="n">
        <v>44623</v>
      </c>
      <c r="C8164" s="1" t="n">
        <v>45212</v>
      </c>
      <c r="D8164" t="inlineStr">
        <is>
          <t>VÄSTRA GÖTALANDS LÄN</t>
        </is>
      </c>
      <c r="E8164" t="inlineStr">
        <is>
          <t>GÖTEBORG</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10503-2022</t>
        </is>
      </c>
      <c r="B8165" s="1" t="n">
        <v>44623</v>
      </c>
      <c r="C8165" s="1" t="n">
        <v>45212</v>
      </c>
      <c r="D8165" t="inlineStr">
        <is>
          <t>VÄSTRA GÖTALANDS LÄN</t>
        </is>
      </c>
      <c r="E8165" t="inlineStr">
        <is>
          <t>VARA</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10399-2022</t>
        </is>
      </c>
      <c r="B8166" s="1" t="n">
        <v>44623</v>
      </c>
      <c r="C8166" s="1" t="n">
        <v>45212</v>
      </c>
      <c r="D8166" t="inlineStr">
        <is>
          <t>VÄSTRA GÖTALANDS LÄN</t>
        </is>
      </c>
      <c r="E8166" t="inlineStr">
        <is>
          <t>LERUM</t>
        </is>
      </c>
      <c r="G8166" t="n">
        <v>1.2</v>
      </c>
      <c r="H8166" t="n">
        <v>0</v>
      </c>
      <c r="I8166" t="n">
        <v>0</v>
      </c>
      <c r="J8166" t="n">
        <v>0</v>
      </c>
      <c r="K8166" t="n">
        <v>0</v>
      </c>
      <c r="L8166" t="n">
        <v>0</v>
      </c>
      <c r="M8166" t="n">
        <v>0</v>
      </c>
      <c r="N8166" t="n">
        <v>0</v>
      </c>
      <c r="O8166" t="n">
        <v>0</v>
      </c>
      <c r="P8166" t="n">
        <v>0</v>
      </c>
      <c r="Q8166" t="n">
        <v>0</v>
      </c>
      <c r="R8166" s="2" t="inlineStr"/>
    </row>
    <row r="8167" ht="15" customHeight="1">
      <c r="A8167" t="inlineStr">
        <is>
          <t>A 10429-2022</t>
        </is>
      </c>
      <c r="B8167" s="1" t="n">
        <v>44623</v>
      </c>
      <c r="C8167" s="1" t="n">
        <v>45212</v>
      </c>
      <c r="D8167" t="inlineStr">
        <is>
          <t>VÄSTRA GÖTALANDS LÄN</t>
        </is>
      </c>
      <c r="E8167" t="inlineStr">
        <is>
          <t>FALKÖPING</t>
        </is>
      </c>
      <c r="G8167" t="n">
        <v>2.9</v>
      </c>
      <c r="H8167" t="n">
        <v>0</v>
      </c>
      <c r="I8167" t="n">
        <v>0</v>
      </c>
      <c r="J8167" t="n">
        <v>0</v>
      </c>
      <c r="K8167" t="n">
        <v>0</v>
      </c>
      <c r="L8167" t="n">
        <v>0</v>
      </c>
      <c r="M8167" t="n">
        <v>0</v>
      </c>
      <c r="N8167" t="n">
        <v>0</v>
      </c>
      <c r="O8167" t="n">
        <v>0</v>
      </c>
      <c r="P8167" t="n">
        <v>0</v>
      </c>
      <c r="Q8167" t="n">
        <v>0</v>
      </c>
      <c r="R8167" s="2" t="inlineStr"/>
    </row>
    <row r="8168" ht="15" customHeight="1">
      <c r="A8168" t="inlineStr">
        <is>
          <t>A 10444-2022</t>
        </is>
      </c>
      <c r="B8168" s="1" t="n">
        <v>44623</v>
      </c>
      <c r="C8168" s="1" t="n">
        <v>45212</v>
      </c>
      <c r="D8168" t="inlineStr">
        <is>
          <t>VÄSTRA GÖTALANDS LÄN</t>
        </is>
      </c>
      <c r="E8168" t="inlineStr">
        <is>
          <t>VÄNERSBORG</t>
        </is>
      </c>
      <c r="G8168" t="n">
        <v>4.2</v>
      </c>
      <c r="H8168" t="n">
        <v>0</v>
      </c>
      <c r="I8168" t="n">
        <v>0</v>
      </c>
      <c r="J8168" t="n">
        <v>0</v>
      </c>
      <c r="K8168" t="n">
        <v>0</v>
      </c>
      <c r="L8168" t="n">
        <v>0</v>
      </c>
      <c r="M8168" t="n">
        <v>0</v>
      </c>
      <c r="N8168" t="n">
        <v>0</v>
      </c>
      <c r="O8168" t="n">
        <v>0</v>
      </c>
      <c r="P8168" t="n">
        <v>0</v>
      </c>
      <c r="Q8168" t="n">
        <v>0</v>
      </c>
      <c r="R8168" s="2" t="inlineStr"/>
    </row>
    <row r="8169" ht="15" customHeight="1">
      <c r="A8169" t="inlineStr">
        <is>
          <t>A 10328-2022</t>
        </is>
      </c>
      <c r="B8169" s="1" t="n">
        <v>44623</v>
      </c>
      <c r="C8169" s="1" t="n">
        <v>45212</v>
      </c>
      <c r="D8169" t="inlineStr">
        <is>
          <t>VÄSTRA GÖTALANDS LÄN</t>
        </is>
      </c>
      <c r="E8169" t="inlineStr">
        <is>
          <t>TIBRO</t>
        </is>
      </c>
      <c r="G8169" t="n">
        <v>5.4</v>
      </c>
      <c r="H8169" t="n">
        <v>0</v>
      </c>
      <c r="I8169" t="n">
        <v>0</v>
      </c>
      <c r="J8169" t="n">
        <v>0</v>
      </c>
      <c r="K8169" t="n">
        <v>0</v>
      </c>
      <c r="L8169" t="n">
        <v>0</v>
      </c>
      <c r="M8169" t="n">
        <v>0</v>
      </c>
      <c r="N8169" t="n">
        <v>0</v>
      </c>
      <c r="O8169" t="n">
        <v>0</v>
      </c>
      <c r="P8169" t="n">
        <v>0</v>
      </c>
      <c r="Q8169" t="n">
        <v>0</v>
      </c>
      <c r="R8169" s="2" t="inlineStr"/>
    </row>
    <row r="8170" ht="15" customHeight="1">
      <c r="A8170" t="inlineStr">
        <is>
          <t>A 10684-2022</t>
        </is>
      </c>
      <c r="B8170" s="1" t="n">
        <v>44624</v>
      </c>
      <c r="C8170" s="1" t="n">
        <v>45212</v>
      </c>
      <c r="D8170" t="inlineStr">
        <is>
          <t>VÄSTRA GÖTALANDS LÄN</t>
        </is>
      </c>
      <c r="E8170" t="inlineStr">
        <is>
          <t>UDDEVALLA</t>
        </is>
      </c>
      <c r="G8170" t="n">
        <v>2</v>
      </c>
      <c r="H8170" t="n">
        <v>0</v>
      </c>
      <c r="I8170" t="n">
        <v>0</v>
      </c>
      <c r="J8170" t="n">
        <v>0</v>
      </c>
      <c r="K8170" t="n">
        <v>0</v>
      </c>
      <c r="L8170" t="n">
        <v>0</v>
      </c>
      <c r="M8170" t="n">
        <v>0</v>
      </c>
      <c r="N8170" t="n">
        <v>0</v>
      </c>
      <c r="O8170" t="n">
        <v>0</v>
      </c>
      <c r="P8170" t="n">
        <v>0</v>
      </c>
      <c r="Q8170" t="n">
        <v>0</v>
      </c>
      <c r="R8170" s="2" t="inlineStr"/>
    </row>
    <row r="8171" ht="15" customHeight="1">
      <c r="A8171" t="inlineStr">
        <is>
          <t>A 10583-2022</t>
        </is>
      </c>
      <c r="B8171" s="1" t="n">
        <v>44624</v>
      </c>
      <c r="C8171" s="1" t="n">
        <v>45212</v>
      </c>
      <c r="D8171" t="inlineStr">
        <is>
          <t>VÄSTRA GÖTALANDS LÄN</t>
        </is>
      </c>
      <c r="E8171" t="inlineStr">
        <is>
          <t>MARK</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10655-2022</t>
        </is>
      </c>
      <c r="B8172" s="1" t="n">
        <v>44624</v>
      </c>
      <c r="C8172" s="1" t="n">
        <v>45212</v>
      </c>
      <c r="D8172" t="inlineStr">
        <is>
          <t>VÄSTRA GÖTALANDS LÄN</t>
        </is>
      </c>
      <c r="E8172" t="inlineStr">
        <is>
          <t>KUNGÄLV</t>
        </is>
      </c>
      <c r="G8172" t="n">
        <v>13.3</v>
      </c>
      <c r="H8172" t="n">
        <v>0</v>
      </c>
      <c r="I8172" t="n">
        <v>0</v>
      </c>
      <c r="J8172" t="n">
        <v>0</v>
      </c>
      <c r="K8172" t="n">
        <v>0</v>
      </c>
      <c r="L8172" t="n">
        <v>0</v>
      </c>
      <c r="M8172" t="n">
        <v>0</v>
      </c>
      <c r="N8172" t="n">
        <v>0</v>
      </c>
      <c r="O8172" t="n">
        <v>0</v>
      </c>
      <c r="P8172" t="n">
        <v>0</v>
      </c>
      <c r="Q8172" t="n">
        <v>0</v>
      </c>
      <c r="R8172" s="2" t="inlineStr"/>
    </row>
    <row r="8173" ht="15" customHeight="1">
      <c r="A8173" t="inlineStr">
        <is>
          <t>A 10665-2022</t>
        </is>
      </c>
      <c r="B8173" s="1" t="n">
        <v>44624</v>
      </c>
      <c r="C8173" s="1" t="n">
        <v>45212</v>
      </c>
      <c r="D8173" t="inlineStr">
        <is>
          <t>VÄSTRA GÖTALANDS LÄN</t>
        </is>
      </c>
      <c r="E8173" t="inlineStr">
        <is>
          <t>BORÅS</t>
        </is>
      </c>
      <c r="F8173" t="inlineStr">
        <is>
          <t>Kyrkan</t>
        </is>
      </c>
      <c r="G8173" t="n">
        <v>5.3</v>
      </c>
      <c r="H8173" t="n">
        <v>0</v>
      </c>
      <c r="I8173" t="n">
        <v>0</v>
      </c>
      <c r="J8173" t="n">
        <v>0</v>
      </c>
      <c r="K8173" t="n">
        <v>0</v>
      </c>
      <c r="L8173" t="n">
        <v>0</v>
      </c>
      <c r="M8173" t="n">
        <v>0</v>
      </c>
      <c r="N8173" t="n">
        <v>0</v>
      </c>
      <c r="O8173" t="n">
        <v>0</v>
      </c>
      <c r="P8173" t="n">
        <v>0</v>
      </c>
      <c r="Q8173" t="n">
        <v>0</v>
      </c>
      <c r="R8173" s="2" t="inlineStr"/>
    </row>
    <row r="8174" ht="15" customHeight="1">
      <c r="A8174" t="inlineStr">
        <is>
          <t>A 10667-2022</t>
        </is>
      </c>
      <c r="B8174" s="1" t="n">
        <v>44624</v>
      </c>
      <c r="C8174" s="1" t="n">
        <v>45212</v>
      </c>
      <c r="D8174" t="inlineStr">
        <is>
          <t>VÄSTRA GÖTALANDS LÄN</t>
        </is>
      </c>
      <c r="E8174" t="inlineStr">
        <is>
          <t>BORÅS</t>
        </is>
      </c>
      <c r="F8174" t="inlineStr">
        <is>
          <t>Kyrkan</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10714-2022</t>
        </is>
      </c>
      <c r="B8175" s="1" t="n">
        <v>44626</v>
      </c>
      <c r="C8175" s="1" t="n">
        <v>45212</v>
      </c>
      <c r="D8175" t="inlineStr">
        <is>
          <t>VÄSTRA GÖTALANDS LÄN</t>
        </is>
      </c>
      <c r="E8175" t="inlineStr">
        <is>
          <t>ULRICEHAMN</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10722-2022</t>
        </is>
      </c>
      <c r="B8176" s="1" t="n">
        <v>44627</v>
      </c>
      <c r="C8176" s="1" t="n">
        <v>45212</v>
      </c>
      <c r="D8176" t="inlineStr">
        <is>
          <t>VÄSTRA GÖTALANDS LÄN</t>
        </is>
      </c>
      <c r="E8176" t="inlineStr">
        <is>
          <t>MELLERUD</t>
        </is>
      </c>
      <c r="G8176" t="n">
        <v>3.7</v>
      </c>
      <c r="H8176" t="n">
        <v>0</v>
      </c>
      <c r="I8176" t="n">
        <v>0</v>
      </c>
      <c r="J8176" t="n">
        <v>0</v>
      </c>
      <c r="K8176" t="n">
        <v>0</v>
      </c>
      <c r="L8176" t="n">
        <v>0</v>
      </c>
      <c r="M8176" t="n">
        <v>0</v>
      </c>
      <c r="N8176" t="n">
        <v>0</v>
      </c>
      <c r="O8176" t="n">
        <v>0</v>
      </c>
      <c r="P8176" t="n">
        <v>0</v>
      </c>
      <c r="Q8176" t="n">
        <v>0</v>
      </c>
      <c r="R8176" s="2" t="inlineStr"/>
    </row>
    <row r="8177" ht="15" customHeight="1">
      <c r="A8177" t="inlineStr">
        <is>
          <t>A 10791-2022</t>
        </is>
      </c>
      <c r="B8177" s="1" t="n">
        <v>44627</v>
      </c>
      <c r="C8177" s="1" t="n">
        <v>45212</v>
      </c>
      <c r="D8177" t="inlineStr">
        <is>
          <t>VÄSTRA GÖTALANDS LÄN</t>
        </is>
      </c>
      <c r="E8177" t="inlineStr">
        <is>
          <t>LIDKÖPING</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10729-2022</t>
        </is>
      </c>
      <c r="B8178" s="1" t="n">
        <v>44627</v>
      </c>
      <c r="C8178" s="1" t="n">
        <v>45212</v>
      </c>
      <c r="D8178" t="inlineStr">
        <is>
          <t>VÄSTRA GÖTALANDS LÄN</t>
        </is>
      </c>
      <c r="E8178" t="inlineStr">
        <is>
          <t>LILLA EDET</t>
        </is>
      </c>
      <c r="G8178" t="n">
        <v>0.2</v>
      </c>
      <c r="H8178" t="n">
        <v>0</v>
      </c>
      <c r="I8178" t="n">
        <v>0</v>
      </c>
      <c r="J8178" t="n">
        <v>0</v>
      </c>
      <c r="K8178" t="n">
        <v>0</v>
      </c>
      <c r="L8178" t="n">
        <v>0</v>
      </c>
      <c r="M8178" t="n">
        <v>0</v>
      </c>
      <c r="N8178" t="n">
        <v>0</v>
      </c>
      <c r="O8178" t="n">
        <v>0</v>
      </c>
      <c r="P8178" t="n">
        <v>0</v>
      </c>
      <c r="Q8178" t="n">
        <v>0</v>
      </c>
      <c r="R8178" s="2" t="inlineStr"/>
    </row>
    <row r="8179" ht="15" customHeight="1">
      <c r="A8179" t="inlineStr">
        <is>
          <t>A 10864-2022</t>
        </is>
      </c>
      <c r="B8179" s="1" t="n">
        <v>44627</v>
      </c>
      <c r="C8179" s="1" t="n">
        <v>45212</v>
      </c>
      <c r="D8179" t="inlineStr">
        <is>
          <t>VÄSTRA GÖTALANDS LÄN</t>
        </is>
      </c>
      <c r="E8179" t="inlineStr">
        <is>
          <t>UDDEVALLA</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10772-2022</t>
        </is>
      </c>
      <c r="B8180" s="1" t="n">
        <v>44627</v>
      </c>
      <c r="C8180" s="1" t="n">
        <v>45212</v>
      </c>
      <c r="D8180" t="inlineStr">
        <is>
          <t>VÄSTRA GÖTALANDS LÄN</t>
        </is>
      </c>
      <c r="E8180" t="inlineStr">
        <is>
          <t>FALKÖPING</t>
        </is>
      </c>
      <c r="F8180" t="inlineStr">
        <is>
          <t>Kommuner</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10958-2022</t>
        </is>
      </c>
      <c r="B8181" s="1" t="n">
        <v>44628</v>
      </c>
      <c r="C8181" s="1" t="n">
        <v>45212</v>
      </c>
      <c r="D8181" t="inlineStr">
        <is>
          <t>VÄSTRA GÖTALANDS LÄN</t>
        </is>
      </c>
      <c r="E8181" t="inlineStr">
        <is>
          <t>GÖTENE</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11073-2022</t>
        </is>
      </c>
      <c r="B8182" s="1" t="n">
        <v>44628</v>
      </c>
      <c r="C8182" s="1" t="n">
        <v>45212</v>
      </c>
      <c r="D8182" t="inlineStr">
        <is>
          <t>VÄSTRA GÖTALANDS LÄN</t>
        </is>
      </c>
      <c r="E8182" t="inlineStr">
        <is>
          <t>MARIESTAD</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11066-2022</t>
        </is>
      </c>
      <c r="B8183" s="1" t="n">
        <v>44628</v>
      </c>
      <c r="C8183" s="1" t="n">
        <v>45212</v>
      </c>
      <c r="D8183" t="inlineStr">
        <is>
          <t>VÄSTRA GÖTALANDS LÄN</t>
        </is>
      </c>
      <c r="E8183" t="inlineStr">
        <is>
          <t>BENGTSFORS</t>
        </is>
      </c>
      <c r="G8183" t="n">
        <v>3.3</v>
      </c>
      <c r="H8183" t="n">
        <v>0</v>
      </c>
      <c r="I8183" t="n">
        <v>0</v>
      </c>
      <c r="J8183" t="n">
        <v>0</v>
      </c>
      <c r="K8183" t="n">
        <v>0</v>
      </c>
      <c r="L8183" t="n">
        <v>0</v>
      </c>
      <c r="M8183" t="n">
        <v>0</v>
      </c>
      <c r="N8183" t="n">
        <v>0</v>
      </c>
      <c r="O8183" t="n">
        <v>0</v>
      </c>
      <c r="P8183" t="n">
        <v>0</v>
      </c>
      <c r="Q8183" t="n">
        <v>0</v>
      </c>
      <c r="R8183" s="2" t="inlineStr"/>
    </row>
    <row r="8184" ht="15" customHeight="1">
      <c r="A8184" t="inlineStr">
        <is>
          <t>A 10999-2022</t>
        </is>
      </c>
      <c r="B8184" s="1" t="n">
        <v>44628</v>
      </c>
      <c r="C8184" s="1" t="n">
        <v>45212</v>
      </c>
      <c r="D8184" t="inlineStr">
        <is>
          <t>VÄSTRA GÖTALANDS LÄN</t>
        </is>
      </c>
      <c r="E8184" t="inlineStr">
        <is>
          <t>ALINGSÅS</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11195-2022</t>
        </is>
      </c>
      <c r="B8185" s="1" t="n">
        <v>44629</v>
      </c>
      <c r="C8185" s="1" t="n">
        <v>45212</v>
      </c>
      <c r="D8185" t="inlineStr">
        <is>
          <t>VÄSTRA GÖTALANDS LÄN</t>
        </is>
      </c>
      <c r="E8185" t="inlineStr">
        <is>
          <t>MUNKEDAL</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11280-2022</t>
        </is>
      </c>
      <c r="B8186" s="1" t="n">
        <v>44629</v>
      </c>
      <c r="C8186" s="1" t="n">
        <v>45212</v>
      </c>
      <c r="D8186" t="inlineStr">
        <is>
          <t>VÄSTRA GÖTALANDS LÄN</t>
        </is>
      </c>
      <c r="E8186" t="inlineStr">
        <is>
          <t>FALKÖPING</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11147-2022</t>
        </is>
      </c>
      <c r="B8187" s="1" t="n">
        <v>44629</v>
      </c>
      <c r="C8187" s="1" t="n">
        <v>45212</v>
      </c>
      <c r="D8187" t="inlineStr">
        <is>
          <t>VÄSTRA GÖTALANDS LÄN</t>
        </is>
      </c>
      <c r="E8187" t="inlineStr">
        <is>
          <t>MARIESTAD</t>
        </is>
      </c>
      <c r="F8187" t="inlineStr">
        <is>
          <t>Kommuner</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11362-2022</t>
        </is>
      </c>
      <c r="B8188" s="1" t="n">
        <v>44630</v>
      </c>
      <c r="C8188" s="1" t="n">
        <v>45212</v>
      </c>
      <c r="D8188" t="inlineStr">
        <is>
          <t>VÄSTRA GÖTALANDS LÄN</t>
        </is>
      </c>
      <c r="E8188" t="inlineStr">
        <is>
          <t>BORÅS</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11436-2022</t>
        </is>
      </c>
      <c r="B8189" s="1" t="n">
        <v>44630</v>
      </c>
      <c r="C8189" s="1" t="n">
        <v>45212</v>
      </c>
      <c r="D8189" t="inlineStr">
        <is>
          <t>VÄSTRA GÖTALANDS LÄN</t>
        </is>
      </c>
      <c r="E8189" t="inlineStr">
        <is>
          <t>FALKÖPING</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11449-2022</t>
        </is>
      </c>
      <c r="B8190" s="1" t="n">
        <v>44630</v>
      </c>
      <c r="C8190" s="1" t="n">
        <v>45212</v>
      </c>
      <c r="D8190" t="inlineStr">
        <is>
          <t>VÄSTRA GÖTALANDS LÄN</t>
        </is>
      </c>
      <c r="E8190" t="inlineStr">
        <is>
          <t>TRANEMO</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11373-2022</t>
        </is>
      </c>
      <c r="B8191" s="1" t="n">
        <v>44630</v>
      </c>
      <c r="C8191" s="1" t="n">
        <v>45212</v>
      </c>
      <c r="D8191" t="inlineStr">
        <is>
          <t>VÄSTRA GÖTALANDS LÄN</t>
        </is>
      </c>
      <c r="E8191" t="inlineStr">
        <is>
          <t>BORÅS</t>
        </is>
      </c>
      <c r="G8191" t="n">
        <v>7.8</v>
      </c>
      <c r="H8191" t="n">
        <v>0</v>
      </c>
      <c r="I8191" t="n">
        <v>0</v>
      </c>
      <c r="J8191" t="n">
        <v>0</v>
      </c>
      <c r="K8191" t="n">
        <v>0</v>
      </c>
      <c r="L8191" t="n">
        <v>0</v>
      </c>
      <c r="M8191" t="n">
        <v>0</v>
      </c>
      <c r="N8191" t="n">
        <v>0</v>
      </c>
      <c r="O8191" t="n">
        <v>0</v>
      </c>
      <c r="P8191" t="n">
        <v>0</v>
      </c>
      <c r="Q8191" t="n">
        <v>0</v>
      </c>
      <c r="R8191" s="2" t="inlineStr"/>
    </row>
    <row r="8192" ht="15" customHeight="1">
      <c r="A8192" t="inlineStr">
        <is>
          <t>A 11414-2022</t>
        </is>
      </c>
      <c r="B8192" s="1" t="n">
        <v>44630</v>
      </c>
      <c r="C8192" s="1" t="n">
        <v>45212</v>
      </c>
      <c r="D8192" t="inlineStr">
        <is>
          <t>VÄSTRA GÖTALANDS LÄN</t>
        </is>
      </c>
      <c r="E8192" t="inlineStr">
        <is>
          <t>MARK</t>
        </is>
      </c>
      <c r="F8192" t="inlineStr">
        <is>
          <t>Sveaskog</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11367-2022</t>
        </is>
      </c>
      <c r="B8193" s="1" t="n">
        <v>44630</v>
      </c>
      <c r="C8193" s="1" t="n">
        <v>45212</v>
      </c>
      <c r="D8193" t="inlineStr">
        <is>
          <t>VÄSTRA GÖTALANDS LÄN</t>
        </is>
      </c>
      <c r="E8193" t="inlineStr">
        <is>
          <t>MUNKEDAL</t>
        </is>
      </c>
      <c r="G8193" t="n">
        <v>9.800000000000001</v>
      </c>
      <c r="H8193" t="n">
        <v>0</v>
      </c>
      <c r="I8193" t="n">
        <v>0</v>
      </c>
      <c r="J8193" t="n">
        <v>0</v>
      </c>
      <c r="K8193" t="n">
        <v>0</v>
      </c>
      <c r="L8193" t="n">
        <v>0</v>
      </c>
      <c r="M8193" t="n">
        <v>0</v>
      </c>
      <c r="N8193" t="n">
        <v>0</v>
      </c>
      <c r="O8193" t="n">
        <v>0</v>
      </c>
      <c r="P8193" t="n">
        <v>0</v>
      </c>
      <c r="Q8193" t="n">
        <v>0</v>
      </c>
      <c r="R8193" s="2" t="inlineStr"/>
    </row>
    <row r="8194" ht="15" customHeight="1">
      <c r="A8194" t="inlineStr">
        <is>
          <t>A 11440-2022</t>
        </is>
      </c>
      <c r="B8194" s="1" t="n">
        <v>44630</v>
      </c>
      <c r="C8194" s="1" t="n">
        <v>45212</v>
      </c>
      <c r="D8194" t="inlineStr">
        <is>
          <t>VÄSTRA GÖTALANDS LÄN</t>
        </is>
      </c>
      <c r="E8194" t="inlineStr">
        <is>
          <t>FALKÖPING</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11572-2022</t>
        </is>
      </c>
      <c r="B8195" s="1" t="n">
        <v>44631</v>
      </c>
      <c r="C8195" s="1" t="n">
        <v>45212</v>
      </c>
      <c r="D8195" t="inlineStr">
        <is>
          <t>VÄSTRA GÖTALANDS LÄN</t>
        </is>
      </c>
      <c r="E8195" t="inlineStr">
        <is>
          <t>MARK</t>
        </is>
      </c>
      <c r="G8195" t="n">
        <v>12.3</v>
      </c>
      <c r="H8195" t="n">
        <v>0</v>
      </c>
      <c r="I8195" t="n">
        <v>0</v>
      </c>
      <c r="J8195" t="n">
        <v>0</v>
      </c>
      <c r="K8195" t="n">
        <v>0</v>
      </c>
      <c r="L8195" t="n">
        <v>0</v>
      </c>
      <c r="M8195" t="n">
        <v>0</v>
      </c>
      <c r="N8195" t="n">
        <v>0</v>
      </c>
      <c r="O8195" t="n">
        <v>0</v>
      </c>
      <c r="P8195" t="n">
        <v>0</v>
      </c>
      <c r="Q8195" t="n">
        <v>0</v>
      </c>
      <c r="R8195" s="2" t="inlineStr"/>
    </row>
    <row r="8196" ht="15" customHeight="1">
      <c r="A8196" t="inlineStr">
        <is>
          <t>A 11575-2022</t>
        </is>
      </c>
      <c r="B8196" s="1" t="n">
        <v>44631</v>
      </c>
      <c r="C8196" s="1" t="n">
        <v>45212</v>
      </c>
      <c r="D8196" t="inlineStr">
        <is>
          <t>VÄSTRA GÖTALANDS LÄN</t>
        </is>
      </c>
      <c r="E8196" t="inlineStr">
        <is>
          <t>MARK</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11589-2022</t>
        </is>
      </c>
      <c r="B8197" s="1" t="n">
        <v>44631</v>
      </c>
      <c r="C8197" s="1" t="n">
        <v>45212</v>
      </c>
      <c r="D8197" t="inlineStr">
        <is>
          <t>VÄSTRA GÖTALANDS LÄN</t>
        </is>
      </c>
      <c r="E8197" t="inlineStr">
        <is>
          <t>VARA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11720-2022</t>
        </is>
      </c>
      <c r="B8198" s="1" t="n">
        <v>44634</v>
      </c>
      <c r="C8198" s="1" t="n">
        <v>45212</v>
      </c>
      <c r="D8198" t="inlineStr">
        <is>
          <t>VÄSTRA GÖTALANDS LÄN</t>
        </is>
      </c>
      <c r="E8198" t="inlineStr">
        <is>
          <t>BENGTSFORS</t>
        </is>
      </c>
      <c r="G8198" t="n">
        <v>2</v>
      </c>
      <c r="H8198" t="n">
        <v>0</v>
      </c>
      <c r="I8198" t="n">
        <v>0</v>
      </c>
      <c r="J8198" t="n">
        <v>0</v>
      </c>
      <c r="K8198" t="n">
        <v>0</v>
      </c>
      <c r="L8198" t="n">
        <v>0</v>
      </c>
      <c r="M8198" t="n">
        <v>0</v>
      </c>
      <c r="N8198" t="n">
        <v>0</v>
      </c>
      <c r="O8198" t="n">
        <v>0</v>
      </c>
      <c r="P8198" t="n">
        <v>0</v>
      </c>
      <c r="Q8198" t="n">
        <v>0</v>
      </c>
      <c r="R8198" s="2" t="inlineStr"/>
    </row>
    <row r="8199" ht="15" customHeight="1">
      <c r="A8199" t="inlineStr">
        <is>
          <t>A 11770-2022</t>
        </is>
      </c>
      <c r="B8199" s="1" t="n">
        <v>44634</v>
      </c>
      <c r="C8199" s="1" t="n">
        <v>45212</v>
      </c>
      <c r="D8199" t="inlineStr">
        <is>
          <t>VÄSTRA GÖTALANDS LÄN</t>
        </is>
      </c>
      <c r="E8199" t="inlineStr">
        <is>
          <t>UDDEVALLA</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11721-2022</t>
        </is>
      </c>
      <c r="B8200" s="1" t="n">
        <v>44634</v>
      </c>
      <c r="C8200" s="1" t="n">
        <v>45212</v>
      </c>
      <c r="D8200" t="inlineStr">
        <is>
          <t>VÄSTRA GÖTALANDS LÄN</t>
        </is>
      </c>
      <c r="E8200" t="inlineStr">
        <is>
          <t>BENGTSFORS</t>
        </is>
      </c>
      <c r="G8200" t="n">
        <v>12.8</v>
      </c>
      <c r="H8200" t="n">
        <v>0</v>
      </c>
      <c r="I8200" t="n">
        <v>0</v>
      </c>
      <c r="J8200" t="n">
        <v>0</v>
      </c>
      <c r="K8200" t="n">
        <v>0</v>
      </c>
      <c r="L8200" t="n">
        <v>0</v>
      </c>
      <c r="M8200" t="n">
        <v>0</v>
      </c>
      <c r="N8200" t="n">
        <v>0</v>
      </c>
      <c r="O8200" t="n">
        <v>0</v>
      </c>
      <c r="P8200" t="n">
        <v>0</v>
      </c>
      <c r="Q8200" t="n">
        <v>0</v>
      </c>
      <c r="R8200" s="2" t="inlineStr"/>
    </row>
    <row r="8201" ht="15" customHeight="1">
      <c r="A8201" t="inlineStr">
        <is>
          <t>A 12026-2022</t>
        </is>
      </c>
      <c r="B8201" s="1" t="n">
        <v>44636</v>
      </c>
      <c r="C8201" s="1" t="n">
        <v>45212</v>
      </c>
      <c r="D8201" t="inlineStr">
        <is>
          <t>VÄSTRA GÖTALANDS LÄN</t>
        </is>
      </c>
      <c r="E8201" t="inlineStr">
        <is>
          <t>TIDAHOLM</t>
        </is>
      </c>
      <c r="G8201" t="n">
        <v>18.8</v>
      </c>
      <c r="H8201" t="n">
        <v>0</v>
      </c>
      <c r="I8201" t="n">
        <v>0</v>
      </c>
      <c r="J8201" t="n">
        <v>0</v>
      </c>
      <c r="K8201" t="n">
        <v>0</v>
      </c>
      <c r="L8201" t="n">
        <v>0</v>
      </c>
      <c r="M8201" t="n">
        <v>0</v>
      </c>
      <c r="N8201" t="n">
        <v>0</v>
      </c>
      <c r="O8201" t="n">
        <v>0</v>
      </c>
      <c r="P8201" t="n">
        <v>0</v>
      </c>
      <c r="Q8201" t="n">
        <v>0</v>
      </c>
      <c r="R8201" s="2" t="inlineStr"/>
    </row>
    <row r="8202" ht="15" customHeight="1">
      <c r="A8202" t="inlineStr">
        <is>
          <t>A 12149-2022</t>
        </is>
      </c>
      <c r="B8202" s="1" t="n">
        <v>44636</v>
      </c>
      <c r="C8202" s="1" t="n">
        <v>45212</v>
      </c>
      <c r="D8202" t="inlineStr">
        <is>
          <t>VÄSTRA GÖTALANDS LÄN</t>
        </is>
      </c>
      <c r="E8202" t="inlineStr">
        <is>
          <t>ULRICEHAMN</t>
        </is>
      </c>
      <c r="G8202" t="n">
        <v>6.3</v>
      </c>
      <c r="H8202" t="n">
        <v>0</v>
      </c>
      <c r="I8202" t="n">
        <v>0</v>
      </c>
      <c r="J8202" t="n">
        <v>0</v>
      </c>
      <c r="K8202" t="n">
        <v>0</v>
      </c>
      <c r="L8202" t="n">
        <v>0</v>
      </c>
      <c r="M8202" t="n">
        <v>0</v>
      </c>
      <c r="N8202" t="n">
        <v>0</v>
      </c>
      <c r="O8202" t="n">
        <v>0</v>
      </c>
      <c r="P8202" t="n">
        <v>0</v>
      </c>
      <c r="Q8202" t="n">
        <v>0</v>
      </c>
      <c r="R8202" s="2" t="inlineStr"/>
    </row>
    <row r="8203" ht="15" customHeight="1">
      <c r="A8203" t="inlineStr">
        <is>
          <t>A 12059-2022</t>
        </is>
      </c>
      <c r="B8203" s="1" t="n">
        <v>44636</v>
      </c>
      <c r="C8203" s="1" t="n">
        <v>45212</v>
      </c>
      <c r="D8203" t="inlineStr">
        <is>
          <t>VÄSTRA GÖTALANDS LÄN</t>
        </is>
      </c>
      <c r="E8203" t="inlineStr">
        <is>
          <t>FÄRGELANDA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12103-2022</t>
        </is>
      </c>
      <c r="B8204" s="1" t="n">
        <v>44636</v>
      </c>
      <c r="C8204" s="1" t="n">
        <v>45212</v>
      </c>
      <c r="D8204" t="inlineStr">
        <is>
          <t>VÄSTRA GÖTALANDS LÄN</t>
        </is>
      </c>
      <c r="E8204" t="inlineStr">
        <is>
          <t>FALKÖPING</t>
        </is>
      </c>
      <c r="G8204" t="n">
        <v>8.6</v>
      </c>
      <c r="H8204" t="n">
        <v>0</v>
      </c>
      <c r="I8204" t="n">
        <v>0</v>
      </c>
      <c r="J8204" t="n">
        <v>0</v>
      </c>
      <c r="K8204" t="n">
        <v>0</v>
      </c>
      <c r="L8204" t="n">
        <v>0</v>
      </c>
      <c r="M8204" t="n">
        <v>0</v>
      </c>
      <c r="N8204" t="n">
        <v>0</v>
      </c>
      <c r="O8204" t="n">
        <v>0</v>
      </c>
      <c r="P8204" t="n">
        <v>0</v>
      </c>
      <c r="Q8204" t="n">
        <v>0</v>
      </c>
      <c r="R8204" s="2" t="inlineStr"/>
    </row>
    <row r="8205" ht="15" customHeight="1">
      <c r="A8205" t="inlineStr">
        <is>
          <t>A 12211-2022</t>
        </is>
      </c>
      <c r="B8205" s="1" t="n">
        <v>44636</v>
      </c>
      <c r="C8205" s="1" t="n">
        <v>45212</v>
      </c>
      <c r="D8205" t="inlineStr">
        <is>
          <t>VÄSTRA GÖTALANDS LÄN</t>
        </is>
      </c>
      <c r="E8205" t="inlineStr">
        <is>
          <t>MUNKEDAL</t>
        </is>
      </c>
      <c r="F8205" t="inlineStr">
        <is>
          <t>Övriga Aktiebolag</t>
        </is>
      </c>
      <c r="G8205" t="n">
        <v>7</v>
      </c>
      <c r="H8205" t="n">
        <v>0</v>
      </c>
      <c r="I8205" t="n">
        <v>0</v>
      </c>
      <c r="J8205" t="n">
        <v>0</v>
      </c>
      <c r="K8205" t="n">
        <v>0</v>
      </c>
      <c r="L8205" t="n">
        <v>0</v>
      </c>
      <c r="M8205" t="n">
        <v>0</v>
      </c>
      <c r="N8205" t="n">
        <v>0</v>
      </c>
      <c r="O8205" t="n">
        <v>0</v>
      </c>
      <c r="P8205" t="n">
        <v>0</v>
      </c>
      <c r="Q8205" t="n">
        <v>0</v>
      </c>
      <c r="R8205" s="2" t="inlineStr"/>
    </row>
    <row r="8206" ht="15" customHeight="1">
      <c r="A8206" t="inlineStr">
        <is>
          <t>A 12124-2022</t>
        </is>
      </c>
      <c r="B8206" s="1" t="n">
        <v>44636</v>
      </c>
      <c r="C8206" s="1" t="n">
        <v>45212</v>
      </c>
      <c r="D8206" t="inlineStr">
        <is>
          <t>VÄSTRA GÖTALANDS LÄN</t>
        </is>
      </c>
      <c r="E8206" t="inlineStr">
        <is>
          <t>FALKÖPING</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12157-2022</t>
        </is>
      </c>
      <c r="B8207" s="1" t="n">
        <v>44636</v>
      </c>
      <c r="C8207" s="1" t="n">
        <v>45212</v>
      </c>
      <c r="D8207" t="inlineStr">
        <is>
          <t>VÄSTRA GÖTALANDS LÄN</t>
        </is>
      </c>
      <c r="E8207" t="inlineStr">
        <is>
          <t>MELLERUD</t>
        </is>
      </c>
      <c r="G8207" t="n">
        <v>2.7</v>
      </c>
      <c r="H8207" t="n">
        <v>0</v>
      </c>
      <c r="I8207" t="n">
        <v>0</v>
      </c>
      <c r="J8207" t="n">
        <v>0</v>
      </c>
      <c r="K8207" t="n">
        <v>0</v>
      </c>
      <c r="L8207" t="n">
        <v>0</v>
      </c>
      <c r="M8207" t="n">
        <v>0</v>
      </c>
      <c r="N8207" t="n">
        <v>0</v>
      </c>
      <c r="O8207" t="n">
        <v>0</v>
      </c>
      <c r="P8207" t="n">
        <v>0</v>
      </c>
      <c r="Q8207" t="n">
        <v>0</v>
      </c>
      <c r="R8207" s="2" t="inlineStr"/>
    </row>
    <row r="8208" ht="15" customHeight="1">
      <c r="A8208" t="inlineStr">
        <is>
          <t>A 12055-2022</t>
        </is>
      </c>
      <c r="B8208" s="1" t="n">
        <v>44636</v>
      </c>
      <c r="C8208" s="1" t="n">
        <v>45212</v>
      </c>
      <c r="D8208" t="inlineStr">
        <is>
          <t>VÄSTRA GÖTALANDS LÄN</t>
        </is>
      </c>
      <c r="E8208" t="inlineStr">
        <is>
          <t>ALE</t>
        </is>
      </c>
      <c r="G8208" t="n">
        <v>0.2</v>
      </c>
      <c r="H8208" t="n">
        <v>0</v>
      </c>
      <c r="I8208" t="n">
        <v>0</v>
      </c>
      <c r="J8208" t="n">
        <v>0</v>
      </c>
      <c r="K8208" t="n">
        <v>0</v>
      </c>
      <c r="L8208" t="n">
        <v>0</v>
      </c>
      <c r="M8208" t="n">
        <v>0</v>
      </c>
      <c r="N8208" t="n">
        <v>0</v>
      </c>
      <c r="O8208" t="n">
        <v>0</v>
      </c>
      <c r="P8208" t="n">
        <v>0</v>
      </c>
      <c r="Q8208" t="n">
        <v>0</v>
      </c>
      <c r="R8208" s="2" t="inlineStr"/>
    </row>
    <row r="8209" ht="15" customHeight="1">
      <c r="A8209" t="inlineStr">
        <is>
          <t>A 12101-2022</t>
        </is>
      </c>
      <c r="B8209" s="1" t="n">
        <v>44636</v>
      </c>
      <c r="C8209" s="1" t="n">
        <v>45212</v>
      </c>
      <c r="D8209" t="inlineStr">
        <is>
          <t>VÄSTRA GÖTALANDS LÄN</t>
        </is>
      </c>
      <c r="E8209" t="inlineStr">
        <is>
          <t>ULRICEHAMN</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12162-2022</t>
        </is>
      </c>
      <c r="B8210" s="1" t="n">
        <v>44636</v>
      </c>
      <c r="C8210" s="1" t="n">
        <v>45212</v>
      </c>
      <c r="D8210" t="inlineStr">
        <is>
          <t>VÄSTRA GÖTALANDS LÄN</t>
        </is>
      </c>
      <c r="E8210" t="inlineStr">
        <is>
          <t>SKÖVDE</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12276-2022</t>
        </is>
      </c>
      <c r="B8211" s="1" t="n">
        <v>44637</v>
      </c>
      <c r="C8211" s="1" t="n">
        <v>45212</v>
      </c>
      <c r="D8211" t="inlineStr">
        <is>
          <t>VÄSTRA GÖTALANDS LÄN</t>
        </is>
      </c>
      <c r="E8211" t="inlineStr">
        <is>
          <t>FALKÖPING</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12283-2022</t>
        </is>
      </c>
      <c r="B8212" s="1" t="n">
        <v>44637</v>
      </c>
      <c r="C8212" s="1" t="n">
        <v>45212</v>
      </c>
      <c r="D8212" t="inlineStr">
        <is>
          <t>VÄSTRA GÖTALANDS LÄN</t>
        </is>
      </c>
      <c r="E8212" t="inlineStr">
        <is>
          <t>TRANEMO</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12318-2022</t>
        </is>
      </c>
      <c r="B8213" s="1" t="n">
        <v>44637</v>
      </c>
      <c r="C8213" s="1" t="n">
        <v>45212</v>
      </c>
      <c r="D8213" t="inlineStr">
        <is>
          <t>VÄSTRA GÖTALANDS LÄN</t>
        </is>
      </c>
      <c r="E8213" t="inlineStr">
        <is>
          <t>ALINGSÅS</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12367-2022</t>
        </is>
      </c>
      <c r="B8214" s="1" t="n">
        <v>44637</v>
      </c>
      <c r="C8214" s="1" t="n">
        <v>45212</v>
      </c>
      <c r="D8214" t="inlineStr">
        <is>
          <t>VÄSTRA GÖTALANDS LÄN</t>
        </is>
      </c>
      <c r="E8214" t="inlineStr">
        <is>
          <t>BOLLEBYGD</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12368-2022</t>
        </is>
      </c>
      <c r="B8215" s="1" t="n">
        <v>44637</v>
      </c>
      <c r="C8215" s="1" t="n">
        <v>45212</v>
      </c>
      <c r="D8215" t="inlineStr">
        <is>
          <t>VÄSTRA GÖTALANDS LÄN</t>
        </is>
      </c>
      <c r="E8215" t="inlineStr">
        <is>
          <t>MARK</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12363-2022</t>
        </is>
      </c>
      <c r="B8216" s="1" t="n">
        <v>44637</v>
      </c>
      <c r="C8216" s="1" t="n">
        <v>45212</v>
      </c>
      <c r="D8216" t="inlineStr">
        <is>
          <t>VÄSTRA GÖTALANDS LÄN</t>
        </is>
      </c>
      <c r="E8216" t="inlineStr">
        <is>
          <t>LILLA EDET</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12257-2022</t>
        </is>
      </c>
      <c r="B8217" s="1" t="n">
        <v>44637</v>
      </c>
      <c r="C8217" s="1" t="n">
        <v>45212</v>
      </c>
      <c r="D8217" t="inlineStr">
        <is>
          <t>VÄSTRA GÖTALANDS LÄN</t>
        </is>
      </c>
      <c r="E8217" t="inlineStr">
        <is>
          <t>BENGTSFORS</t>
        </is>
      </c>
      <c r="G8217" t="n">
        <v>1.2</v>
      </c>
      <c r="H8217" t="n">
        <v>0</v>
      </c>
      <c r="I8217" t="n">
        <v>0</v>
      </c>
      <c r="J8217" t="n">
        <v>0</v>
      </c>
      <c r="K8217" t="n">
        <v>0</v>
      </c>
      <c r="L8217" t="n">
        <v>0</v>
      </c>
      <c r="M8217" t="n">
        <v>0</v>
      </c>
      <c r="N8217" t="n">
        <v>0</v>
      </c>
      <c r="O8217" t="n">
        <v>0</v>
      </c>
      <c r="P8217" t="n">
        <v>0</v>
      </c>
      <c r="Q8217" t="n">
        <v>0</v>
      </c>
      <c r="R8217" s="2" t="inlineStr"/>
    </row>
    <row r="8218" ht="15" customHeight="1">
      <c r="A8218" t="inlineStr">
        <is>
          <t>A 12445-2022</t>
        </is>
      </c>
      <c r="B8218" s="1" t="n">
        <v>44638</v>
      </c>
      <c r="C8218" s="1" t="n">
        <v>45212</v>
      </c>
      <c r="D8218" t="inlineStr">
        <is>
          <t>VÄSTRA GÖTALANDS LÄN</t>
        </is>
      </c>
      <c r="E8218" t="inlineStr">
        <is>
          <t>ALE</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12460-2022</t>
        </is>
      </c>
      <c r="B8219" s="1" t="n">
        <v>44638</v>
      </c>
      <c r="C8219" s="1" t="n">
        <v>45212</v>
      </c>
      <c r="D8219" t="inlineStr">
        <is>
          <t>VÄSTRA GÖTALANDS LÄN</t>
        </is>
      </c>
      <c r="E8219" t="inlineStr">
        <is>
          <t>FÄRGELANDA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12532-2022</t>
        </is>
      </c>
      <c r="B8220" s="1" t="n">
        <v>44638</v>
      </c>
      <c r="C8220" s="1" t="n">
        <v>45212</v>
      </c>
      <c r="D8220" t="inlineStr">
        <is>
          <t>VÄSTRA GÖTALANDS LÄN</t>
        </is>
      </c>
      <c r="E8220" t="inlineStr">
        <is>
          <t>MARIESTAD</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12443-2022</t>
        </is>
      </c>
      <c r="B8221" s="1" t="n">
        <v>44638</v>
      </c>
      <c r="C8221" s="1" t="n">
        <v>45212</v>
      </c>
      <c r="D8221" t="inlineStr">
        <is>
          <t>VÄSTRA GÖTALANDS LÄN</t>
        </is>
      </c>
      <c r="E8221" t="inlineStr">
        <is>
          <t>ULRICEHAMN</t>
        </is>
      </c>
      <c r="G8221" t="n">
        <v>9.800000000000001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12450-2022</t>
        </is>
      </c>
      <c r="B8222" s="1" t="n">
        <v>44638</v>
      </c>
      <c r="C8222" s="1" t="n">
        <v>45212</v>
      </c>
      <c r="D8222" t="inlineStr">
        <is>
          <t>VÄSTRA GÖTALANDS LÄN</t>
        </is>
      </c>
      <c r="E8222" t="inlineStr">
        <is>
          <t>GÖTENE</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12588-2022</t>
        </is>
      </c>
      <c r="B8223" s="1" t="n">
        <v>44639</v>
      </c>
      <c r="C8223" s="1" t="n">
        <v>45212</v>
      </c>
      <c r="D8223" t="inlineStr">
        <is>
          <t>VÄSTRA GÖTALANDS LÄN</t>
        </is>
      </c>
      <c r="E8223" t="inlineStr">
        <is>
          <t>BORÅS</t>
        </is>
      </c>
      <c r="G8223" t="n">
        <v>9</v>
      </c>
      <c r="H8223" t="n">
        <v>0</v>
      </c>
      <c r="I8223" t="n">
        <v>0</v>
      </c>
      <c r="J8223" t="n">
        <v>0</v>
      </c>
      <c r="K8223" t="n">
        <v>0</v>
      </c>
      <c r="L8223" t="n">
        <v>0</v>
      </c>
      <c r="M8223" t="n">
        <v>0</v>
      </c>
      <c r="N8223" t="n">
        <v>0</v>
      </c>
      <c r="O8223" t="n">
        <v>0</v>
      </c>
      <c r="P8223" t="n">
        <v>0</v>
      </c>
      <c r="Q8223" t="n">
        <v>0</v>
      </c>
      <c r="R8223" s="2" t="inlineStr"/>
    </row>
    <row r="8224" ht="15" customHeight="1">
      <c r="A8224" t="inlineStr">
        <is>
          <t>A 12644-2022</t>
        </is>
      </c>
      <c r="B8224" s="1" t="n">
        <v>44641</v>
      </c>
      <c r="C8224" s="1" t="n">
        <v>45212</v>
      </c>
      <c r="D8224" t="inlineStr">
        <is>
          <t>VÄSTRA GÖTALANDS LÄN</t>
        </is>
      </c>
      <c r="E8224" t="inlineStr">
        <is>
          <t>SVENLJUNGA</t>
        </is>
      </c>
      <c r="F8224" t="inlineStr">
        <is>
          <t>Kommuner</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12634-2022</t>
        </is>
      </c>
      <c r="B8225" s="1" t="n">
        <v>44641</v>
      </c>
      <c r="C8225" s="1" t="n">
        <v>45212</v>
      </c>
      <c r="D8225" t="inlineStr">
        <is>
          <t>VÄSTRA GÖTALANDS LÄN</t>
        </is>
      </c>
      <c r="E8225" t="inlineStr">
        <is>
          <t>ULRICEHAMN</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12642-2022</t>
        </is>
      </c>
      <c r="B8226" s="1" t="n">
        <v>44641</v>
      </c>
      <c r="C8226" s="1" t="n">
        <v>45212</v>
      </c>
      <c r="D8226" t="inlineStr">
        <is>
          <t>VÄSTRA GÖTALANDS LÄN</t>
        </is>
      </c>
      <c r="E8226" t="inlineStr">
        <is>
          <t>BORÅS</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12650-2022</t>
        </is>
      </c>
      <c r="B8227" s="1" t="n">
        <v>44641</v>
      </c>
      <c r="C8227" s="1" t="n">
        <v>45212</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12645-2022</t>
        </is>
      </c>
      <c r="B8228" s="1" t="n">
        <v>44641</v>
      </c>
      <c r="C8228" s="1" t="n">
        <v>45212</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12799-2022</t>
        </is>
      </c>
      <c r="B8229" s="1" t="n">
        <v>44642</v>
      </c>
      <c r="C8229" s="1" t="n">
        <v>45212</v>
      </c>
      <c r="D8229" t="inlineStr">
        <is>
          <t>VÄSTRA GÖTALANDS LÄN</t>
        </is>
      </c>
      <c r="E8229" t="inlineStr">
        <is>
          <t>BENGTSFORS</t>
        </is>
      </c>
      <c r="G8229" t="n">
        <v>5.4</v>
      </c>
      <c r="H8229" t="n">
        <v>0</v>
      </c>
      <c r="I8229" t="n">
        <v>0</v>
      </c>
      <c r="J8229" t="n">
        <v>0</v>
      </c>
      <c r="K8229" t="n">
        <v>0</v>
      </c>
      <c r="L8229" t="n">
        <v>0</v>
      </c>
      <c r="M8229" t="n">
        <v>0</v>
      </c>
      <c r="N8229" t="n">
        <v>0</v>
      </c>
      <c r="O8229" t="n">
        <v>0</v>
      </c>
      <c r="P8229" t="n">
        <v>0</v>
      </c>
      <c r="Q8229" t="n">
        <v>0</v>
      </c>
      <c r="R8229" s="2" t="inlineStr"/>
    </row>
    <row r="8230" ht="15" customHeight="1">
      <c r="A8230" t="inlineStr">
        <is>
          <t>A 12866-2022</t>
        </is>
      </c>
      <c r="B8230" s="1" t="n">
        <v>44642</v>
      </c>
      <c r="C8230" s="1" t="n">
        <v>45212</v>
      </c>
      <c r="D8230" t="inlineStr">
        <is>
          <t>VÄSTRA GÖTALANDS LÄN</t>
        </is>
      </c>
      <c r="E8230" t="inlineStr">
        <is>
          <t>HERRLJUNGA</t>
        </is>
      </c>
      <c r="G8230" t="n">
        <v>0.8</v>
      </c>
      <c r="H8230" t="n">
        <v>0</v>
      </c>
      <c r="I8230" t="n">
        <v>0</v>
      </c>
      <c r="J8230" t="n">
        <v>0</v>
      </c>
      <c r="K8230" t="n">
        <v>0</v>
      </c>
      <c r="L8230" t="n">
        <v>0</v>
      </c>
      <c r="M8230" t="n">
        <v>0</v>
      </c>
      <c r="N8230" t="n">
        <v>0</v>
      </c>
      <c r="O8230" t="n">
        <v>0</v>
      </c>
      <c r="P8230" t="n">
        <v>0</v>
      </c>
      <c r="Q8230" t="n">
        <v>0</v>
      </c>
      <c r="R8230" s="2" t="inlineStr"/>
    </row>
    <row r="8231" ht="15" customHeight="1">
      <c r="A8231" t="inlineStr">
        <is>
          <t>A 12934-2022</t>
        </is>
      </c>
      <c r="B8231" s="1" t="n">
        <v>44642</v>
      </c>
      <c r="C8231" s="1" t="n">
        <v>45212</v>
      </c>
      <c r="D8231" t="inlineStr">
        <is>
          <t>VÄSTRA GÖTALANDS LÄN</t>
        </is>
      </c>
      <c r="E8231" t="inlineStr">
        <is>
          <t>ULRICEHAMN</t>
        </is>
      </c>
      <c r="G8231" t="n">
        <v>4.3</v>
      </c>
      <c r="H8231" t="n">
        <v>0</v>
      </c>
      <c r="I8231" t="n">
        <v>0</v>
      </c>
      <c r="J8231" t="n">
        <v>0</v>
      </c>
      <c r="K8231" t="n">
        <v>0</v>
      </c>
      <c r="L8231" t="n">
        <v>0</v>
      </c>
      <c r="M8231" t="n">
        <v>0</v>
      </c>
      <c r="N8231" t="n">
        <v>0</v>
      </c>
      <c r="O8231" t="n">
        <v>0</v>
      </c>
      <c r="P8231" t="n">
        <v>0</v>
      </c>
      <c r="Q8231" t="n">
        <v>0</v>
      </c>
      <c r="R8231" s="2" t="inlineStr"/>
    </row>
    <row r="8232" ht="15" customHeight="1">
      <c r="A8232" t="inlineStr">
        <is>
          <t>A 12802-2022</t>
        </is>
      </c>
      <c r="B8232" s="1" t="n">
        <v>44642</v>
      </c>
      <c r="C8232" s="1" t="n">
        <v>45212</v>
      </c>
      <c r="D8232" t="inlineStr">
        <is>
          <t>VÄSTRA GÖTALANDS LÄN</t>
        </is>
      </c>
      <c r="E8232" t="inlineStr">
        <is>
          <t>BORÅS</t>
        </is>
      </c>
      <c r="G8232" t="n">
        <v>1.7</v>
      </c>
      <c r="H8232" t="n">
        <v>0</v>
      </c>
      <c r="I8232" t="n">
        <v>0</v>
      </c>
      <c r="J8232" t="n">
        <v>0</v>
      </c>
      <c r="K8232" t="n">
        <v>0</v>
      </c>
      <c r="L8232" t="n">
        <v>0</v>
      </c>
      <c r="M8232" t="n">
        <v>0</v>
      </c>
      <c r="N8232" t="n">
        <v>0</v>
      </c>
      <c r="O8232" t="n">
        <v>0</v>
      </c>
      <c r="P8232" t="n">
        <v>0</v>
      </c>
      <c r="Q8232" t="n">
        <v>0</v>
      </c>
      <c r="R8232" s="2" t="inlineStr"/>
    </row>
    <row r="8233" ht="15" customHeight="1">
      <c r="A8233" t="inlineStr">
        <is>
          <t>A 12819-2022</t>
        </is>
      </c>
      <c r="B8233" s="1" t="n">
        <v>44642</v>
      </c>
      <c r="C8233" s="1" t="n">
        <v>45212</v>
      </c>
      <c r="D8233" t="inlineStr">
        <is>
          <t>VÄSTRA GÖTALANDS LÄN</t>
        </is>
      </c>
      <c r="E8233" t="inlineStr">
        <is>
          <t>LIDKÖPING</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12938-2022</t>
        </is>
      </c>
      <c r="B8234" s="1" t="n">
        <v>44642</v>
      </c>
      <c r="C8234" s="1" t="n">
        <v>45212</v>
      </c>
      <c r="D8234" t="inlineStr">
        <is>
          <t>VÄSTRA GÖTALANDS LÄN</t>
        </is>
      </c>
      <c r="E8234" t="inlineStr">
        <is>
          <t>VARA</t>
        </is>
      </c>
      <c r="G8234" t="n">
        <v>2.7</v>
      </c>
      <c r="H8234" t="n">
        <v>0</v>
      </c>
      <c r="I8234" t="n">
        <v>0</v>
      </c>
      <c r="J8234" t="n">
        <v>0</v>
      </c>
      <c r="K8234" t="n">
        <v>0</v>
      </c>
      <c r="L8234" t="n">
        <v>0</v>
      </c>
      <c r="M8234" t="n">
        <v>0</v>
      </c>
      <c r="N8234" t="n">
        <v>0</v>
      </c>
      <c r="O8234" t="n">
        <v>0</v>
      </c>
      <c r="P8234" t="n">
        <v>0</v>
      </c>
      <c r="Q8234" t="n">
        <v>0</v>
      </c>
      <c r="R8234" s="2" t="inlineStr"/>
    </row>
    <row r="8235" ht="15" customHeight="1">
      <c r="A8235" t="inlineStr">
        <is>
          <t>A 13086-2022</t>
        </is>
      </c>
      <c r="B8235" s="1" t="n">
        <v>44643</v>
      </c>
      <c r="C8235" s="1" t="n">
        <v>45212</v>
      </c>
      <c r="D8235" t="inlineStr">
        <is>
          <t>VÄSTRA GÖTALANDS LÄN</t>
        </is>
      </c>
      <c r="E8235" t="inlineStr">
        <is>
          <t>VARA</t>
        </is>
      </c>
      <c r="G8235" t="n">
        <v>1.8</v>
      </c>
      <c r="H8235" t="n">
        <v>0</v>
      </c>
      <c r="I8235" t="n">
        <v>0</v>
      </c>
      <c r="J8235" t="n">
        <v>0</v>
      </c>
      <c r="K8235" t="n">
        <v>0</v>
      </c>
      <c r="L8235" t="n">
        <v>0</v>
      </c>
      <c r="M8235" t="n">
        <v>0</v>
      </c>
      <c r="N8235" t="n">
        <v>0</v>
      </c>
      <c r="O8235" t="n">
        <v>0</v>
      </c>
      <c r="P8235" t="n">
        <v>0</v>
      </c>
      <c r="Q8235" t="n">
        <v>0</v>
      </c>
      <c r="R8235" s="2" t="inlineStr"/>
    </row>
    <row r="8236" ht="15" customHeight="1">
      <c r="A8236" t="inlineStr">
        <is>
          <t>A 13049-2022</t>
        </is>
      </c>
      <c r="B8236" s="1" t="n">
        <v>44643</v>
      </c>
      <c r="C8236" s="1" t="n">
        <v>45212</v>
      </c>
      <c r="D8236" t="inlineStr">
        <is>
          <t>VÄSTRA GÖTALANDS LÄN</t>
        </is>
      </c>
      <c r="E8236" t="inlineStr">
        <is>
          <t>GRÄSTORP</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13194-2022</t>
        </is>
      </c>
      <c r="B8237" s="1" t="n">
        <v>44644</v>
      </c>
      <c r="C8237" s="1" t="n">
        <v>45212</v>
      </c>
      <c r="D8237" t="inlineStr">
        <is>
          <t>VÄSTRA GÖTALANDS LÄN</t>
        </is>
      </c>
      <c r="E8237" t="inlineStr">
        <is>
          <t>VARA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13107-2022</t>
        </is>
      </c>
      <c r="B8238" s="1" t="n">
        <v>44644</v>
      </c>
      <c r="C8238" s="1" t="n">
        <v>45212</v>
      </c>
      <c r="D8238" t="inlineStr">
        <is>
          <t>VÄSTRA GÖTALANDS LÄN</t>
        </is>
      </c>
      <c r="E8238" t="inlineStr">
        <is>
          <t>BORÅS</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13200-2022</t>
        </is>
      </c>
      <c r="B8239" s="1" t="n">
        <v>44644</v>
      </c>
      <c r="C8239" s="1" t="n">
        <v>45212</v>
      </c>
      <c r="D8239" t="inlineStr">
        <is>
          <t>VÄSTRA GÖTALANDS LÄN</t>
        </is>
      </c>
      <c r="E8239" t="inlineStr">
        <is>
          <t>HERRLJUNGA</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13288-2022</t>
        </is>
      </c>
      <c r="B8240" s="1" t="n">
        <v>44644</v>
      </c>
      <c r="C8240" s="1" t="n">
        <v>45212</v>
      </c>
      <c r="D8240" t="inlineStr">
        <is>
          <t>VÄSTRA GÖTALANDS LÄN</t>
        </is>
      </c>
      <c r="E8240" t="inlineStr">
        <is>
          <t>MELLERUD</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13345-2022</t>
        </is>
      </c>
      <c r="B8241" s="1" t="n">
        <v>44645</v>
      </c>
      <c r="C8241" s="1" t="n">
        <v>45212</v>
      </c>
      <c r="D8241" t="inlineStr">
        <is>
          <t>VÄSTRA GÖTALANDS LÄN</t>
        </is>
      </c>
      <c r="E8241" t="inlineStr">
        <is>
          <t>GÖTENE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13340-2022</t>
        </is>
      </c>
      <c r="B8242" s="1" t="n">
        <v>44645</v>
      </c>
      <c r="C8242" s="1" t="n">
        <v>45212</v>
      </c>
      <c r="D8242" t="inlineStr">
        <is>
          <t>VÄSTRA GÖTALANDS LÄN</t>
        </is>
      </c>
      <c r="E8242" t="inlineStr">
        <is>
          <t>GÖTENE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13348-2022</t>
        </is>
      </c>
      <c r="B8243" s="1" t="n">
        <v>44645</v>
      </c>
      <c r="C8243" s="1" t="n">
        <v>45212</v>
      </c>
      <c r="D8243" t="inlineStr">
        <is>
          <t>VÄSTRA GÖTALANDS LÄN</t>
        </is>
      </c>
      <c r="E8243" t="inlineStr">
        <is>
          <t>GÖTENE</t>
        </is>
      </c>
      <c r="G8243" t="n">
        <v>1.7</v>
      </c>
      <c r="H8243" t="n">
        <v>0</v>
      </c>
      <c r="I8243" t="n">
        <v>0</v>
      </c>
      <c r="J8243" t="n">
        <v>0</v>
      </c>
      <c r="K8243" t="n">
        <v>0</v>
      </c>
      <c r="L8243" t="n">
        <v>0</v>
      </c>
      <c r="M8243" t="n">
        <v>0</v>
      </c>
      <c r="N8243" t="n">
        <v>0</v>
      </c>
      <c r="O8243" t="n">
        <v>0</v>
      </c>
      <c r="P8243" t="n">
        <v>0</v>
      </c>
      <c r="Q8243" t="n">
        <v>0</v>
      </c>
      <c r="R8243" s="2" t="inlineStr"/>
    </row>
    <row r="8244" ht="15" customHeight="1">
      <c r="A8244" t="inlineStr">
        <is>
          <t>A 13357-2022</t>
        </is>
      </c>
      <c r="B8244" s="1" t="n">
        <v>44645</v>
      </c>
      <c r="C8244" s="1" t="n">
        <v>45212</v>
      </c>
      <c r="D8244" t="inlineStr">
        <is>
          <t>VÄSTRA GÖTALANDS LÄN</t>
        </is>
      </c>
      <c r="E8244" t="inlineStr">
        <is>
          <t>GÖTENE</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13315-2022</t>
        </is>
      </c>
      <c r="B8245" s="1" t="n">
        <v>44645</v>
      </c>
      <c r="C8245" s="1" t="n">
        <v>45212</v>
      </c>
      <c r="D8245" t="inlineStr">
        <is>
          <t>VÄSTRA GÖTALANDS LÄN</t>
        </is>
      </c>
      <c r="E8245" t="inlineStr">
        <is>
          <t>MARIESTAD</t>
        </is>
      </c>
      <c r="F8245" t="inlineStr">
        <is>
          <t>Sveaskog</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13342-2022</t>
        </is>
      </c>
      <c r="B8246" s="1" t="n">
        <v>44645</v>
      </c>
      <c r="C8246" s="1" t="n">
        <v>45212</v>
      </c>
      <c r="D8246" t="inlineStr">
        <is>
          <t>VÄSTRA GÖTALANDS LÄN</t>
        </is>
      </c>
      <c r="E8246" t="inlineStr">
        <is>
          <t>GÖTENE</t>
        </is>
      </c>
      <c r="G8246" t="n">
        <v>3.9</v>
      </c>
      <c r="H8246" t="n">
        <v>0</v>
      </c>
      <c r="I8246" t="n">
        <v>0</v>
      </c>
      <c r="J8246" t="n">
        <v>0</v>
      </c>
      <c r="K8246" t="n">
        <v>0</v>
      </c>
      <c r="L8246" t="n">
        <v>0</v>
      </c>
      <c r="M8246" t="n">
        <v>0</v>
      </c>
      <c r="N8246" t="n">
        <v>0</v>
      </c>
      <c r="O8246" t="n">
        <v>0</v>
      </c>
      <c r="P8246" t="n">
        <v>0</v>
      </c>
      <c r="Q8246" t="n">
        <v>0</v>
      </c>
      <c r="R8246" s="2" t="inlineStr"/>
    </row>
    <row r="8247" ht="15" customHeight="1">
      <c r="A8247" t="inlineStr">
        <is>
          <t>A 13366-2022</t>
        </is>
      </c>
      <c r="B8247" s="1" t="n">
        <v>44645</v>
      </c>
      <c r="C8247" s="1" t="n">
        <v>45212</v>
      </c>
      <c r="D8247" t="inlineStr">
        <is>
          <t>VÄSTRA GÖTALANDS LÄN</t>
        </is>
      </c>
      <c r="E8247" t="inlineStr">
        <is>
          <t>GÖTENE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13341-2022</t>
        </is>
      </c>
      <c r="B8248" s="1" t="n">
        <v>44645</v>
      </c>
      <c r="C8248" s="1" t="n">
        <v>45212</v>
      </c>
      <c r="D8248" t="inlineStr">
        <is>
          <t>VÄSTRA GÖTALANDS LÄN</t>
        </is>
      </c>
      <c r="E8248" t="inlineStr">
        <is>
          <t>SVENLJUNGA</t>
        </is>
      </c>
      <c r="F8248" t="inlineStr">
        <is>
          <t>Kommuner</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13384-2022</t>
        </is>
      </c>
      <c r="B8249" s="1" t="n">
        <v>44645</v>
      </c>
      <c r="C8249" s="1" t="n">
        <v>45212</v>
      </c>
      <c r="D8249" t="inlineStr">
        <is>
          <t>VÄSTRA GÖTALANDS LÄN</t>
        </is>
      </c>
      <c r="E8249" t="inlineStr">
        <is>
          <t>TÖREBODA</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13510-2022</t>
        </is>
      </c>
      <c r="B8250" s="1" t="n">
        <v>44648</v>
      </c>
      <c r="C8250" s="1" t="n">
        <v>45212</v>
      </c>
      <c r="D8250" t="inlineStr">
        <is>
          <t>VÄSTRA GÖTALANDS LÄN</t>
        </is>
      </c>
      <c r="E8250" t="inlineStr">
        <is>
          <t>TROLLHÄTTAN</t>
        </is>
      </c>
      <c r="G8250" t="n">
        <v>17.6</v>
      </c>
      <c r="H8250" t="n">
        <v>0</v>
      </c>
      <c r="I8250" t="n">
        <v>0</v>
      </c>
      <c r="J8250" t="n">
        <v>0</v>
      </c>
      <c r="K8250" t="n">
        <v>0</v>
      </c>
      <c r="L8250" t="n">
        <v>0</v>
      </c>
      <c r="M8250" t="n">
        <v>0</v>
      </c>
      <c r="N8250" t="n">
        <v>0</v>
      </c>
      <c r="O8250" t="n">
        <v>0</v>
      </c>
      <c r="P8250" t="n">
        <v>0</v>
      </c>
      <c r="Q8250" t="n">
        <v>0</v>
      </c>
      <c r="R8250" s="2" t="inlineStr"/>
    </row>
    <row r="8251" ht="15" customHeight="1">
      <c r="A8251" t="inlineStr">
        <is>
          <t>A 13585-2022</t>
        </is>
      </c>
      <c r="B8251" s="1" t="n">
        <v>44648</v>
      </c>
      <c r="C8251" s="1" t="n">
        <v>45212</v>
      </c>
      <c r="D8251" t="inlineStr">
        <is>
          <t>VÄSTRA GÖTALANDS LÄN</t>
        </is>
      </c>
      <c r="E8251" t="inlineStr">
        <is>
          <t>ULRICEHAMN</t>
        </is>
      </c>
      <c r="G8251" t="n">
        <v>1.8</v>
      </c>
      <c r="H8251" t="n">
        <v>0</v>
      </c>
      <c r="I8251" t="n">
        <v>0</v>
      </c>
      <c r="J8251" t="n">
        <v>0</v>
      </c>
      <c r="K8251" t="n">
        <v>0</v>
      </c>
      <c r="L8251" t="n">
        <v>0</v>
      </c>
      <c r="M8251" t="n">
        <v>0</v>
      </c>
      <c r="N8251" t="n">
        <v>0</v>
      </c>
      <c r="O8251" t="n">
        <v>0</v>
      </c>
      <c r="P8251" t="n">
        <v>0</v>
      </c>
      <c r="Q8251" t="n">
        <v>0</v>
      </c>
      <c r="R8251" s="2" t="inlineStr"/>
    </row>
    <row r="8252" ht="15" customHeight="1">
      <c r="A8252" t="inlineStr">
        <is>
          <t>A 13625-2022</t>
        </is>
      </c>
      <c r="B8252" s="1" t="n">
        <v>44648</v>
      </c>
      <c r="C8252" s="1" t="n">
        <v>45212</v>
      </c>
      <c r="D8252" t="inlineStr">
        <is>
          <t>VÄSTRA GÖTALANDS LÄN</t>
        </is>
      </c>
      <c r="E8252" t="inlineStr">
        <is>
          <t>BORÅS</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13553-2022</t>
        </is>
      </c>
      <c r="B8253" s="1" t="n">
        <v>44648</v>
      </c>
      <c r="C8253" s="1" t="n">
        <v>45212</v>
      </c>
      <c r="D8253" t="inlineStr">
        <is>
          <t>VÄSTRA GÖTALANDS LÄN</t>
        </is>
      </c>
      <c r="E8253" t="inlineStr">
        <is>
          <t>MARK</t>
        </is>
      </c>
      <c r="G8253" t="n">
        <v>2.4</v>
      </c>
      <c r="H8253" t="n">
        <v>0</v>
      </c>
      <c r="I8253" t="n">
        <v>0</v>
      </c>
      <c r="J8253" t="n">
        <v>0</v>
      </c>
      <c r="K8253" t="n">
        <v>0</v>
      </c>
      <c r="L8253" t="n">
        <v>0</v>
      </c>
      <c r="M8253" t="n">
        <v>0</v>
      </c>
      <c r="N8253" t="n">
        <v>0</v>
      </c>
      <c r="O8253" t="n">
        <v>0</v>
      </c>
      <c r="P8253" t="n">
        <v>0</v>
      </c>
      <c r="Q8253" t="n">
        <v>0</v>
      </c>
      <c r="R8253" s="2" t="inlineStr"/>
    </row>
    <row r="8254" ht="15" customHeight="1">
      <c r="A8254" t="inlineStr">
        <is>
          <t>A 13515-2022</t>
        </is>
      </c>
      <c r="B8254" s="1" t="n">
        <v>44648</v>
      </c>
      <c r="C8254" s="1" t="n">
        <v>45212</v>
      </c>
      <c r="D8254" t="inlineStr">
        <is>
          <t>VÄSTRA GÖTALANDS LÄN</t>
        </is>
      </c>
      <c r="E8254" t="inlineStr">
        <is>
          <t>TROLLHÄTTAN</t>
        </is>
      </c>
      <c r="G8254" t="n">
        <v>3.3</v>
      </c>
      <c r="H8254" t="n">
        <v>0</v>
      </c>
      <c r="I8254" t="n">
        <v>0</v>
      </c>
      <c r="J8254" t="n">
        <v>0</v>
      </c>
      <c r="K8254" t="n">
        <v>0</v>
      </c>
      <c r="L8254" t="n">
        <v>0</v>
      </c>
      <c r="M8254" t="n">
        <v>0</v>
      </c>
      <c r="N8254" t="n">
        <v>0</v>
      </c>
      <c r="O8254" t="n">
        <v>0</v>
      </c>
      <c r="P8254" t="n">
        <v>0</v>
      </c>
      <c r="Q8254" t="n">
        <v>0</v>
      </c>
      <c r="R8254" s="2" t="inlineStr"/>
    </row>
    <row r="8255" ht="15" customHeight="1">
      <c r="A8255" t="inlineStr">
        <is>
          <t>A 13737-2022</t>
        </is>
      </c>
      <c r="B8255" s="1" t="n">
        <v>44649</v>
      </c>
      <c r="C8255" s="1" t="n">
        <v>45212</v>
      </c>
      <c r="D8255" t="inlineStr">
        <is>
          <t>VÄSTRA GÖTALANDS LÄN</t>
        </is>
      </c>
      <c r="E8255" t="inlineStr">
        <is>
          <t>UDDEVALLA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13790-2022</t>
        </is>
      </c>
      <c r="B8256" s="1" t="n">
        <v>44649</v>
      </c>
      <c r="C8256" s="1" t="n">
        <v>45212</v>
      </c>
      <c r="D8256" t="inlineStr">
        <is>
          <t>VÄSTRA GÖTALANDS LÄN</t>
        </is>
      </c>
      <c r="E8256" t="inlineStr">
        <is>
          <t>MARIESTAD</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13741-2022</t>
        </is>
      </c>
      <c r="B8257" s="1" t="n">
        <v>44649</v>
      </c>
      <c r="C8257" s="1" t="n">
        <v>45212</v>
      </c>
      <c r="D8257" t="inlineStr">
        <is>
          <t>VÄSTRA GÖTALANDS LÄN</t>
        </is>
      </c>
      <c r="E8257" t="inlineStr">
        <is>
          <t>BENGTSFORS</t>
        </is>
      </c>
      <c r="G8257" t="n">
        <v>5.8</v>
      </c>
      <c r="H8257" t="n">
        <v>0</v>
      </c>
      <c r="I8257" t="n">
        <v>0</v>
      </c>
      <c r="J8257" t="n">
        <v>0</v>
      </c>
      <c r="K8257" t="n">
        <v>0</v>
      </c>
      <c r="L8257" t="n">
        <v>0</v>
      </c>
      <c r="M8257" t="n">
        <v>0</v>
      </c>
      <c r="N8257" t="n">
        <v>0</v>
      </c>
      <c r="O8257" t="n">
        <v>0</v>
      </c>
      <c r="P8257" t="n">
        <v>0</v>
      </c>
      <c r="Q8257" t="n">
        <v>0</v>
      </c>
      <c r="R8257" s="2" t="inlineStr"/>
    </row>
    <row r="8258" ht="15" customHeight="1">
      <c r="A8258" t="inlineStr">
        <is>
          <t>A 13810-2022</t>
        </is>
      </c>
      <c r="B8258" s="1" t="n">
        <v>44649</v>
      </c>
      <c r="C8258" s="1" t="n">
        <v>45212</v>
      </c>
      <c r="D8258" t="inlineStr">
        <is>
          <t>VÄSTRA GÖTALANDS LÄN</t>
        </is>
      </c>
      <c r="E8258" t="inlineStr">
        <is>
          <t>BENGTSFORS</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13775-2022</t>
        </is>
      </c>
      <c r="B8259" s="1" t="n">
        <v>44649</v>
      </c>
      <c r="C8259" s="1" t="n">
        <v>45212</v>
      </c>
      <c r="D8259" t="inlineStr">
        <is>
          <t>VÄSTRA GÖTALANDS LÄN</t>
        </is>
      </c>
      <c r="E8259" t="inlineStr">
        <is>
          <t>BENGTSFORS</t>
        </is>
      </c>
      <c r="G8259" t="n">
        <v>3</v>
      </c>
      <c r="H8259" t="n">
        <v>0</v>
      </c>
      <c r="I8259" t="n">
        <v>0</v>
      </c>
      <c r="J8259" t="n">
        <v>0</v>
      </c>
      <c r="K8259" t="n">
        <v>0</v>
      </c>
      <c r="L8259" t="n">
        <v>0</v>
      </c>
      <c r="M8259" t="n">
        <v>0</v>
      </c>
      <c r="N8259" t="n">
        <v>0</v>
      </c>
      <c r="O8259" t="n">
        <v>0</v>
      </c>
      <c r="P8259" t="n">
        <v>0</v>
      </c>
      <c r="Q8259" t="n">
        <v>0</v>
      </c>
      <c r="R8259" s="2" t="inlineStr"/>
    </row>
    <row r="8260" ht="15" customHeight="1">
      <c r="A8260" t="inlineStr">
        <is>
          <t>A 13890-2022</t>
        </is>
      </c>
      <c r="B8260" s="1" t="n">
        <v>44649</v>
      </c>
      <c r="C8260" s="1" t="n">
        <v>45212</v>
      </c>
      <c r="D8260" t="inlineStr">
        <is>
          <t>VÄSTRA GÖTALANDS LÄN</t>
        </is>
      </c>
      <c r="E8260" t="inlineStr">
        <is>
          <t>STRÖMSTAD</t>
        </is>
      </c>
      <c r="G8260" t="n">
        <v>3.5</v>
      </c>
      <c r="H8260" t="n">
        <v>0</v>
      </c>
      <c r="I8260" t="n">
        <v>0</v>
      </c>
      <c r="J8260" t="n">
        <v>0</v>
      </c>
      <c r="K8260" t="n">
        <v>0</v>
      </c>
      <c r="L8260" t="n">
        <v>0</v>
      </c>
      <c r="M8260" t="n">
        <v>0</v>
      </c>
      <c r="N8260" t="n">
        <v>0</v>
      </c>
      <c r="O8260" t="n">
        <v>0</v>
      </c>
      <c r="P8260" t="n">
        <v>0</v>
      </c>
      <c r="Q8260" t="n">
        <v>0</v>
      </c>
      <c r="R8260" s="2" t="inlineStr"/>
    </row>
    <row r="8261" ht="15" customHeight="1">
      <c r="A8261" t="inlineStr">
        <is>
          <t>A 13883-2022</t>
        </is>
      </c>
      <c r="B8261" s="1" t="n">
        <v>44650</v>
      </c>
      <c r="C8261" s="1" t="n">
        <v>45212</v>
      </c>
      <c r="D8261" t="inlineStr">
        <is>
          <t>VÄSTRA GÖTALANDS LÄN</t>
        </is>
      </c>
      <c r="E8261" t="inlineStr">
        <is>
          <t>TROLLHÄTTAN</t>
        </is>
      </c>
      <c r="G8261" t="n">
        <v>6.1</v>
      </c>
      <c r="H8261" t="n">
        <v>0</v>
      </c>
      <c r="I8261" t="n">
        <v>0</v>
      </c>
      <c r="J8261" t="n">
        <v>0</v>
      </c>
      <c r="K8261" t="n">
        <v>0</v>
      </c>
      <c r="L8261" t="n">
        <v>0</v>
      </c>
      <c r="M8261" t="n">
        <v>0</v>
      </c>
      <c r="N8261" t="n">
        <v>0</v>
      </c>
      <c r="O8261" t="n">
        <v>0</v>
      </c>
      <c r="P8261" t="n">
        <v>0</v>
      </c>
      <c r="Q8261" t="n">
        <v>0</v>
      </c>
      <c r="R8261" s="2" t="inlineStr"/>
    </row>
    <row r="8262" ht="15" customHeight="1">
      <c r="A8262" t="inlineStr">
        <is>
          <t>A 13923-2022</t>
        </is>
      </c>
      <c r="B8262" s="1" t="n">
        <v>44650</v>
      </c>
      <c r="C8262" s="1" t="n">
        <v>45212</v>
      </c>
      <c r="D8262" t="inlineStr">
        <is>
          <t>VÄSTRA GÖTALANDS LÄN</t>
        </is>
      </c>
      <c r="E8262" t="inlineStr">
        <is>
          <t>VÄNERSBORG</t>
        </is>
      </c>
      <c r="F8262" t="inlineStr">
        <is>
          <t>Naturvårdsverket</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14105-2022</t>
        </is>
      </c>
      <c r="B8263" s="1" t="n">
        <v>44651</v>
      </c>
      <c r="C8263" s="1" t="n">
        <v>45212</v>
      </c>
      <c r="D8263" t="inlineStr">
        <is>
          <t>VÄSTRA GÖTALANDS LÄN</t>
        </is>
      </c>
      <c r="E8263" t="inlineStr">
        <is>
          <t>STRÖMSTAD</t>
        </is>
      </c>
      <c r="G8263" t="n">
        <v>9.5</v>
      </c>
      <c r="H8263" t="n">
        <v>0</v>
      </c>
      <c r="I8263" t="n">
        <v>0</v>
      </c>
      <c r="J8263" t="n">
        <v>0</v>
      </c>
      <c r="K8263" t="n">
        <v>0</v>
      </c>
      <c r="L8263" t="n">
        <v>0</v>
      </c>
      <c r="M8263" t="n">
        <v>0</v>
      </c>
      <c r="N8263" t="n">
        <v>0</v>
      </c>
      <c r="O8263" t="n">
        <v>0</v>
      </c>
      <c r="P8263" t="n">
        <v>0</v>
      </c>
      <c r="Q8263" t="n">
        <v>0</v>
      </c>
      <c r="R8263" s="2" t="inlineStr"/>
    </row>
    <row r="8264" ht="15" customHeight="1">
      <c r="A8264" t="inlineStr">
        <is>
          <t>A 14309-2022</t>
        </is>
      </c>
      <c r="B8264" s="1" t="n">
        <v>44652</v>
      </c>
      <c r="C8264" s="1" t="n">
        <v>45212</v>
      </c>
      <c r="D8264" t="inlineStr">
        <is>
          <t>VÄSTRA GÖTALANDS LÄN</t>
        </is>
      </c>
      <c r="E8264" t="inlineStr">
        <is>
          <t>BORÅS</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14425-2022</t>
        </is>
      </c>
      <c r="B8265" s="1" t="n">
        <v>44652</v>
      </c>
      <c r="C8265" s="1" t="n">
        <v>45212</v>
      </c>
      <c r="D8265" t="inlineStr">
        <is>
          <t>VÄSTRA GÖTALANDS LÄN</t>
        </is>
      </c>
      <c r="E8265" t="inlineStr">
        <is>
          <t>MARK</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14406-2022</t>
        </is>
      </c>
      <c r="B8266" s="1" t="n">
        <v>44652</v>
      </c>
      <c r="C8266" s="1" t="n">
        <v>45212</v>
      </c>
      <c r="D8266" t="inlineStr">
        <is>
          <t>VÄSTRA GÖTALANDS LÄN</t>
        </is>
      </c>
      <c r="E8266" t="inlineStr">
        <is>
          <t>GULLSPÅNG</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14426-2022</t>
        </is>
      </c>
      <c r="B8267" s="1" t="n">
        <v>44652</v>
      </c>
      <c r="C8267" s="1" t="n">
        <v>45212</v>
      </c>
      <c r="D8267" t="inlineStr">
        <is>
          <t>VÄSTRA GÖTALANDS LÄN</t>
        </is>
      </c>
      <c r="E8267" t="inlineStr">
        <is>
          <t>MARK</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14568-2022</t>
        </is>
      </c>
      <c r="B8268" s="1" t="n">
        <v>44655</v>
      </c>
      <c r="C8268" s="1" t="n">
        <v>45212</v>
      </c>
      <c r="D8268" t="inlineStr">
        <is>
          <t>VÄSTRA GÖTALANDS LÄN</t>
        </is>
      </c>
      <c r="E8268" t="inlineStr">
        <is>
          <t>MELLERUD</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14617-2022</t>
        </is>
      </c>
      <c r="B8269" s="1" t="n">
        <v>44655</v>
      </c>
      <c r="C8269" s="1" t="n">
        <v>45212</v>
      </c>
      <c r="D8269" t="inlineStr">
        <is>
          <t>VÄSTRA GÖTALANDS LÄN</t>
        </is>
      </c>
      <c r="E8269" t="inlineStr">
        <is>
          <t>BENGTSFORS</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14549-2022</t>
        </is>
      </c>
      <c r="B8270" s="1" t="n">
        <v>44655</v>
      </c>
      <c r="C8270" s="1" t="n">
        <v>45212</v>
      </c>
      <c r="D8270" t="inlineStr">
        <is>
          <t>VÄSTRA GÖTALANDS LÄN</t>
        </is>
      </c>
      <c r="E8270" t="inlineStr">
        <is>
          <t>ULRICEHAMN</t>
        </is>
      </c>
      <c r="G8270" t="n">
        <v>1.3</v>
      </c>
      <c r="H8270" t="n">
        <v>0</v>
      </c>
      <c r="I8270" t="n">
        <v>0</v>
      </c>
      <c r="J8270" t="n">
        <v>0</v>
      </c>
      <c r="K8270" t="n">
        <v>0</v>
      </c>
      <c r="L8270" t="n">
        <v>0</v>
      </c>
      <c r="M8270" t="n">
        <v>0</v>
      </c>
      <c r="N8270" t="n">
        <v>0</v>
      </c>
      <c r="O8270" t="n">
        <v>0</v>
      </c>
      <c r="P8270" t="n">
        <v>0</v>
      </c>
      <c r="Q8270" t="n">
        <v>0</v>
      </c>
      <c r="R8270" s="2" t="inlineStr"/>
    </row>
    <row r="8271" ht="15" customHeight="1">
      <c r="A8271" t="inlineStr">
        <is>
          <t>A 14596-2022</t>
        </is>
      </c>
      <c r="B8271" s="1" t="n">
        <v>44655</v>
      </c>
      <c r="C8271" s="1" t="n">
        <v>45212</v>
      </c>
      <c r="D8271" t="inlineStr">
        <is>
          <t>VÄSTRA GÖTALANDS LÄN</t>
        </is>
      </c>
      <c r="E8271" t="inlineStr">
        <is>
          <t>MELLERUD</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14547-2022</t>
        </is>
      </c>
      <c r="B8272" s="1" t="n">
        <v>44655</v>
      </c>
      <c r="C8272" s="1" t="n">
        <v>45212</v>
      </c>
      <c r="D8272" t="inlineStr">
        <is>
          <t>VÄSTRA GÖTALANDS LÄN</t>
        </is>
      </c>
      <c r="E8272" t="inlineStr">
        <is>
          <t>ORUST</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14655-2022</t>
        </is>
      </c>
      <c r="B8273" s="1" t="n">
        <v>44655</v>
      </c>
      <c r="C8273" s="1" t="n">
        <v>45212</v>
      </c>
      <c r="D8273" t="inlineStr">
        <is>
          <t>VÄSTRA GÖTALANDS LÄN</t>
        </is>
      </c>
      <c r="E8273" t="inlineStr">
        <is>
          <t>VÅRGÅRDA</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14530-2022</t>
        </is>
      </c>
      <c r="B8274" s="1" t="n">
        <v>44655</v>
      </c>
      <c r="C8274" s="1" t="n">
        <v>45212</v>
      </c>
      <c r="D8274" t="inlineStr">
        <is>
          <t>VÄSTRA GÖTALANDS LÄN</t>
        </is>
      </c>
      <c r="E8274" t="inlineStr">
        <is>
          <t>UDDEVALLA</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14754-2022</t>
        </is>
      </c>
      <c r="B8275" s="1" t="n">
        <v>44655</v>
      </c>
      <c r="C8275" s="1" t="n">
        <v>45212</v>
      </c>
      <c r="D8275" t="inlineStr">
        <is>
          <t>VÄSTRA GÖTALANDS LÄN</t>
        </is>
      </c>
      <c r="E8275" t="inlineStr">
        <is>
          <t>STRÖMSTAD</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14777-2022</t>
        </is>
      </c>
      <c r="B8276" s="1" t="n">
        <v>44656</v>
      </c>
      <c r="C8276" s="1" t="n">
        <v>45212</v>
      </c>
      <c r="D8276" t="inlineStr">
        <is>
          <t>VÄSTRA GÖTALANDS LÄN</t>
        </is>
      </c>
      <c r="E8276" t="inlineStr">
        <is>
          <t>BORÅS</t>
        </is>
      </c>
      <c r="G8276" t="n">
        <v>4.2</v>
      </c>
      <c r="H8276" t="n">
        <v>0</v>
      </c>
      <c r="I8276" t="n">
        <v>0</v>
      </c>
      <c r="J8276" t="n">
        <v>0</v>
      </c>
      <c r="K8276" t="n">
        <v>0</v>
      </c>
      <c r="L8276" t="n">
        <v>0</v>
      </c>
      <c r="M8276" t="n">
        <v>0</v>
      </c>
      <c r="N8276" t="n">
        <v>0</v>
      </c>
      <c r="O8276" t="n">
        <v>0</v>
      </c>
      <c r="P8276" t="n">
        <v>0</v>
      </c>
      <c r="Q8276" t="n">
        <v>0</v>
      </c>
      <c r="R8276" s="2" t="inlineStr"/>
    </row>
    <row r="8277" ht="15" customHeight="1">
      <c r="A8277" t="inlineStr">
        <is>
          <t>A 14827-2022</t>
        </is>
      </c>
      <c r="B8277" s="1" t="n">
        <v>44656</v>
      </c>
      <c r="C8277" s="1" t="n">
        <v>45212</v>
      </c>
      <c r="D8277" t="inlineStr">
        <is>
          <t>VÄSTRA GÖTALANDS LÄN</t>
        </is>
      </c>
      <c r="E8277" t="inlineStr">
        <is>
          <t>SVENLJUNGA</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14736-2022</t>
        </is>
      </c>
      <c r="B8278" s="1" t="n">
        <v>44656</v>
      </c>
      <c r="C8278" s="1" t="n">
        <v>45212</v>
      </c>
      <c r="D8278" t="inlineStr">
        <is>
          <t>VÄSTRA GÖTALANDS LÄN</t>
        </is>
      </c>
      <c r="E8278" t="inlineStr">
        <is>
          <t>ALE</t>
        </is>
      </c>
      <c r="G8278" t="n">
        <v>0.7</v>
      </c>
      <c r="H8278" t="n">
        <v>0</v>
      </c>
      <c r="I8278" t="n">
        <v>0</v>
      </c>
      <c r="J8278" t="n">
        <v>0</v>
      </c>
      <c r="K8278" t="n">
        <v>0</v>
      </c>
      <c r="L8278" t="n">
        <v>0</v>
      </c>
      <c r="M8278" t="n">
        <v>0</v>
      </c>
      <c r="N8278" t="n">
        <v>0</v>
      </c>
      <c r="O8278" t="n">
        <v>0</v>
      </c>
      <c r="P8278" t="n">
        <v>0</v>
      </c>
      <c r="Q8278" t="n">
        <v>0</v>
      </c>
      <c r="R8278" s="2" t="inlineStr"/>
    </row>
    <row r="8279" ht="15" customHeight="1">
      <c r="A8279" t="inlineStr">
        <is>
          <t>A 14796-2022</t>
        </is>
      </c>
      <c r="B8279" s="1" t="n">
        <v>44656</v>
      </c>
      <c r="C8279" s="1" t="n">
        <v>45212</v>
      </c>
      <c r="D8279" t="inlineStr">
        <is>
          <t>VÄSTRA GÖTALANDS LÄN</t>
        </is>
      </c>
      <c r="E8279" t="inlineStr">
        <is>
          <t>SVENLJUNGA</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14849-2022</t>
        </is>
      </c>
      <c r="B8280" s="1" t="n">
        <v>44656</v>
      </c>
      <c r="C8280" s="1" t="n">
        <v>45212</v>
      </c>
      <c r="D8280" t="inlineStr">
        <is>
          <t>VÄSTRA GÖTALANDS LÄN</t>
        </is>
      </c>
      <c r="E8280" t="inlineStr">
        <is>
          <t>ULRICEHAMN</t>
        </is>
      </c>
      <c r="G8280" t="n">
        <v>4.4</v>
      </c>
      <c r="H8280" t="n">
        <v>0</v>
      </c>
      <c r="I8280" t="n">
        <v>0</v>
      </c>
      <c r="J8280" t="n">
        <v>0</v>
      </c>
      <c r="K8280" t="n">
        <v>0</v>
      </c>
      <c r="L8280" t="n">
        <v>0</v>
      </c>
      <c r="M8280" t="n">
        <v>0</v>
      </c>
      <c r="N8280" t="n">
        <v>0</v>
      </c>
      <c r="O8280" t="n">
        <v>0</v>
      </c>
      <c r="P8280" t="n">
        <v>0</v>
      </c>
      <c r="Q8280" t="n">
        <v>0</v>
      </c>
      <c r="R8280" s="2" t="inlineStr"/>
    </row>
    <row r="8281" ht="15" customHeight="1">
      <c r="A8281" t="inlineStr">
        <is>
          <t>A 14731-2022</t>
        </is>
      </c>
      <c r="B8281" s="1" t="n">
        <v>44656</v>
      </c>
      <c r="C8281" s="1" t="n">
        <v>45212</v>
      </c>
      <c r="D8281" t="inlineStr">
        <is>
          <t>VÄSTRA GÖTALANDS LÄN</t>
        </is>
      </c>
      <c r="E8281" t="inlineStr">
        <is>
          <t>ALE</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14816-2022</t>
        </is>
      </c>
      <c r="B8282" s="1" t="n">
        <v>44656</v>
      </c>
      <c r="C8282" s="1" t="n">
        <v>45212</v>
      </c>
      <c r="D8282" t="inlineStr">
        <is>
          <t>VÄSTRA GÖTALANDS LÄN</t>
        </is>
      </c>
      <c r="E8282" t="inlineStr">
        <is>
          <t>SVENLJUNGA</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15049-2022</t>
        </is>
      </c>
      <c r="B8283" s="1" t="n">
        <v>44657</v>
      </c>
      <c r="C8283" s="1" t="n">
        <v>45212</v>
      </c>
      <c r="D8283" t="inlineStr">
        <is>
          <t>VÄSTRA GÖTALANDS LÄN</t>
        </is>
      </c>
      <c r="E8283" t="inlineStr">
        <is>
          <t>ULRICEHAMN</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14993-2022</t>
        </is>
      </c>
      <c r="B8284" s="1" t="n">
        <v>44657</v>
      </c>
      <c r="C8284" s="1" t="n">
        <v>45212</v>
      </c>
      <c r="D8284" t="inlineStr">
        <is>
          <t>VÄSTRA GÖTALANDS LÄN</t>
        </is>
      </c>
      <c r="E8284" t="inlineStr">
        <is>
          <t>DALS-ED</t>
        </is>
      </c>
      <c r="F8284" t="inlineStr">
        <is>
          <t>Kyrkan</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15025-2022</t>
        </is>
      </c>
      <c r="B8285" s="1" t="n">
        <v>44657</v>
      </c>
      <c r="C8285" s="1" t="n">
        <v>45212</v>
      </c>
      <c r="D8285" t="inlineStr">
        <is>
          <t>VÄSTRA GÖTALANDS LÄN</t>
        </is>
      </c>
      <c r="E8285" t="inlineStr">
        <is>
          <t>MELLERUD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15062-2022</t>
        </is>
      </c>
      <c r="B8286" s="1" t="n">
        <v>44657</v>
      </c>
      <c r="C8286" s="1" t="n">
        <v>45212</v>
      </c>
      <c r="D8286" t="inlineStr">
        <is>
          <t>VÄSTRA GÖTALANDS LÄN</t>
        </is>
      </c>
      <c r="E8286" t="inlineStr">
        <is>
          <t>ULRICEHAMN</t>
        </is>
      </c>
      <c r="G8286" t="n">
        <v>2</v>
      </c>
      <c r="H8286" t="n">
        <v>0</v>
      </c>
      <c r="I8286" t="n">
        <v>0</v>
      </c>
      <c r="J8286" t="n">
        <v>0</v>
      </c>
      <c r="K8286" t="n">
        <v>0</v>
      </c>
      <c r="L8286" t="n">
        <v>0</v>
      </c>
      <c r="M8286" t="n">
        <v>0</v>
      </c>
      <c r="N8286" t="n">
        <v>0</v>
      </c>
      <c r="O8286" t="n">
        <v>0</v>
      </c>
      <c r="P8286" t="n">
        <v>0</v>
      </c>
      <c r="Q8286" t="n">
        <v>0</v>
      </c>
      <c r="R8286" s="2" t="inlineStr"/>
    </row>
    <row r="8287" ht="15" customHeight="1">
      <c r="A8287" t="inlineStr">
        <is>
          <t>A 14980-2022</t>
        </is>
      </c>
      <c r="B8287" s="1" t="n">
        <v>44657</v>
      </c>
      <c r="C8287" s="1" t="n">
        <v>45212</v>
      </c>
      <c r="D8287" t="inlineStr">
        <is>
          <t>VÄSTRA GÖTALANDS LÄN</t>
        </is>
      </c>
      <c r="E8287" t="inlineStr">
        <is>
          <t>TIBRO</t>
        </is>
      </c>
      <c r="G8287" t="n">
        <v>0.7</v>
      </c>
      <c r="H8287" t="n">
        <v>0</v>
      </c>
      <c r="I8287" t="n">
        <v>0</v>
      </c>
      <c r="J8287" t="n">
        <v>0</v>
      </c>
      <c r="K8287" t="n">
        <v>0</v>
      </c>
      <c r="L8287" t="n">
        <v>0</v>
      </c>
      <c r="M8287" t="n">
        <v>0</v>
      </c>
      <c r="N8287" t="n">
        <v>0</v>
      </c>
      <c r="O8287" t="n">
        <v>0</v>
      </c>
      <c r="P8287" t="n">
        <v>0</v>
      </c>
      <c r="Q8287" t="n">
        <v>0</v>
      </c>
      <c r="R8287" s="2" t="inlineStr"/>
    </row>
    <row r="8288" ht="15" customHeight="1">
      <c r="A8288" t="inlineStr">
        <is>
          <t>A 15006-2022</t>
        </is>
      </c>
      <c r="B8288" s="1" t="n">
        <v>44657</v>
      </c>
      <c r="C8288" s="1" t="n">
        <v>45212</v>
      </c>
      <c r="D8288" t="inlineStr">
        <is>
          <t>VÄSTRA GÖTALANDS LÄN</t>
        </is>
      </c>
      <c r="E8288" t="inlineStr">
        <is>
          <t>ORUST</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15136-2022</t>
        </is>
      </c>
      <c r="B8289" s="1" t="n">
        <v>44658</v>
      </c>
      <c r="C8289" s="1" t="n">
        <v>45212</v>
      </c>
      <c r="D8289" t="inlineStr">
        <is>
          <t>VÄSTRA GÖTALANDS LÄN</t>
        </is>
      </c>
      <c r="E8289" t="inlineStr">
        <is>
          <t>LERUM</t>
        </is>
      </c>
      <c r="G8289" t="n">
        <v>0.4</v>
      </c>
      <c r="H8289" t="n">
        <v>0</v>
      </c>
      <c r="I8289" t="n">
        <v>0</v>
      </c>
      <c r="J8289" t="n">
        <v>0</v>
      </c>
      <c r="K8289" t="n">
        <v>0</v>
      </c>
      <c r="L8289" t="n">
        <v>0</v>
      </c>
      <c r="M8289" t="n">
        <v>0</v>
      </c>
      <c r="N8289" t="n">
        <v>0</v>
      </c>
      <c r="O8289" t="n">
        <v>0</v>
      </c>
      <c r="P8289" t="n">
        <v>0</v>
      </c>
      <c r="Q8289" t="n">
        <v>0</v>
      </c>
      <c r="R8289" s="2" t="inlineStr"/>
    </row>
    <row r="8290" ht="15" customHeight="1">
      <c r="A8290" t="inlineStr">
        <is>
          <t>A 15112-2022</t>
        </is>
      </c>
      <c r="B8290" s="1" t="n">
        <v>44658</v>
      </c>
      <c r="C8290" s="1" t="n">
        <v>45212</v>
      </c>
      <c r="D8290" t="inlineStr">
        <is>
          <t>VÄSTRA GÖTALANDS LÄN</t>
        </is>
      </c>
      <c r="E8290" t="inlineStr">
        <is>
          <t>BOLLEBYGD</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15180-2022</t>
        </is>
      </c>
      <c r="B8291" s="1" t="n">
        <v>44658</v>
      </c>
      <c r="C8291" s="1" t="n">
        <v>45212</v>
      </c>
      <c r="D8291" t="inlineStr">
        <is>
          <t>VÄSTRA GÖTALANDS LÄN</t>
        </is>
      </c>
      <c r="E8291" t="inlineStr">
        <is>
          <t>ULRICEHAMN</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15153-2022</t>
        </is>
      </c>
      <c r="B8292" s="1" t="n">
        <v>44658</v>
      </c>
      <c r="C8292" s="1" t="n">
        <v>45212</v>
      </c>
      <c r="D8292" t="inlineStr">
        <is>
          <t>VÄSTRA GÖTALANDS LÄN</t>
        </is>
      </c>
      <c r="E8292" t="inlineStr">
        <is>
          <t>TIDAHOLM</t>
        </is>
      </c>
      <c r="G8292" t="n">
        <v>4</v>
      </c>
      <c r="H8292" t="n">
        <v>0</v>
      </c>
      <c r="I8292" t="n">
        <v>0</v>
      </c>
      <c r="J8292" t="n">
        <v>0</v>
      </c>
      <c r="K8292" t="n">
        <v>0</v>
      </c>
      <c r="L8292" t="n">
        <v>0</v>
      </c>
      <c r="M8292" t="n">
        <v>0</v>
      </c>
      <c r="N8292" t="n">
        <v>0</v>
      </c>
      <c r="O8292" t="n">
        <v>0</v>
      </c>
      <c r="P8292" t="n">
        <v>0</v>
      </c>
      <c r="Q8292" t="n">
        <v>0</v>
      </c>
      <c r="R8292" s="2" t="inlineStr"/>
    </row>
    <row r="8293" ht="15" customHeight="1">
      <c r="A8293" t="inlineStr">
        <is>
          <t>A 15175-2022</t>
        </is>
      </c>
      <c r="B8293" s="1" t="n">
        <v>44658</v>
      </c>
      <c r="C8293" s="1" t="n">
        <v>45212</v>
      </c>
      <c r="D8293" t="inlineStr">
        <is>
          <t>VÄSTRA GÖTALANDS LÄN</t>
        </is>
      </c>
      <c r="E8293" t="inlineStr">
        <is>
          <t>FÄRGELANDA</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15223-2022</t>
        </is>
      </c>
      <c r="B8294" s="1" t="n">
        <v>44658</v>
      </c>
      <c r="C8294" s="1" t="n">
        <v>45212</v>
      </c>
      <c r="D8294" t="inlineStr">
        <is>
          <t>VÄSTRA GÖTALANDS LÄN</t>
        </is>
      </c>
      <c r="E8294" t="inlineStr">
        <is>
          <t>SVENLJUNGA</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15292-2022</t>
        </is>
      </c>
      <c r="B8295" s="1" t="n">
        <v>44659</v>
      </c>
      <c r="C8295" s="1" t="n">
        <v>45212</v>
      </c>
      <c r="D8295" t="inlineStr">
        <is>
          <t>VÄSTRA GÖTALANDS LÄN</t>
        </is>
      </c>
      <c r="E8295" t="inlineStr">
        <is>
          <t>SKARA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15348-2022</t>
        </is>
      </c>
      <c r="B8296" s="1" t="n">
        <v>44659</v>
      </c>
      <c r="C8296" s="1" t="n">
        <v>45212</v>
      </c>
      <c r="D8296" t="inlineStr">
        <is>
          <t>VÄSTRA GÖTALANDS LÄN</t>
        </is>
      </c>
      <c r="E8296" t="inlineStr">
        <is>
          <t>MELLERUD</t>
        </is>
      </c>
      <c r="G8296" t="n">
        <v>2</v>
      </c>
      <c r="H8296" t="n">
        <v>0</v>
      </c>
      <c r="I8296" t="n">
        <v>0</v>
      </c>
      <c r="J8296" t="n">
        <v>0</v>
      </c>
      <c r="K8296" t="n">
        <v>0</v>
      </c>
      <c r="L8296" t="n">
        <v>0</v>
      </c>
      <c r="M8296" t="n">
        <v>0</v>
      </c>
      <c r="N8296" t="n">
        <v>0</v>
      </c>
      <c r="O8296" t="n">
        <v>0</v>
      </c>
      <c r="P8296" t="n">
        <v>0</v>
      </c>
      <c r="Q8296" t="n">
        <v>0</v>
      </c>
      <c r="R8296" s="2" t="inlineStr"/>
    </row>
    <row r="8297" ht="15" customHeight="1">
      <c r="A8297" t="inlineStr">
        <is>
          <t>A 15364-2022</t>
        </is>
      </c>
      <c r="B8297" s="1" t="n">
        <v>44659</v>
      </c>
      <c r="C8297" s="1" t="n">
        <v>45212</v>
      </c>
      <c r="D8297" t="inlineStr">
        <is>
          <t>VÄSTRA GÖTALANDS LÄN</t>
        </is>
      </c>
      <c r="E8297" t="inlineStr">
        <is>
          <t>DALS-ED</t>
        </is>
      </c>
      <c r="G8297" t="n">
        <v>6.5</v>
      </c>
      <c r="H8297" t="n">
        <v>0</v>
      </c>
      <c r="I8297" t="n">
        <v>0</v>
      </c>
      <c r="J8297" t="n">
        <v>0</v>
      </c>
      <c r="K8297" t="n">
        <v>0</v>
      </c>
      <c r="L8297" t="n">
        <v>0</v>
      </c>
      <c r="M8297" t="n">
        <v>0</v>
      </c>
      <c r="N8297" t="n">
        <v>0</v>
      </c>
      <c r="O8297" t="n">
        <v>0</v>
      </c>
      <c r="P8297" t="n">
        <v>0</v>
      </c>
      <c r="Q8297" t="n">
        <v>0</v>
      </c>
      <c r="R8297" s="2" t="inlineStr"/>
    </row>
    <row r="8298" ht="15" customHeight="1">
      <c r="A8298" t="inlineStr">
        <is>
          <t>A 15389-2022</t>
        </is>
      </c>
      <c r="B8298" s="1" t="n">
        <v>44659</v>
      </c>
      <c r="C8298" s="1" t="n">
        <v>45212</v>
      </c>
      <c r="D8298" t="inlineStr">
        <is>
          <t>VÄSTRA GÖTALANDS LÄN</t>
        </is>
      </c>
      <c r="E8298" t="inlineStr">
        <is>
          <t>HJO</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15309-2022</t>
        </is>
      </c>
      <c r="B8299" s="1" t="n">
        <v>44659</v>
      </c>
      <c r="C8299" s="1" t="n">
        <v>45212</v>
      </c>
      <c r="D8299" t="inlineStr">
        <is>
          <t>VÄSTRA GÖTALANDS LÄN</t>
        </is>
      </c>
      <c r="E8299" t="inlineStr">
        <is>
          <t>VÄNERSBORG</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15370-2022</t>
        </is>
      </c>
      <c r="B8300" s="1" t="n">
        <v>44659</v>
      </c>
      <c r="C8300" s="1" t="n">
        <v>45212</v>
      </c>
      <c r="D8300" t="inlineStr">
        <is>
          <t>VÄSTRA GÖTALANDS LÄN</t>
        </is>
      </c>
      <c r="E8300" t="inlineStr">
        <is>
          <t>HERRLJUNGA</t>
        </is>
      </c>
      <c r="G8300" t="n">
        <v>0.6</v>
      </c>
      <c r="H8300" t="n">
        <v>0</v>
      </c>
      <c r="I8300" t="n">
        <v>0</v>
      </c>
      <c r="J8300" t="n">
        <v>0</v>
      </c>
      <c r="K8300" t="n">
        <v>0</v>
      </c>
      <c r="L8300" t="n">
        <v>0</v>
      </c>
      <c r="M8300" t="n">
        <v>0</v>
      </c>
      <c r="N8300" t="n">
        <v>0</v>
      </c>
      <c r="O8300" t="n">
        <v>0</v>
      </c>
      <c r="P8300" t="n">
        <v>0</v>
      </c>
      <c r="Q8300" t="n">
        <v>0</v>
      </c>
      <c r="R8300" s="2" t="inlineStr"/>
    </row>
    <row r="8301" ht="15" customHeight="1">
      <c r="A8301" t="inlineStr">
        <is>
          <t>A 15392-2022</t>
        </is>
      </c>
      <c r="B8301" s="1" t="n">
        <v>44659</v>
      </c>
      <c r="C8301" s="1" t="n">
        <v>45212</v>
      </c>
      <c r="D8301" t="inlineStr">
        <is>
          <t>VÄSTRA GÖTALANDS LÄN</t>
        </is>
      </c>
      <c r="E8301" t="inlineStr">
        <is>
          <t>HERRLJUNGA</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15257-2022</t>
        </is>
      </c>
      <c r="B8302" s="1" t="n">
        <v>44659</v>
      </c>
      <c r="C8302" s="1" t="n">
        <v>45212</v>
      </c>
      <c r="D8302" t="inlineStr">
        <is>
          <t>VÄSTRA GÖTALANDS LÄN</t>
        </is>
      </c>
      <c r="E8302" t="inlineStr">
        <is>
          <t>SVENLJUNGA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15262-2022</t>
        </is>
      </c>
      <c r="B8303" s="1" t="n">
        <v>44659</v>
      </c>
      <c r="C8303" s="1" t="n">
        <v>45212</v>
      </c>
      <c r="D8303" t="inlineStr">
        <is>
          <t>VÄSTRA GÖTALANDS LÄN</t>
        </is>
      </c>
      <c r="E8303" t="inlineStr">
        <is>
          <t>SVENLJUNGA</t>
        </is>
      </c>
      <c r="G8303" t="n">
        <v>13.4</v>
      </c>
      <c r="H8303" t="n">
        <v>0</v>
      </c>
      <c r="I8303" t="n">
        <v>0</v>
      </c>
      <c r="J8303" t="n">
        <v>0</v>
      </c>
      <c r="K8303" t="n">
        <v>0</v>
      </c>
      <c r="L8303" t="n">
        <v>0</v>
      </c>
      <c r="M8303" t="n">
        <v>0</v>
      </c>
      <c r="N8303" t="n">
        <v>0</v>
      </c>
      <c r="O8303" t="n">
        <v>0</v>
      </c>
      <c r="P8303" t="n">
        <v>0</v>
      </c>
      <c r="Q8303" t="n">
        <v>0</v>
      </c>
      <c r="R8303" s="2" t="inlineStr"/>
    </row>
    <row r="8304" ht="15" customHeight="1">
      <c r="A8304" t="inlineStr">
        <is>
          <t>A 15347-2022</t>
        </is>
      </c>
      <c r="B8304" s="1" t="n">
        <v>44659</v>
      </c>
      <c r="C8304" s="1" t="n">
        <v>45212</v>
      </c>
      <c r="D8304" t="inlineStr">
        <is>
          <t>VÄSTRA GÖTALANDS LÄN</t>
        </is>
      </c>
      <c r="E8304" t="inlineStr">
        <is>
          <t>MELLERUD</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15395-2022</t>
        </is>
      </c>
      <c r="B8305" s="1" t="n">
        <v>44659</v>
      </c>
      <c r="C8305" s="1" t="n">
        <v>45212</v>
      </c>
      <c r="D8305" t="inlineStr">
        <is>
          <t>VÄSTRA GÖTALANDS LÄN</t>
        </is>
      </c>
      <c r="E8305" t="inlineStr">
        <is>
          <t>HERRLJUNGA</t>
        </is>
      </c>
      <c r="G8305" t="n">
        <v>1.3</v>
      </c>
      <c r="H8305" t="n">
        <v>0</v>
      </c>
      <c r="I8305" t="n">
        <v>0</v>
      </c>
      <c r="J8305" t="n">
        <v>0</v>
      </c>
      <c r="K8305" t="n">
        <v>0</v>
      </c>
      <c r="L8305" t="n">
        <v>0</v>
      </c>
      <c r="M8305" t="n">
        <v>0</v>
      </c>
      <c r="N8305" t="n">
        <v>0</v>
      </c>
      <c r="O8305" t="n">
        <v>0</v>
      </c>
      <c r="P8305" t="n">
        <v>0</v>
      </c>
      <c r="Q8305" t="n">
        <v>0</v>
      </c>
      <c r="R8305" s="2" t="inlineStr"/>
    </row>
    <row r="8306" ht="15" customHeight="1">
      <c r="A8306" t="inlineStr">
        <is>
          <t>A 15266-2022</t>
        </is>
      </c>
      <c r="B8306" s="1" t="n">
        <v>44659</v>
      </c>
      <c r="C8306" s="1" t="n">
        <v>45212</v>
      </c>
      <c r="D8306" t="inlineStr">
        <is>
          <t>VÄSTRA GÖTALANDS LÄN</t>
        </is>
      </c>
      <c r="E8306" t="inlineStr">
        <is>
          <t>STRÖMSTAD</t>
        </is>
      </c>
      <c r="G8306" t="n">
        <v>7.1</v>
      </c>
      <c r="H8306" t="n">
        <v>0</v>
      </c>
      <c r="I8306" t="n">
        <v>0</v>
      </c>
      <c r="J8306" t="n">
        <v>0</v>
      </c>
      <c r="K8306" t="n">
        <v>0</v>
      </c>
      <c r="L8306" t="n">
        <v>0</v>
      </c>
      <c r="M8306" t="n">
        <v>0</v>
      </c>
      <c r="N8306" t="n">
        <v>0</v>
      </c>
      <c r="O8306" t="n">
        <v>0</v>
      </c>
      <c r="P8306" t="n">
        <v>0</v>
      </c>
      <c r="Q8306" t="n">
        <v>0</v>
      </c>
      <c r="R8306" s="2" t="inlineStr"/>
    </row>
    <row r="8307" ht="15" customHeight="1">
      <c r="A8307" t="inlineStr">
        <is>
          <t>A 15349-2022</t>
        </is>
      </c>
      <c r="B8307" s="1" t="n">
        <v>44659</v>
      </c>
      <c r="C8307" s="1" t="n">
        <v>45212</v>
      </c>
      <c r="D8307" t="inlineStr">
        <is>
          <t>VÄSTRA GÖTALANDS LÄN</t>
        </is>
      </c>
      <c r="E8307" t="inlineStr">
        <is>
          <t>MELLERUD</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15415-2022</t>
        </is>
      </c>
      <c r="B8308" s="1" t="n">
        <v>44659</v>
      </c>
      <c r="C8308" s="1" t="n">
        <v>45212</v>
      </c>
      <c r="D8308" t="inlineStr">
        <is>
          <t>VÄSTRA GÖTALANDS LÄN</t>
        </is>
      </c>
      <c r="E8308" t="inlineStr">
        <is>
          <t>SKARA</t>
        </is>
      </c>
      <c r="F8308" t="inlineStr">
        <is>
          <t>Kommuner</t>
        </is>
      </c>
      <c r="G8308" t="n">
        <v>2.4</v>
      </c>
      <c r="H8308" t="n">
        <v>0</v>
      </c>
      <c r="I8308" t="n">
        <v>0</v>
      </c>
      <c r="J8308" t="n">
        <v>0</v>
      </c>
      <c r="K8308" t="n">
        <v>0</v>
      </c>
      <c r="L8308" t="n">
        <v>0</v>
      </c>
      <c r="M8308" t="n">
        <v>0</v>
      </c>
      <c r="N8308" t="n">
        <v>0</v>
      </c>
      <c r="O8308" t="n">
        <v>0</v>
      </c>
      <c r="P8308" t="n">
        <v>0</v>
      </c>
      <c r="Q8308" t="n">
        <v>0</v>
      </c>
      <c r="R8308" s="2" t="inlineStr"/>
    </row>
    <row r="8309" ht="15" customHeight="1">
      <c r="A8309" t="inlineStr">
        <is>
          <t>A 15499-2022</t>
        </is>
      </c>
      <c r="B8309" s="1" t="n">
        <v>44662</v>
      </c>
      <c r="C8309" s="1" t="n">
        <v>45212</v>
      </c>
      <c r="D8309" t="inlineStr">
        <is>
          <t>VÄSTRA GÖTALANDS LÄN</t>
        </is>
      </c>
      <c r="E8309" t="inlineStr">
        <is>
          <t>ALE</t>
        </is>
      </c>
      <c r="G8309" t="n">
        <v>4.7</v>
      </c>
      <c r="H8309" t="n">
        <v>0</v>
      </c>
      <c r="I8309" t="n">
        <v>0</v>
      </c>
      <c r="J8309" t="n">
        <v>0</v>
      </c>
      <c r="K8309" t="n">
        <v>0</v>
      </c>
      <c r="L8309" t="n">
        <v>0</v>
      </c>
      <c r="M8309" t="n">
        <v>0</v>
      </c>
      <c r="N8309" t="n">
        <v>0</v>
      </c>
      <c r="O8309" t="n">
        <v>0</v>
      </c>
      <c r="P8309" t="n">
        <v>0</v>
      </c>
      <c r="Q8309" t="n">
        <v>0</v>
      </c>
      <c r="R8309" s="2" t="inlineStr"/>
    </row>
    <row r="8310" ht="15" customHeight="1">
      <c r="A8310" t="inlineStr">
        <is>
          <t>A 15567-2022</t>
        </is>
      </c>
      <c r="B8310" s="1" t="n">
        <v>44662</v>
      </c>
      <c r="C8310" s="1" t="n">
        <v>45212</v>
      </c>
      <c r="D8310" t="inlineStr">
        <is>
          <t>VÄSTRA GÖTALANDS LÄN</t>
        </is>
      </c>
      <c r="E8310" t="inlineStr">
        <is>
          <t>LILLA EDET</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15544-2022</t>
        </is>
      </c>
      <c r="B8311" s="1" t="n">
        <v>44662</v>
      </c>
      <c r="C8311" s="1" t="n">
        <v>45212</v>
      </c>
      <c r="D8311" t="inlineStr">
        <is>
          <t>VÄSTRA GÖTALANDS LÄN</t>
        </is>
      </c>
      <c r="E8311" t="inlineStr">
        <is>
          <t>SVENLJUNGA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15731-2022</t>
        </is>
      </c>
      <c r="B8312" s="1" t="n">
        <v>44663</v>
      </c>
      <c r="C8312" s="1" t="n">
        <v>45212</v>
      </c>
      <c r="D8312" t="inlineStr">
        <is>
          <t>VÄSTRA GÖTALANDS LÄN</t>
        </is>
      </c>
      <c r="E8312" t="inlineStr">
        <is>
          <t>GRÄSTORP</t>
        </is>
      </c>
      <c r="G8312" t="n">
        <v>2.5</v>
      </c>
      <c r="H8312" t="n">
        <v>0</v>
      </c>
      <c r="I8312" t="n">
        <v>0</v>
      </c>
      <c r="J8312" t="n">
        <v>0</v>
      </c>
      <c r="K8312" t="n">
        <v>0</v>
      </c>
      <c r="L8312" t="n">
        <v>0</v>
      </c>
      <c r="M8312" t="n">
        <v>0</v>
      </c>
      <c r="N8312" t="n">
        <v>0</v>
      </c>
      <c r="O8312" t="n">
        <v>0</v>
      </c>
      <c r="P8312" t="n">
        <v>0</v>
      </c>
      <c r="Q8312" t="n">
        <v>0</v>
      </c>
      <c r="R8312" s="2" t="inlineStr"/>
    </row>
    <row r="8313" ht="15" customHeight="1">
      <c r="A8313" t="inlineStr">
        <is>
          <t>A 15775-2022</t>
        </is>
      </c>
      <c r="B8313" s="1" t="n">
        <v>44663</v>
      </c>
      <c r="C8313" s="1" t="n">
        <v>45212</v>
      </c>
      <c r="D8313" t="inlineStr">
        <is>
          <t>VÄSTRA GÖTALANDS LÄN</t>
        </is>
      </c>
      <c r="E8313" t="inlineStr">
        <is>
          <t>ÅMÅL</t>
        </is>
      </c>
      <c r="G8313" t="n">
        <v>2.1</v>
      </c>
      <c r="H8313" t="n">
        <v>0</v>
      </c>
      <c r="I8313" t="n">
        <v>0</v>
      </c>
      <c r="J8313" t="n">
        <v>0</v>
      </c>
      <c r="K8313" t="n">
        <v>0</v>
      </c>
      <c r="L8313" t="n">
        <v>0</v>
      </c>
      <c r="M8313" t="n">
        <v>0</v>
      </c>
      <c r="N8313" t="n">
        <v>0</v>
      </c>
      <c r="O8313" t="n">
        <v>0</v>
      </c>
      <c r="P8313" t="n">
        <v>0</v>
      </c>
      <c r="Q8313" t="n">
        <v>0</v>
      </c>
      <c r="R8313" s="2" t="inlineStr"/>
    </row>
    <row r="8314" ht="15" customHeight="1">
      <c r="A8314" t="inlineStr">
        <is>
          <t>A 15741-2022</t>
        </is>
      </c>
      <c r="B8314" s="1" t="n">
        <v>44663</v>
      </c>
      <c r="C8314" s="1" t="n">
        <v>45212</v>
      </c>
      <c r="D8314" t="inlineStr">
        <is>
          <t>VÄSTRA GÖTALANDS LÄN</t>
        </is>
      </c>
      <c r="E8314" t="inlineStr">
        <is>
          <t>GÖTENE</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15793-2022</t>
        </is>
      </c>
      <c r="B8315" s="1" t="n">
        <v>44663</v>
      </c>
      <c r="C8315" s="1" t="n">
        <v>45212</v>
      </c>
      <c r="D8315" t="inlineStr">
        <is>
          <t>VÄSTRA GÖTALANDS LÄN</t>
        </is>
      </c>
      <c r="E8315" t="inlineStr">
        <is>
          <t>FALKÖPING</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15683-2022</t>
        </is>
      </c>
      <c r="B8316" s="1" t="n">
        <v>44663</v>
      </c>
      <c r="C8316" s="1" t="n">
        <v>45212</v>
      </c>
      <c r="D8316" t="inlineStr">
        <is>
          <t>VÄSTRA GÖTALANDS LÄN</t>
        </is>
      </c>
      <c r="E8316" t="inlineStr">
        <is>
          <t>HÄRRYDA</t>
        </is>
      </c>
      <c r="G8316" t="n">
        <v>0.1</v>
      </c>
      <c r="H8316" t="n">
        <v>0</v>
      </c>
      <c r="I8316" t="n">
        <v>0</v>
      </c>
      <c r="J8316" t="n">
        <v>0</v>
      </c>
      <c r="K8316" t="n">
        <v>0</v>
      </c>
      <c r="L8316" t="n">
        <v>0</v>
      </c>
      <c r="M8316" t="n">
        <v>0</v>
      </c>
      <c r="N8316" t="n">
        <v>0</v>
      </c>
      <c r="O8316" t="n">
        <v>0</v>
      </c>
      <c r="P8316" t="n">
        <v>0</v>
      </c>
      <c r="Q8316" t="n">
        <v>0</v>
      </c>
      <c r="R8316" s="2" t="inlineStr"/>
    </row>
    <row r="8317" ht="15" customHeight="1">
      <c r="A8317" t="inlineStr">
        <is>
          <t>A 15727-2022</t>
        </is>
      </c>
      <c r="B8317" s="1" t="n">
        <v>44663</v>
      </c>
      <c r="C8317" s="1" t="n">
        <v>45212</v>
      </c>
      <c r="D8317" t="inlineStr">
        <is>
          <t>VÄSTRA GÖTALANDS LÄN</t>
        </is>
      </c>
      <c r="E8317" t="inlineStr">
        <is>
          <t>ULRICEHAMN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15835-2022</t>
        </is>
      </c>
      <c r="B8318" s="1" t="n">
        <v>44664</v>
      </c>
      <c r="C8318" s="1" t="n">
        <v>45212</v>
      </c>
      <c r="D8318" t="inlineStr">
        <is>
          <t>VÄSTRA GÖTALANDS LÄN</t>
        </is>
      </c>
      <c r="E8318" t="inlineStr">
        <is>
          <t>MUNKEDAL</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15952-2022</t>
        </is>
      </c>
      <c r="B8319" s="1" t="n">
        <v>44664</v>
      </c>
      <c r="C8319" s="1" t="n">
        <v>45212</v>
      </c>
      <c r="D8319" t="inlineStr">
        <is>
          <t>VÄSTRA GÖTALANDS LÄN</t>
        </is>
      </c>
      <c r="E8319" t="inlineStr">
        <is>
          <t>TIDAHOLM</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15953-2022</t>
        </is>
      </c>
      <c r="B8320" s="1" t="n">
        <v>44664</v>
      </c>
      <c r="C8320" s="1" t="n">
        <v>45212</v>
      </c>
      <c r="D8320" t="inlineStr">
        <is>
          <t>VÄSTRA GÖTALANDS LÄN</t>
        </is>
      </c>
      <c r="E8320" t="inlineStr">
        <is>
          <t>TIDAHOLM</t>
        </is>
      </c>
      <c r="G8320" t="n">
        <v>4.4</v>
      </c>
      <c r="H8320" t="n">
        <v>0</v>
      </c>
      <c r="I8320" t="n">
        <v>0</v>
      </c>
      <c r="J8320" t="n">
        <v>0</v>
      </c>
      <c r="K8320" t="n">
        <v>0</v>
      </c>
      <c r="L8320" t="n">
        <v>0</v>
      </c>
      <c r="M8320" t="n">
        <v>0</v>
      </c>
      <c r="N8320" t="n">
        <v>0</v>
      </c>
      <c r="O8320" t="n">
        <v>0</v>
      </c>
      <c r="P8320" t="n">
        <v>0</v>
      </c>
      <c r="Q8320" t="n">
        <v>0</v>
      </c>
      <c r="R8320" s="2" t="inlineStr"/>
    </row>
    <row r="8321" ht="15" customHeight="1">
      <c r="A8321" t="inlineStr">
        <is>
          <t>A 16039-2022</t>
        </is>
      </c>
      <c r="B8321" s="1" t="n">
        <v>44665</v>
      </c>
      <c r="C8321" s="1" t="n">
        <v>45212</v>
      </c>
      <c r="D8321" t="inlineStr">
        <is>
          <t>VÄSTRA GÖTALANDS LÄN</t>
        </is>
      </c>
      <c r="E8321" t="inlineStr">
        <is>
          <t>TRANEMO</t>
        </is>
      </c>
      <c r="G8321" t="n">
        <v>2.1</v>
      </c>
      <c r="H8321" t="n">
        <v>0</v>
      </c>
      <c r="I8321" t="n">
        <v>0</v>
      </c>
      <c r="J8321" t="n">
        <v>0</v>
      </c>
      <c r="K8321" t="n">
        <v>0</v>
      </c>
      <c r="L8321" t="n">
        <v>0</v>
      </c>
      <c r="M8321" t="n">
        <v>0</v>
      </c>
      <c r="N8321" t="n">
        <v>0</v>
      </c>
      <c r="O8321" t="n">
        <v>0</v>
      </c>
      <c r="P8321" t="n">
        <v>0</v>
      </c>
      <c r="Q8321" t="n">
        <v>0</v>
      </c>
      <c r="R8321" s="2" t="inlineStr"/>
    </row>
    <row r="8322" ht="15" customHeight="1">
      <c r="A8322" t="inlineStr">
        <is>
          <t>A 15992-2022</t>
        </is>
      </c>
      <c r="B8322" s="1" t="n">
        <v>44665</v>
      </c>
      <c r="C8322" s="1" t="n">
        <v>45212</v>
      </c>
      <c r="D8322" t="inlineStr">
        <is>
          <t>VÄSTRA GÖTALANDS LÄN</t>
        </is>
      </c>
      <c r="E8322" t="inlineStr">
        <is>
          <t>VÅRGÅRDA</t>
        </is>
      </c>
      <c r="G8322" t="n">
        <v>8.9</v>
      </c>
      <c r="H8322" t="n">
        <v>0</v>
      </c>
      <c r="I8322" t="n">
        <v>0</v>
      </c>
      <c r="J8322" t="n">
        <v>0</v>
      </c>
      <c r="K8322" t="n">
        <v>0</v>
      </c>
      <c r="L8322" t="n">
        <v>0</v>
      </c>
      <c r="M8322" t="n">
        <v>0</v>
      </c>
      <c r="N8322" t="n">
        <v>0</v>
      </c>
      <c r="O8322" t="n">
        <v>0</v>
      </c>
      <c r="P8322" t="n">
        <v>0</v>
      </c>
      <c r="Q8322" t="n">
        <v>0</v>
      </c>
      <c r="R8322" s="2" t="inlineStr"/>
    </row>
    <row r="8323" ht="15" customHeight="1">
      <c r="A8323" t="inlineStr">
        <is>
          <t>A 16222-2022</t>
        </is>
      </c>
      <c r="B8323" s="1" t="n">
        <v>44670</v>
      </c>
      <c r="C8323" s="1" t="n">
        <v>45212</v>
      </c>
      <c r="D8323" t="inlineStr">
        <is>
          <t>VÄSTRA GÖTALANDS LÄN</t>
        </is>
      </c>
      <c r="E8323" t="inlineStr">
        <is>
          <t>TRANEMO</t>
        </is>
      </c>
      <c r="F8323" t="inlineStr">
        <is>
          <t>Kyrkan</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16223-2022</t>
        </is>
      </c>
      <c r="B8324" s="1" t="n">
        <v>44670</v>
      </c>
      <c r="C8324" s="1" t="n">
        <v>45212</v>
      </c>
      <c r="D8324" t="inlineStr">
        <is>
          <t>VÄSTRA GÖTALANDS LÄN</t>
        </is>
      </c>
      <c r="E8324" t="inlineStr">
        <is>
          <t>TRANEMO</t>
        </is>
      </c>
      <c r="F8324" t="inlineStr">
        <is>
          <t>Kyrkan</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16220-2022</t>
        </is>
      </c>
      <c r="B8325" s="1" t="n">
        <v>44670</v>
      </c>
      <c r="C8325" s="1" t="n">
        <v>45212</v>
      </c>
      <c r="D8325" t="inlineStr">
        <is>
          <t>VÄSTRA GÖTALANDS LÄN</t>
        </is>
      </c>
      <c r="E8325" t="inlineStr">
        <is>
          <t>TRANEMO</t>
        </is>
      </c>
      <c r="F8325" t="inlineStr">
        <is>
          <t>Kyrkan</t>
        </is>
      </c>
      <c r="G8325" t="n">
        <v>4.6</v>
      </c>
      <c r="H8325" t="n">
        <v>0</v>
      </c>
      <c r="I8325" t="n">
        <v>0</v>
      </c>
      <c r="J8325" t="n">
        <v>0</v>
      </c>
      <c r="K8325" t="n">
        <v>0</v>
      </c>
      <c r="L8325" t="n">
        <v>0</v>
      </c>
      <c r="M8325" t="n">
        <v>0</v>
      </c>
      <c r="N8325" t="n">
        <v>0</v>
      </c>
      <c r="O8325" t="n">
        <v>0</v>
      </c>
      <c r="P8325" t="n">
        <v>0</v>
      </c>
      <c r="Q8325" t="n">
        <v>0</v>
      </c>
      <c r="R8325" s="2" t="inlineStr"/>
    </row>
    <row r="8326" ht="15" customHeight="1">
      <c r="A8326" t="inlineStr">
        <is>
          <t>A 16481-2022</t>
        </is>
      </c>
      <c r="B8326" s="1" t="n">
        <v>44671</v>
      </c>
      <c r="C8326" s="1" t="n">
        <v>45212</v>
      </c>
      <c r="D8326" t="inlineStr">
        <is>
          <t>VÄSTRA GÖTALANDS LÄN</t>
        </is>
      </c>
      <c r="E8326" t="inlineStr">
        <is>
          <t>LILLA EDET</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16473-2022</t>
        </is>
      </c>
      <c r="B8327" s="1" t="n">
        <v>44671</v>
      </c>
      <c r="C8327" s="1" t="n">
        <v>45212</v>
      </c>
      <c r="D8327" t="inlineStr">
        <is>
          <t>VÄSTRA GÖTALANDS LÄN</t>
        </is>
      </c>
      <c r="E8327" t="inlineStr">
        <is>
          <t>LILLA EDET</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16612-2022</t>
        </is>
      </c>
      <c r="B8328" s="1" t="n">
        <v>44672</v>
      </c>
      <c r="C8328" s="1" t="n">
        <v>45212</v>
      </c>
      <c r="D8328" t="inlineStr">
        <is>
          <t>VÄSTRA GÖTALANDS LÄN</t>
        </is>
      </c>
      <c r="E8328" t="inlineStr">
        <is>
          <t>ALINGSÅS</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16661-2022</t>
        </is>
      </c>
      <c r="B8329" s="1" t="n">
        <v>44672</v>
      </c>
      <c r="C8329" s="1" t="n">
        <v>45212</v>
      </c>
      <c r="D8329" t="inlineStr">
        <is>
          <t>VÄSTRA GÖTALANDS LÄN</t>
        </is>
      </c>
      <c r="E8329" t="inlineStr">
        <is>
          <t>FALKÖPING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16544-2022</t>
        </is>
      </c>
      <c r="B8330" s="1" t="n">
        <v>44672</v>
      </c>
      <c r="C8330" s="1" t="n">
        <v>45212</v>
      </c>
      <c r="D8330" t="inlineStr">
        <is>
          <t>VÄSTRA GÖTALANDS LÄN</t>
        </is>
      </c>
      <c r="E8330" t="inlineStr">
        <is>
          <t>FÄRGELANDA</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16609-2022</t>
        </is>
      </c>
      <c r="B8331" s="1" t="n">
        <v>44672</v>
      </c>
      <c r="C8331" s="1" t="n">
        <v>45212</v>
      </c>
      <c r="D8331" t="inlineStr">
        <is>
          <t>VÄSTRA GÖTALANDS LÄN</t>
        </is>
      </c>
      <c r="E8331" t="inlineStr">
        <is>
          <t>ALINGSÅS</t>
        </is>
      </c>
      <c r="G8331" t="n">
        <v>4.1</v>
      </c>
      <c r="H8331" t="n">
        <v>0</v>
      </c>
      <c r="I8331" t="n">
        <v>0</v>
      </c>
      <c r="J8331" t="n">
        <v>0</v>
      </c>
      <c r="K8331" t="n">
        <v>0</v>
      </c>
      <c r="L8331" t="n">
        <v>0</v>
      </c>
      <c r="M8331" t="n">
        <v>0</v>
      </c>
      <c r="N8331" t="n">
        <v>0</v>
      </c>
      <c r="O8331" t="n">
        <v>0</v>
      </c>
      <c r="P8331" t="n">
        <v>0</v>
      </c>
      <c r="Q8331" t="n">
        <v>0</v>
      </c>
      <c r="R8331" s="2" t="inlineStr"/>
    </row>
    <row r="8332" ht="15" customHeight="1">
      <c r="A8332" t="inlineStr">
        <is>
          <t>A 16736-2022</t>
        </is>
      </c>
      <c r="B8332" s="1" t="n">
        <v>44673</v>
      </c>
      <c r="C8332" s="1" t="n">
        <v>45212</v>
      </c>
      <c r="D8332" t="inlineStr">
        <is>
          <t>VÄSTRA GÖTALANDS LÄN</t>
        </is>
      </c>
      <c r="E8332" t="inlineStr">
        <is>
          <t>KARLSBORG</t>
        </is>
      </c>
      <c r="F8332" t="inlineStr">
        <is>
          <t>Övriga statliga verk och myndigheter</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17019-2022</t>
        </is>
      </c>
      <c r="B8333" s="1" t="n">
        <v>44676</v>
      </c>
      <c r="C8333" s="1" t="n">
        <v>45212</v>
      </c>
      <c r="D8333" t="inlineStr">
        <is>
          <t>VÄSTRA GÖTALANDS LÄN</t>
        </is>
      </c>
      <c r="E8333" t="inlineStr">
        <is>
          <t>MELLERUD</t>
        </is>
      </c>
      <c r="G8333" t="n">
        <v>0.7</v>
      </c>
      <c r="H8333" t="n">
        <v>0</v>
      </c>
      <c r="I8333" t="n">
        <v>0</v>
      </c>
      <c r="J8333" t="n">
        <v>0</v>
      </c>
      <c r="K8333" t="n">
        <v>0</v>
      </c>
      <c r="L8333" t="n">
        <v>0</v>
      </c>
      <c r="M8333" t="n">
        <v>0</v>
      </c>
      <c r="N8333" t="n">
        <v>0</v>
      </c>
      <c r="O8333" t="n">
        <v>0</v>
      </c>
      <c r="P8333" t="n">
        <v>0</v>
      </c>
      <c r="Q8333" t="n">
        <v>0</v>
      </c>
      <c r="R8333" s="2" t="inlineStr"/>
    </row>
    <row r="8334" ht="15" customHeight="1">
      <c r="A8334" t="inlineStr">
        <is>
          <t>A 17109-2022</t>
        </is>
      </c>
      <c r="B8334" s="1" t="n">
        <v>44677</v>
      </c>
      <c r="C8334" s="1" t="n">
        <v>45212</v>
      </c>
      <c r="D8334" t="inlineStr">
        <is>
          <t>VÄSTRA GÖTALANDS LÄN</t>
        </is>
      </c>
      <c r="E8334" t="inlineStr">
        <is>
          <t>MELLERUD</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17201-2022</t>
        </is>
      </c>
      <c r="B8335" s="1" t="n">
        <v>44677</v>
      </c>
      <c r="C8335" s="1" t="n">
        <v>45212</v>
      </c>
      <c r="D8335" t="inlineStr">
        <is>
          <t>VÄSTRA GÖTALANDS LÄN</t>
        </is>
      </c>
      <c r="E8335" t="inlineStr">
        <is>
          <t>VÅRGÅRDA</t>
        </is>
      </c>
      <c r="G8335" t="n">
        <v>1.6</v>
      </c>
      <c r="H8335" t="n">
        <v>0</v>
      </c>
      <c r="I8335" t="n">
        <v>0</v>
      </c>
      <c r="J8335" t="n">
        <v>0</v>
      </c>
      <c r="K8335" t="n">
        <v>0</v>
      </c>
      <c r="L8335" t="n">
        <v>0</v>
      </c>
      <c r="M8335" t="n">
        <v>0</v>
      </c>
      <c r="N8335" t="n">
        <v>0</v>
      </c>
      <c r="O8335" t="n">
        <v>0</v>
      </c>
      <c r="P8335" t="n">
        <v>0</v>
      </c>
      <c r="Q8335" t="n">
        <v>0</v>
      </c>
      <c r="R8335" s="2" t="inlineStr"/>
    </row>
    <row r="8336" ht="15" customHeight="1">
      <c r="A8336" t="inlineStr">
        <is>
          <t>A 17126-2022</t>
        </is>
      </c>
      <c r="B8336" s="1" t="n">
        <v>44677</v>
      </c>
      <c r="C8336" s="1" t="n">
        <v>45212</v>
      </c>
      <c r="D8336" t="inlineStr">
        <is>
          <t>VÄSTRA GÖTALANDS LÄN</t>
        </is>
      </c>
      <c r="E8336" t="inlineStr">
        <is>
          <t>TROLLHÄTTAN</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17194-2022</t>
        </is>
      </c>
      <c r="B8337" s="1" t="n">
        <v>44677</v>
      </c>
      <c r="C8337" s="1" t="n">
        <v>45212</v>
      </c>
      <c r="D8337" t="inlineStr">
        <is>
          <t>VÄSTRA GÖTALANDS LÄN</t>
        </is>
      </c>
      <c r="E8337" t="inlineStr">
        <is>
          <t>TROLLHÄTTAN</t>
        </is>
      </c>
      <c r="G8337" t="n">
        <v>2.9</v>
      </c>
      <c r="H8337" t="n">
        <v>0</v>
      </c>
      <c r="I8337" t="n">
        <v>0</v>
      </c>
      <c r="J8337" t="n">
        <v>0</v>
      </c>
      <c r="K8337" t="n">
        <v>0</v>
      </c>
      <c r="L8337" t="n">
        <v>0</v>
      </c>
      <c r="M8337" t="n">
        <v>0</v>
      </c>
      <c r="N8337" t="n">
        <v>0</v>
      </c>
      <c r="O8337" t="n">
        <v>0</v>
      </c>
      <c r="P8337" t="n">
        <v>0</v>
      </c>
      <c r="Q8337" t="n">
        <v>0</v>
      </c>
      <c r="R8337" s="2" t="inlineStr"/>
    </row>
    <row r="8338" ht="15" customHeight="1">
      <c r="A8338" t="inlineStr">
        <is>
          <t>A 17410-2022</t>
        </is>
      </c>
      <c r="B8338" s="1" t="n">
        <v>44678</v>
      </c>
      <c r="C8338" s="1" t="n">
        <v>45212</v>
      </c>
      <c r="D8338" t="inlineStr">
        <is>
          <t>VÄSTRA GÖTALANDS LÄN</t>
        </is>
      </c>
      <c r="E8338" t="inlineStr">
        <is>
          <t>BORÅS</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17330-2022</t>
        </is>
      </c>
      <c r="B8339" s="1" t="n">
        <v>44678</v>
      </c>
      <c r="C8339" s="1" t="n">
        <v>45212</v>
      </c>
      <c r="D8339" t="inlineStr">
        <is>
          <t>VÄSTRA GÖTALANDS LÄN</t>
        </is>
      </c>
      <c r="E8339" t="inlineStr">
        <is>
          <t>TROLLHÄTTAN</t>
        </is>
      </c>
      <c r="G8339" t="n">
        <v>3.4</v>
      </c>
      <c r="H8339" t="n">
        <v>0</v>
      </c>
      <c r="I8339" t="n">
        <v>0</v>
      </c>
      <c r="J8339" t="n">
        <v>0</v>
      </c>
      <c r="K8339" t="n">
        <v>0</v>
      </c>
      <c r="L8339" t="n">
        <v>0</v>
      </c>
      <c r="M8339" t="n">
        <v>0</v>
      </c>
      <c r="N8339" t="n">
        <v>0</v>
      </c>
      <c r="O8339" t="n">
        <v>0</v>
      </c>
      <c r="P8339" t="n">
        <v>0</v>
      </c>
      <c r="Q8339" t="n">
        <v>0</v>
      </c>
      <c r="R8339" s="2" t="inlineStr"/>
    </row>
    <row r="8340" ht="15" customHeight="1">
      <c r="A8340" t="inlineStr">
        <is>
          <t>A 17306-2022</t>
        </is>
      </c>
      <c r="B8340" s="1" t="n">
        <v>44678</v>
      </c>
      <c r="C8340" s="1" t="n">
        <v>45212</v>
      </c>
      <c r="D8340" t="inlineStr">
        <is>
          <t>VÄSTRA GÖTALANDS LÄN</t>
        </is>
      </c>
      <c r="E8340" t="inlineStr">
        <is>
          <t>ULRICEHAMN</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17338-2022</t>
        </is>
      </c>
      <c r="B8341" s="1" t="n">
        <v>44678</v>
      </c>
      <c r="C8341" s="1" t="n">
        <v>45212</v>
      </c>
      <c r="D8341" t="inlineStr">
        <is>
          <t>VÄSTRA GÖTALANDS LÄN</t>
        </is>
      </c>
      <c r="E8341" t="inlineStr">
        <is>
          <t>MUNKEDAL</t>
        </is>
      </c>
      <c r="G8341" t="n">
        <v>4.4</v>
      </c>
      <c r="H8341" t="n">
        <v>0</v>
      </c>
      <c r="I8341" t="n">
        <v>0</v>
      </c>
      <c r="J8341" t="n">
        <v>0</v>
      </c>
      <c r="K8341" t="n">
        <v>0</v>
      </c>
      <c r="L8341" t="n">
        <v>0</v>
      </c>
      <c r="M8341" t="n">
        <v>0</v>
      </c>
      <c r="N8341" t="n">
        <v>0</v>
      </c>
      <c r="O8341" t="n">
        <v>0</v>
      </c>
      <c r="P8341" t="n">
        <v>0</v>
      </c>
      <c r="Q8341" t="n">
        <v>0</v>
      </c>
      <c r="R8341" s="2" t="inlineStr"/>
    </row>
    <row r="8342" ht="15" customHeight="1">
      <c r="A8342" t="inlineStr">
        <is>
          <t>A 17564-2022</t>
        </is>
      </c>
      <c r="B8342" s="1" t="n">
        <v>44679</v>
      </c>
      <c r="C8342" s="1" t="n">
        <v>45212</v>
      </c>
      <c r="D8342" t="inlineStr">
        <is>
          <t>VÄSTRA GÖTALANDS LÄN</t>
        </is>
      </c>
      <c r="E8342" t="inlineStr">
        <is>
          <t>GULLSPÅNG</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17430-2022</t>
        </is>
      </c>
      <c r="B8343" s="1" t="n">
        <v>44679</v>
      </c>
      <c r="C8343" s="1" t="n">
        <v>45212</v>
      </c>
      <c r="D8343" t="inlineStr">
        <is>
          <t>VÄSTRA GÖTALANDS LÄN</t>
        </is>
      </c>
      <c r="E8343" t="inlineStr">
        <is>
          <t>ULRICEHAMN</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17661-2022</t>
        </is>
      </c>
      <c r="B8344" s="1" t="n">
        <v>44680</v>
      </c>
      <c r="C8344" s="1" t="n">
        <v>45212</v>
      </c>
      <c r="D8344" t="inlineStr">
        <is>
          <t>VÄSTRA GÖTALANDS LÄN</t>
        </is>
      </c>
      <c r="E8344" t="inlineStr">
        <is>
          <t>VÅRGÅRDA</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17985-2022</t>
        </is>
      </c>
      <c r="B8345" s="1" t="n">
        <v>44683</v>
      </c>
      <c r="C8345" s="1" t="n">
        <v>45212</v>
      </c>
      <c r="D8345" t="inlineStr">
        <is>
          <t>VÄSTRA GÖTALANDS LÄN</t>
        </is>
      </c>
      <c r="E8345" t="inlineStr">
        <is>
          <t>VÄNERSBORG</t>
        </is>
      </c>
      <c r="G8345" t="n">
        <v>10</v>
      </c>
      <c r="H8345" t="n">
        <v>0</v>
      </c>
      <c r="I8345" t="n">
        <v>0</v>
      </c>
      <c r="J8345" t="n">
        <v>0</v>
      </c>
      <c r="K8345" t="n">
        <v>0</v>
      </c>
      <c r="L8345" t="n">
        <v>0</v>
      </c>
      <c r="M8345" t="n">
        <v>0</v>
      </c>
      <c r="N8345" t="n">
        <v>0</v>
      </c>
      <c r="O8345" t="n">
        <v>0</v>
      </c>
      <c r="P8345" t="n">
        <v>0</v>
      </c>
      <c r="Q8345" t="n">
        <v>0</v>
      </c>
      <c r="R8345" s="2" t="inlineStr"/>
    </row>
    <row r="8346" ht="15" customHeight="1">
      <c r="A8346" t="inlineStr">
        <is>
          <t>A 17933-2022</t>
        </is>
      </c>
      <c r="B8346" s="1" t="n">
        <v>44683</v>
      </c>
      <c r="C8346" s="1" t="n">
        <v>45212</v>
      </c>
      <c r="D8346" t="inlineStr">
        <is>
          <t>VÄSTRA GÖTALANDS LÄN</t>
        </is>
      </c>
      <c r="E8346" t="inlineStr">
        <is>
          <t>ÅMÅL</t>
        </is>
      </c>
      <c r="G8346" t="n">
        <v>9</v>
      </c>
      <c r="H8346" t="n">
        <v>0</v>
      </c>
      <c r="I8346" t="n">
        <v>0</v>
      </c>
      <c r="J8346" t="n">
        <v>0</v>
      </c>
      <c r="K8346" t="n">
        <v>0</v>
      </c>
      <c r="L8346" t="n">
        <v>0</v>
      </c>
      <c r="M8346" t="n">
        <v>0</v>
      </c>
      <c r="N8346" t="n">
        <v>0</v>
      </c>
      <c r="O8346" t="n">
        <v>0</v>
      </c>
      <c r="P8346" t="n">
        <v>0</v>
      </c>
      <c r="Q8346" t="n">
        <v>0</v>
      </c>
      <c r="R8346" s="2" t="inlineStr"/>
    </row>
    <row r="8347" ht="15" customHeight="1">
      <c r="A8347" t="inlineStr">
        <is>
          <t>A 17971-2022</t>
        </is>
      </c>
      <c r="B8347" s="1" t="n">
        <v>44683</v>
      </c>
      <c r="C8347" s="1" t="n">
        <v>45212</v>
      </c>
      <c r="D8347" t="inlineStr">
        <is>
          <t>VÄSTRA GÖTALANDS LÄN</t>
        </is>
      </c>
      <c r="E8347" t="inlineStr">
        <is>
          <t>MUNKEDAL</t>
        </is>
      </c>
      <c r="G8347" t="n">
        <v>0.9</v>
      </c>
      <c r="H8347" t="n">
        <v>0</v>
      </c>
      <c r="I8347" t="n">
        <v>0</v>
      </c>
      <c r="J8347" t="n">
        <v>0</v>
      </c>
      <c r="K8347" t="n">
        <v>0</v>
      </c>
      <c r="L8347" t="n">
        <v>0</v>
      </c>
      <c r="M8347" t="n">
        <v>0</v>
      </c>
      <c r="N8347" t="n">
        <v>0</v>
      </c>
      <c r="O8347" t="n">
        <v>0</v>
      </c>
      <c r="P8347" t="n">
        <v>0</v>
      </c>
      <c r="Q8347" t="n">
        <v>0</v>
      </c>
      <c r="R8347" s="2" t="inlineStr"/>
    </row>
    <row r="8348" ht="15" customHeight="1">
      <c r="A8348" t="inlineStr">
        <is>
          <t>A 17965-2022</t>
        </is>
      </c>
      <c r="B8348" s="1" t="n">
        <v>44683</v>
      </c>
      <c r="C8348" s="1" t="n">
        <v>45212</v>
      </c>
      <c r="D8348" t="inlineStr">
        <is>
          <t>VÄSTRA GÖTALANDS LÄN</t>
        </is>
      </c>
      <c r="E8348" t="inlineStr">
        <is>
          <t>UDDEVALLA</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17990-2022</t>
        </is>
      </c>
      <c r="B8349" s="1" t="n">
        <v>44683</v>
      </c>
      <c r="C8349" s="1" t="n">
        <v>45212</v>
      </c>
      <c r="D8349" t="inlineStr">
        <is>
          <t>VÄSTRA GÖTALANDS LÄN</t>
        </is>
      </c>
      <c r="E8349" t="inlineStr">
        <is>
          <t>BOLLEBYGD</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17967-2022</t>
        </is>
      </c>
      <c r="B8350" s="1" t="n">
        <v>44683</v>
      </c>
      <c r="C8350" s="1" t="n">
        <v>45212</v>
      </c>
      <c r="D8350" t="inlineStr">
        <is>
          <t>VÄSTRA GÖTALANDS LÄN</t>
        </is>
      </c>
      <c r="E8350" t="inlineStr">
        <is>
          <t>MUNKEDAL</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17976-2022</t>
        </is>
      </c>
      <c r="B8351" s="1" t="n">
        <v>44683</v>
      </c>
      <c r="C8351" s="1" t="n">
        <v>45212</v>
      </c>
      <c r="D8351" t="inlineStr">
        <is>
          <t>VÄSTRA GÖTALANDS LÄN</t>
        </is>
      </c>
      <c r="E8351" t="inlineStr">
        <is>
          <t>BORÅS</t>
        </is>
      </c>
      <c r="F8351" t="inlineStr">
        <is>
          <t>Kyrkan</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18071-2022</t>
        </is>
      </c>
      <c r="B8352" s="1" t="n">
        <v>44684</v>
      </c>
      <c r="C8352" s="1" t="n">
        <v>45212</v>
      </c>
      <c r="D8352" t="inlineStr">
        <is>
          <t>VÄSTRA GÖTALANDS LÄN</t>
        </is>
      </c>
      <c r="E8352" t="inlineStr">
        <is>
          <t>TANUM</t>
        </is>
      </c>
      <c r="G8352" t="n">
        <v>2.8</v>
      </c>
      <c r="H8352" t="n">
        <v>0</v>
      </c>
      <c r="I8352" t="n">
        <v>0</v>
      </c>
      <c r="J8352" t="n">
        <v>0</v>
      </c>
      <c r="K8352" t="n">
        <v>0</v>
      </c>
      <c r="L8352" t="n">
        <v>0</v>
      </c>
      <c r="M8352" t="n">
        <v>0</v>
      </c>
      <c r="N8352" t="n">
        <v>0</v>
      </c>
      <c r="O8352" t="n">
        <v>0</v>
      </c>
      <c r="P8352" t="n">
        <v>0</v>
      </c>
      <c r="Q8352" t="n">
        <v>0</v>
      </c>
      <c r="R8352" s="2" t="inlineStr"/>
    </row>
    <row r="8353" ht="15" customHeight="1">
      <c r="A8353" t="inlineStr">
        <is>
          <t>A 18086-2022</t>
        </is>
      </c>
      <c r="B8353" s="1" t="n">
        <v>44684</v>
      </c>
      <c r="C8353" s="1" t="n">
        <v>45212</v>
      </c>
      <c r="D8353" t="inlineStr">
        <is>
          <t>VÄSTRA GÖTALANDS LÄN</t>
        </is>
      </c>
      <c r="E8353" t="inlineStr">
        <is>
          <t>FÄRGELANDA</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18124-2022</t>
        </is>
      </c>
      <c r="B8354" s="1" t="n">
        <v>44684</v>
      </c>
      <c r="C8354" s="1" t="n">
        <v>45212</v>
      </c>
      <c r="D8354" t="inlineStr">
        <is>
          <t>VÄSTRA GÖTALANDS LÄN</t>
        </is>
      </c>
      <c r="E8354" t="inlineStr">
        <is>
          <t>GÖTENE</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18157-2022</t>
        </is>
      </c>
      <c r="B8355" s="1" t="n">
        <v>44684</v>
      </c>
      <c r="C8355" s="1" t="n">
        <v>45212</v>
      </c>
      <c r="D8355" t="inlineStr">
        <is>
          <t>VÄSTRA GÖTALANDS LÄN</t>
        </is>
      </c>
      <c r="E8355" t="inlineStr">
        <is>
          <t>VÄNERSBORG</t>
        </is>
      </c>
      <c r="G8355" t="n">
        <v>6.3</v>
      </c>
      <c r="H8355" t="n">
        <v>0</v>
      </c>
      <c r="I8355" t="n">
        <v>0</v>
      </c>
      <c r="J8355" t="n">
        <v>0</v>
      </c>
      <c r="K8355" t="n">
        <v>0</v>
      </c>
      <c r="L8355" t="n">
        <v>0</v>
      </c>
      <c r="M8355" t="n">
        <v>0</v>
      </c>
      <c r="N8355" t="n">
        <v>0</v>
      </c>
      <c r="O8355" t="n">
        <v>0</v>
      </c>
      <c r="P8355" t="n">
        <v>0</v>
      </c>
      <c r="Q8355" t="n">
        <v>0</v>
      </c>
      <c r="R8355" s="2" t="inlineStr"/>
    </row>
    <row r="8356" ht="15" customHeight="1">
      <c r="A8356" t="inlineStr">
        <is>
          <t>A 18082-2022</t>
        </is>
      </c>
      <c r="B8356" s="1" t="n">
        <v>44684</v>
      </c>
      <c r="C8356" s="1" t="n">
        <v>45212</v>
      </c>
      <c r="D8356" t="inlineStr">
        <is>
          <t>VÄSTRA GÖTALANDS LÄN</t>
        </is>
      </c>
      <c r="E8356" t="inlineStr">
        <is>
          <t>TÖREBODA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18254-2022</t>
        </is>
      </c>
      <c r="B8357" s="1" t="n">
        <v>44685</v>
      </c>
      <c r="C8357" s="1" t="n">
        <v>45212</v>
      </c>
      <c r="D8357" t="inlineStr">
        <is>
          <t>VÄSTRA GÖTALANDS LÄN</t>
        </is>
      </c>
      <c r="E8357" t="inlineStr">
        <is>
          <t>SKÖVDE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18358-2022</t>
        </is>
      </c>
      <c r="B8358" s="1" t="n">
        <v>44685</v>
      </c>
      <c r="C8358" s="1" t="n">
        <v>45212</v>
      </c>
      <c r="D8358" t="inlineStr">
        <is>
          <t>VÄSTRA GÖTALANDS LÄN</t>
        </is>
      </c>
      <c r="E8358" t="inlineStr">
        <is>
          <t>DALS-ED</t>
        </is>
      </c>
      <c r="G8358" t="n">
        <v>7.7</v>
      </c>
      <c r="H8358" t="n">
        <v>0</v>
      </c>
      <c r="I8358" t="n">
        <v>0</v>
      </c>
      <c r="J8358" t="n">
        <v>0</v>
      </c>
      <c r="K8358" t="n">
        <v>0</v>
      </c>
      <c r="L8358" t="n">
        <v>0</v>
      </c>
      <c r="M8358" t="n">
        <v>0</v>
      </c>
      <c r="N8358" t="n">
        <v>0</v>
      </c>
      <c r="O8358" t="n">
        <v>0</v>
      </c>
      <c r="P8358" t="n">
        <v>0</v>
      </c>
      <c r="Q8358" t="n">
        <v>0</v>
      </c>
      <c r="R8358" s="2" t="inlineStr"/>
    </row>
    <row r="8359" ht="15" customHeight="1">
      <c r="A8359" t="inlineStr">
        <is>
          <t>A 18361-2022</t>
        </is>
      </c>
      <c r="B8359" s="1" t="n">
        <v>44685</v>
      </c>
      <c r="C8359" s="1" t="n">
        <v>45212</v>
      </c>
      <c r="D8359" t="inlineStr">
        <is>
          <t>VÄSTRA GÖTALANDS LÄN</t>
        </is>
      </c>
      <c r="E8359" t="inlineStr">
        <is>
          <t>DALS-ED</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18224-2022</t>
        </is>
      </c>
      <c r="B8360" s="1" t="n">
        <v>44685</v>
      </c>
      <c r="C8360" s="1" t="n">
        <v>45212</v>
      </c>
      <c r="D8360" t="inlineStr">
        <is>
          <t>VÄSTRA GÖTALANDS LÄN</t>
        </is>
      </c>
      <c r="E8360" t="inlineStr">
        <is>
          <t>VARA</t>
        </is>
      </c>
      <c r="G8360" t="n">
        <v>1.2</v>
      </c>
      <c r="H8360" t="n">
        <v>0</v>
      </c>
      <c r="I8360" t="n">
        <v>0</v>
      </c>
      <c r="J8360" t="n">
        <v>0</v>
      </c>
      <c r="K8360" t="n">
        <v>0</v>
      </c>
      <c r="L8360" t="n">
        <v>0</v>
      </c>
      <c r="M8360" t="n">
        <v>0</v>
      </c>
      <c r="N8360" t="n">
        <v>0</v>
      </c>
      <c r="O8360" t="n">
        <v>0</v>
      </c>
      <c r="P8360" t="n">
        <v>0</v>
      </c>
      <c r="Q8360" t="n">
        <v>0</v>
      </c>
      <c r="R8360" s="2" t="inlineStr"/>
    </row>
    <row r="8361" ht="15" customHeight="1">
      <c r="A8361" t="inlineStr">
        <is>
          <t>A 18244-2022</t>
        </is>
      </c>
      <c r="B8361" s="1" t="n">
        <v>44685</v>
      </c>
      <c r="C8361" s="1" t="n">
        <v>45212</v>
      </c>
      <c r="D8361" t="inlineStr">
        <is>
          <t>VÄSTRA GÖTALANDS LÄN</t>
        </is>
      </c>
      <c r="E8361" t="inlineStr">
        <is>
          <t>VARA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18362-2022</t>
        </is>
      </c>
      <c r="B8362" s="1" t="n">
        <v>44685</v>
      </c>
      <c r="C8362" s="1" t="n">
        <v>45212</v>
      </c>
      <c r="D8362" t="inlineStr">
        <is>
          <t>VÄSTRA GÖTALANDS LÄN</t>
        </is>
      </c>
      <c r="E8362" t="inlineStr">
        <is>
          <t>DALS-ED</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18360-2022</t>
        </is>
      </c>
      <c r="B8363" s="1" t="n">
        <v>44685</v>
      </c>
      <c r="C8363" s="1" t="n">
        <v>45212</v>
      </c>
      <c r="D8363" t="inlineStr">
        <is>
          <t>VÄSTRA GÖTALANDS LÄN</t>
        </is>
      </c>
      <c r="E8363" t="inlineStr">
        <is>
          <t>DALS-ED</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18459-2022</t>
        </is>
      </c>
      <c r="B8364" s="1" t="n">
        <v>44686</v>
      </c>
      <c r="C8364" s="1" t="n">
        <v>45212</v>
      </c>
      <c r="D8364" t="inlineStr">
        <is>
          <t>VÄSTRA GÖTALANDS LÄN</t>
        </is>
      </c>
      <c r="E8364" t="inlineStr">
        <is>
          <t>FÄRGELANDA</t>
        </is>
      </c>
      <c r="G8364" t="n">
        <v>2.2</v>
      </c>
      <c r="H8364" t="n">
        <v>0</v>
      </c>
      <c r="I8364" t="n">
        <v>0</v>
      </c>
      <c r="J8364" t="n">
        <v>0</v>
      </c>
      <c r="K8364" t="n">
        <v>0</v>
      </c>
      <c r="L8364" t="n">
        <v>0</v>
      </c>
      <c r="M8364" t="n">
        <v>0</v>
      </c>
      <c r="N8364" t="n">
        <v>0</v>
      </c>
      <c r="O8364" t="n">
        <v>0</v>
      </c>
      <c r="P8364" t="n">
        <v>0</v>
      </c>
      <c r="Q8364" t="n">
        <v>0</v>
      </c>
      <c r="R8364" s="2" t="inlineStr"/>
    </row>
    <row r="8365" ht="15" customHeight="1">
      <c r="A8365" t="inlineStr">
        <is>
          <t>A 18456-2022</t>
        </is>
      </c>
      <c r="B8365" s="1" t="n">
        <v>44686</v>
      </c>
      <c r="C8365" s="1" t="n">
        <v>45212</v>
      </c>
      <c r="D8365" t="inlineStr">
        <is>
          <t>VÄSTRA GÖTALANDS LÄN</t>
        </is>
      </c>
      <c r="E8365" t="inlineStr">
        <is>
          <t>MUNKEDAL</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18499-2022</t>
        </is>
      </c>
      <c r="B8366" s="1" t="n">
        <v>44686</v>
      </c>
      <c r="C8366" s="1" t="n">
        <v>45212</v>
      </c>
      <c r="D8366" t="inlineStr">
        <is>
          <t>VÄSTRA GÖTALANDS LÄN</t>
        </is>
      </c>
      <c r="E8366" t="inlineStr">
        <is>
          <t>ESSUNGA</t>
        </is>
      </c>
      <c r="F8366" t="inlineStr">
        <is>
          <t>Allmännings- och besparingsskogar</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18510-2022</t>
        </is>
      </c>
      <c r="B8367" s="1" t="n">
        <v>44686</v>
      </c>
      <c r="C8367" s="1" t="n">
        <v>45212</v>
      </c>
      <c r="D8367" t="inlineStr">
        <is>
          <t>VÄSTRA GÖTALANDS LÄN</t>
        </is>
      </c>
      <c r="E8367" t="inlineStr">
        <is>
          <t>ESSUNGA</t>
        </is>
      </c>
      <c r="F8367" t="inlineStr">
        <is>
          <t>Allmännings- och besparingsskogar</t>
        </is>
      </c>
      <c r="G8367" t="n">
        <v>2.3</v>
      </c>
      <c r="H8367" t="n">
        <v>0</v>
      </c>
      <c r="I8367" t="n">
        <v>0</v>
      </c>
      <c r="J8367" t="n">
        <v>0</v>
      </c>
      <c r="K8367" t="n">
        <v>0</v>
      </c>
      <c r="L8367" t="n">
        <v>0</v>
      </c>
      <c r="M8367" t="n">
        <v>0</v>
      </c>
      <c r="N8367" t="n">
        <v>0</v>
      </c>
      <c r="O8367" t="n">
        <v>0</v>
      </c>
      <c r="P8367" t="n">
        <v>0</v>
      </c>
      <c r="Q8367" t="n">
        <v>0</v>
      </c>
      <c r="R8367" s="2" t="inlineStr"/>
    </row>
    <row r="8368" ht="15" customHeight="1">
      <c r="A8368" t="inlineStr">
        <is>
          <t>A 18501-2022</t>
        </is>
      </c>
      <c r="B8368" s="1" t="n">
        <v>44686</v>
      </c>
      <c r="C8368" s="1" t="n">
        <v>45212</v>
      </c>
      <c r="D8368" t="inlineStr">
        <is>
          <t>VÄSTRA GÖTALANDS LÄN</t>
        </is>
      </c>
      <c r="E8368" t="inlineStr">
        <is>
          <t>ESSUNGA</t>
        </is>
      </c>
      <c r="F8368" t="inlineStr">
        <is>
          <t>Allmännings- och besparingsskogar</t>
        </is>
      </c>
      <c r="G8368" t="n">
        <v>9.4</v>
      </c>
      <c r="H8368" t="n">
        <v>0</v>
      </c>
      <c r="I8368" t="n">
        <v>0</v>
      </c>
      <c r="J8368" t="n">
        <v>0</v>
      </c>
      <c r="K8368" t="n">
        <v>0</v>
      </c>
      <c r="L8368" t="n">
        <v>0</v>
      </c>
      <c r="M8368" t="n">
        <v>0</v>
      </c>
      <c r="N8368" t="n">
        <v>0</v>
      </c>
      <c r="O8368" t="n">
        <v>0</v>
      </c>
      <c r="P8368" t="n">
        <v>0</v>
      </c>
      <c r="Q8368" t="n">
        <v>0</v>
      </c>
      <c r="R8368" s="2" t="inlineStr"/>
    </row>
    <row r="8369" ht="15" customHeight="1">
      <c r="A8369" t="inlineStr">
        <is>
          <t>A 18592-2022</t>
        </is>
      </c>
      <c r="B8369" s="1" t="n">
        <v>44687</v>
      </c>
      <c r="C8369" s="1" t="n">
        <v>45212</v>
      </c>
      <c r="D8369" t="inlineStr">
        <is>
          <t>VÄSTRA GÖTALANDS LÄN</t>
        </is>
      </c>
      <c r="E8369" t="inlineStr">
        <is>
          <t>SVENLJUNGA</t>
        </is>
      </c>
      <c r="G8369" t="n">
        <v>3.1</v>
      </c>
      <c r="H8369" t="n">
        <v>0</v>
      </c>
      <c r="I8369" t="n">
        <v>0</v>
      </c>
      <c r="J8369" t="n">
        <v>0</v>
      </c>
      <c r="K8369" t="n">
        <v>0</v>
      </c>
      <c r="L8369" t="n">
        <v>0</v>
      </c>
      <c r="M8369" t="n">
        <v>0</v>
      </c>
      <c r="N8369" t="n">
        <v>0</v>
      </c>
      <c r="O8369" t="n">
        <v>0</v>
      </c>
      <c r="P8369" t="n">
        <v>0</v>
      </c>
      <c r="Q8369" t="n">
        <v>0</v>
      </c>
      <c r="R8369" s="2" t="inlineStr"/>
    </row>
    <row r="8370" ht="15" customHeight="1">
      <c r="A8370" t="inlineStr">
        <is>
          <t>A 18701-2022</t>
        </is>
      </c>
      <c r="B8370" s="1" t="n">
        <v>44687</v>
      </c>
      <c r="C8370" s="1" t="n">
        <v>45212</v>
      </c>
      <c r="D8370" t="inlineStr">
        <is>
          <t>VÄSTRA GÖTALANDS LÄN</t>
        </is>
      </c>
      <c r="E8370" t="inlineStr">
        <is>
          <t>SKARA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18704-2022</t>
        </is>
      </c>
      <c r="B8371" s="1" t="n">
        <v>44687</v>
      </c>
      <c r="C8371" s="1" t="n">
        <v>45212</v>
      </c>
      <c r="D8371" t="inlineStr">
        <is>
          <t>VÄSTRA GÖTALANDS LÄN</t>
        </is>
      </c>
      <c r="E8371" t="inlineStr">
        <is>
          <t>SKARA</t>
        </is>
      </c>
      <c r="F8371" t="inlineStr">
        <is>
          <t>Kommuner</t>
        </is>
      </c>
      <c r="G8371" t="n">
        <v>3.9</v>
      </c>
      <c r="H8371" t="n">
        <v>0</v>
      </c>
      <c r="I8371" t="n">
        <v>0</v>
      </c>
      <c r="J8371" t="n">
        <v>0</v>
      </c>
      <c r="K8371" t="n">
        <v>0</v>
      </c>
      <c r="L8371" t="n">
        <v>0</v>
      </c>
      <c r="M8371" t="n">
        <v>0</v>
      </c>
      <c r="N8371" t="n">
        <v>0</v>
      </c>
      <c r="O8371" t="n">
        <v>0</v>
      </c>
      <c r="P8371" t="n">
        <v>0</v>
      </c>
      <c r="Q8371" t="n">
        <v>0</v>
      </c>
      <c r="R8371" s="2" t="inlineStr"/>
    </row>
    <row r="8372" ht="15" customHeight="1">
      <c r="A8372" t="inlineStr">
        <is>
          <t>A 18837-2022</t>
        </is>
      </c>
      <c r="B8372" s="1" t="n">
        <v>44690</v>
      </c>
      <c r="C8372" s="1" t="n">
        <v>45212</v>
      </c>
      <c r="D8372" t="inlineStr">
        <is>
          <t>VÄSTRA GÖTALANDS LÄN</t>
        </is>
      </c>
      <c r="E8372" t="inlineStr">
        <is>
          <t>DALS-ED</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18839-2022</t>
        </is>
      </c>
      <c r="B8373" s="1" t="n">
        <v>44690</v>
      </c>
      <c r="C8373" s="1" t="n">
        <v>45212</v>
      </c>
      <c r="D8373" t="inlineStr">
        <is>
          <t>VÄSTRA GÖTALANDS LÄN</t>
        </is>
      </c>
      <c r="E8373" t="inlineStr">
        <is>
          <t>DALS-ED</t>
        </is>
      </c>
      <c r="G8373" t="n">
        <v>8.9</v>
      </c>
      <c r="H8373" t="n">
        <v>0</v>
      </c>
      <c r="I8373" t="n">
        <v>0</v>
      </c>
      <c r="J8373" t="n">
        <v>0</v>
      </c>
      <c r="K8373" t="n">
        <v>0</v>
      </c>
      <c r="L8373" t="n">
        <v>0</v>
      </c>
      <c r="M8373" t="n">
        <v>0</v>
      </c>
      <c r="N8373" t="n">
        <v>0</v>
      </c>
      <c r="O8373" t="n">
        <v>0</v>
      </c>
      <c r="P8373" t="n">
        <v>0</v>
      </c>
      <c r="Q8373" t="n">
        <v>0</v>
      </c>
      <c r="R8373" s="2" t="inlineStr"/>
    </row>
    <row r="8374" ht="15" customHeight="1">
      <c r="A8374" t="inlineStr">
        <is>
          <t>A 18965-2022</t>
        </is>
      </c>
      <c r="B8374" s="1" t="n">
        <v>44690</v>
      </c>
      <c r="C8374" s="1" t="n">
        <v>45212</v>
      </c>
      <c r="D8374" t="inlineStr">
        <is>
          <t>VÄSTRA GÖTALANDS LÄN</t>
        </is>
      </c>
      <c r="E8374" t="inlineStr">
        <is>
          <t>MUNKEDAL</t>
        </is>
      </c>
      <c r="G8374" t="n">
        <v>2.9</v>
      </c>
      <c r="H8374" t="n">
        <v>0</v>
      </c>
      <c r="I8374" t="n">
        <v>0</v>
      </c>
      <c r="J8374" t="n">
        <v>0</v>
      </c>
      <c r="K8374" t="n">
        <v>0</v>
      </c>
      <c r="L8374" t="n">
        <v>0</v>
      </c>
      <c r="M8374" t="n">
        <v>0</v>
      </c>
      <c r="N8374" t="n">
        <v>0</v>
      </c>
      <c r="O8374" t="n">
        <v>0</v>
      </c>
      <c r="P8374" t="n">
        <v>0</v>
      </c>
      <c r="Q8374" t="n">
        <v>0</v>
      </c>
      <c r="R8374" s="2" t="inlineStr"/>
    </row>
    <row r="8375" ht="15" customHeight="1">
      <c r="A8375" t="inlineStr">
        <is>
          <t>A 19133-2022</t>
        </is>
      </c>
      <c r="B8375" s="1" t="n">
        <v>44691</v>
      </c>
      <c r="C8375" s="1" t="n">
        <v>45212</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19064-2022</t>
        </is>
      </c>
      <c r="B8376" s="1" t="n">
        <v>44691</v>
      </c>
      <c r="C8376" s="1" t="n">
        <v>45212</v>
      </c>
      <c r="D8376" t="inlineStr">
        <is>
          <t>VÄSTRA GÖTALANDS LÄN</t>
        </is>
      </c>
      <c r="E8376" t="inlineStr">
        <is>
          <t>BORÅS</t>
        </is>
      </c>
      <c r="F8376" t="inlineStr">
        <is>
          <t>Sveaskog</t>
        </is>
      </c>
      <c r="G8376" t="n">
        <v>12.1</v>
      </c>
      <c r="H8376" t="n">
        <v>0</v>
      </c>
      <c r="I8376" t="n">
        <v>0</v>
      </c>
      <c r="J8376" t="n">
        <v>0</v>
      </c>
      <c r="K8376" t="n">
        <v>0</v>
      </c>
      <c r="L8376" t="n">
        <v>0</v>
      </c>
      <c r="M8376" t="n">
        <v>0</v>
      </c>
      <c r="N8376" t="n">
        <v>0</v>
      </c>
      <c r="O8376" t="n">
        <v>0</v>
      </c>
      <c r="P8376" t="n">
        <v>0</v>
      </c>
      <c r="Q8376" t="n">
        <v>0</v>
      </c>
      <c r="R8376" s="2" t="inlineStr"/>
    </row>
    <row r="8377" ht="15" customHeight="1">
      <c r="A8377" t="inlineStr">
        <is>
          <t>A 19080-2022</t>
        </is>
      </c>
      <c r="B8377" s="1" t="n">
        <v>44691</v>
      </c>
      <c r="C8377" s="1" t="n">
        <v>45212</v>
      </c>
      <c r="D8377" t="inlineStr">
        <is>
          <t>VÄSTRA GÖTALANDS LÄN</t>
        </is>
      </c>
      <c r="E8377" t="inlineStr">
        <is>
          <t>ÅMÅL</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19132-2022</t>
        </is>
      </c>
      <c r="B8378" s="1" t="n">
        <v>44691</v>
      </c>
      <c r="C8378" s="1" t="n">
        <v>45212</v>
      </c>
      <c r="D8378" t="inlineStr">
        <is>
          <t>VÄSTRA GÖTALANDS LÄN</t>
        </is>
      </c>
      <c r="E8378" t="inlineStr">
        <is>
          <t>KUNGÄLV</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19056-2022</t>
        </is>
      </c>
      <c r="B8379" s="1" t="n">
        <v>44691</v>
      </c>
      <c r="C8379" s="1" t="n">
        <v>45212</v>
      </c>
      <c r="D8379" t="inlineStr">
        <is>
          <t>VÄSTRA GÖTALANDS LÄN</t>
        </is>
      </c>
      <c r="E8379" t="inlineStr">
        <is>
          <t>HERRLJUNGA</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19188-2022</t>
        </is>
      </c>
      <c r="B8380" s="1" t="n">
        <v>44691</v>
      </c>
      <c r="C8380" s="1" t="n">
        <v>45212</v>
      </c>
      <c r="D8380" t="inlineStr">
        <is>
          <t>VÄSTRA GÖTALANDS LÄN</t>
        </is>
      </c>
      <c r="E8380" t="inlineStr">
        <is>
          <t>MUNKEDAL</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19296-2022</t>
        </is>
      </c>
      <c r="B8381" s="1" t="n">
        <v>44692</v>
      </c>
      <c r="C8381" s="1" t="n">
        <v>45212</v>
      </c>
      <c r="D8381" t="inlineStr">
        <is>
          <t>VÄSTRA GÖTALANDS LÄN</t>
        </is>
      </c>
      <c r="E8381" t="inlineStr">
        <is>
          <t>BENGTSFORS</t>
        </is>
      </c>
      <c r="G8381" t="n">
        <v>5.1</v>
      </c>
      <c r="H8381" t="n">
        <v>0</v>
      </c>
      <c r="I8381" t="n">
        <v>0</v>
      </c>
      <c r="J8381" t="n">
        <v>0</v>
      </c>
      <c r="K8381" t="n">
        <v>0</v>
      </c>
      <c r="L8381" t="n">
        <v>0</v>
      </c>
      <c r="M8381" t="n">
        <v>0</v>
      </c>
      <c r="N8381" t="n">
        <v>0</v>
      </c>
      <c r="O8381" t="n">
        <v>0</v>
      </c>
      <c r="P8381" t="n">
        <v>0</v>
      </c>
      <c r="Q8381" t="n">
        <v>0</v>
      </c>
      <c r="R8381" s="2" t="inlineStr"/>
    </row>
    <row r="8382" ht="15" customHeight="1">
      <c r="A8382" t="inlineStr">
        <is>
          <t>A 19341-2022</t>
        </is>
      </c>
      <c r="B8382" s="1" t="n">
        <v>44692</v>
      </c>
      <c r="C8382" s="1" t="n">
        <v>45212</v>
      </c>
      <c r="D8382" t="inlineStr">
        <is>
          <t>VÄSTRA GÖTALANDS LÄN</t>
        </is>
      </c>
      <c r="E8382" t="inlineStr">
        <is>
          <t>HJO</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19291-2022</t>
        </is>
      </c>
      <c r="B8383" s="1" t="n">
        <v>44692</v>
      </c>
      <c r="C8383" s="1" t="n">
        <v>45212</v>
      </c>
      <c r="D8383" t="inlineStr">
        <is>
          <t>VÄSTRA GÖTALANDS LÄN</t>
        </is>
      </c>
      <c r="E8383" t="inlineStr">
        <is>
          <t>BENGTSFORS</t>
        </is>
      </c>
      <c r="G8383" t="n">
        <v>7.6</v>
      </c>
      <c r="H8383" t="n">
        <v>0</v>
      </c>
      <c r="I8383" t="n">
        <v>0</v>
      </c>
      <c r="J8383" t="n">
        <v>0</v>
      </c>
      <c r="K8383" t="n">
        <v>0</v>
      </c>
      <c r="L8383" t="n">
        <v>0</v>
      </c>
      <c r="M8383" t="n">
        <v>0</v>
      </c>
      <c r="N8383" t="n">
        <v>0</v>
      </c>
      <c r="O8383" t="n">
        <v>0</v>
      </c>
      <c r="P8383" t="n">
        <v>0</v>
      </c>
      <c r="Q8383" t="n">
        <v>0</v>
      </c>
      <c r="R8383" s="2" t="inlineStr"/>
    </row>
    <row r="8384" ht="15" customHeight="1">
      <c r="A8384" t="inlineStr">
        <is>
          <t>A 19284-2022</t>
        </is>
      </c>
      <c r="B8384" s="1" t="n">
        <v>44692</v>
      </c>
      <c r="C8384" s="1" t="n">
        <v>45212</v>
      </c>
      <c r="D8384" t="inlineStr">
        <is>
          <t>VÄSTRA GÖTALANDS LÄN</t>
        </is>
      </c>
      <c r="E8384" t="inlineStr">
        <is>
          <t>TANUM</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19294-2022</t>
        </is>
      </c>
      <c r="B8385" s="1" t="n">
        <v>44692</v>
      </c>
      <c r="C8385" s="1" t="n">
        <v>45212</v>
      </c>
      <c r="D8385" t="inlineStr">
        <is>
          <t>VÄSTRA GÖTALANDS LÄN</t>
        </is>
      </c>
      <c r="E8385" t="inlineStr">
        <is>
          <t>BENGTSFORS</t>
        </is>
      </c>
      <c r="G8385" t="n">
        <v>4.8</v>
      </c>
      <c r="H8385" t="n">
        <v>0</v>
      </c>
      <c r="I8385" t="n">
        <v>0</v>
      </c>
      <c r="J8385" t="n">
        <v>0</v>
      </c>
      <c r="K8385" t="n">
        <v>0</v>
      </c>
      <c r="L8385" t="n">
        <v>0</v>
      </c>
      <c r="M8385" t="n">
        <v>0</v>
      </c>
      <c r="N8385" t="n">
        <v>0</v>
      </c>
      <c r="O8385" t="n">
        <v>0</v>
      </c>
      <c r="P8385" t="n">
        <v>0</v>
      </c>
      <c r="Q8385" t="n">
        <v>0</v>
      </c>
      <c r="R8385" s="2" t="inlineStr"/>
    </row>
    <row r="8386" ht="15" customHeight="1">
      <c r="A8386" t="inlineStr">
        <is>
          <t>A 19223-2022</t>
        </is>
      </c>
      <c r="B8386" s="1" t="n">
        <v>44692</v>
      </c>
      <c r="C8386" s="1" t="n">
        <v>45212</v>
      </c>
      <c r="D8386" t="inlineStr">
        <is>
          <t>VÄSTRA GÖTALANDS LÄN</t>
        </is>
      </c>
      <c r="E8386" t="inlineStr">
        <is>
          <t>MARK</t>
        </is>
      </c>
      <c r="G8386" t="n">
        <v>1.7</v>
      </c>
      <c r="H8386" t="n">
        <v>0</v>
      </c>
      <c r="I8386" t="n">
        <v>0</v>
      </c>
      <c r="J8386" t="n">
        <v>0</v>
      </c>
      <c r="K8386" t="n">
        <v>0</v>
      </c>
      <c r="L8386" t="n">
        <v>0</v>
      </c>
      <c r="M8386" t="n">
        <v>0</v>
      </c>
      <c r="N8386" t="n">
        <v>0</v>
      </c>
      <c r="O8386" t="n">
        <v>0</v>
      </c>
      <c r="P8386" t="n">
        <v>0</v>
      </c>
      <c r="Q8386" t="n">
        <v>0</v>
      </c>
      <c r="R8386" s="2" t="inlineStr"/>
    </row>
    <row r="8387" ht="15" customHeight="1">
      <c r="A8387" t="inlineStr">
        <is>
          <t>A 19232-2022</t>
        </is>
      </c>
      <c r="B8387" s="1" t="n">
        <v>44692</v>
      </c>
      <c r="C8387" s="1" t="n">
        <v>45212</v>
      </c>
      <c r="D8387" t="inlineStr">
        <is>
          <t>VÄSTRA GÖTALANDS LÄN</t>
        </is>
      </c>
      <c r="E8387" t="inlineStr">
        <is>
          <t>TROLLHÄTTAN</t>
        </is>
      </c>
      <c r="G8387" t="n">
        <v>10.4</v>
      </c>
      <c r="H8387" t="n">
        <v>0</v>
      </c>
      <c r="I8387" t="n">
        <v>0</v>
      </c>
      <c r="J8387" t="n">
        <v>0</v>
      </c>
      <c r="K8387" t="n">
        <v>0</v>
      </c>
      <c r="L8387" t="n">
        <v>0</v>
      </c>
      <c r="M8387" t="n">
        <v>0</v>
      </c>
      <c r="N8387" t="n">
        <v>0</v>
      </c>
      <c r="O8387" t="n">
        <v>0</v>
      </c>
      <c r="P8387" t="n">
        <v>0</v>
      </c>
      <c r="Q8387" t="n">
        <v>0</v>
      </c>
      <c r="R8387" s="2" t="inlineStr"/>
    </row>
    <row r="8388" ht="15" customHeight="1">
      <c r="A8388" t="inlineStr">
        <is>
          <t>A 19293-2022</t>
        </is>
      </c>
      <c r="B8388" s="1" t="n">
        <v>44692</v>
      </c>
      <c r="C8388" s="1" t="n">
        <v>45212</v>
      </c>
      <c r="D8388" t="inlineStr">
        <is>
          <t>VÄSTRA GÖTALANDS LÄN</t>
        </is>
      </c>
      <c r="E8388" t="inlineStr">
        <is>
          <t>BENGTSFORS</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19298-2022</t>
        </is>
      </c>
      <c r="B8389" s="1" t="n">
        <v>44692</v>
      </c>
      <c r="C8389" s="1" t="n">
        <v>45212</v>
      </c>
      <c r="D8389" t="inlineStr">
        <is>
          <t>VÄSTRA GÖTALANDS LÄN</t>
        </is>
      </c>
      <c r="E8389" t="inlineStr">
        <is>
          <t>BENGTSFORS</t>
        </is>
      </c>
      <c r="G8389" t="n">
        <v>4.5</v>
      </c>
      <c r="H8389" t="n">
        <v>0</v>
      </c>
      <c r="I8389" t="n">
        <v>0</v>
      </c>
      <c r="J8389" t="n">
        <v>0</v>
      </c>
      <c r="K8389" t="n">
        <v>0</v>
      </c>
      <c r="L8389" t="n">
        <v>0</v>
      </c>
      <c r="M8389" t="n">
        <v>0</v>
      </c>
      <c r="N8389" t="n">
        <v>0</v>
      </c>
      <c r="O8389" t="n">
        <v>0</v>
      </c>
      <c r="P8389" t="n">
        <v>0</v>
      </c>
      <c r="Q8389" t="n">
        <v>0</v>
      </c>
      <c r="R8389" s="2" t="inlineStr"/>
    </row>
    <row r="8390" ht="15" customHeight="1">
      <c r="A8390" t="inlineStr">
        <is>
          <t>A 19379-2022</t>
        </is>
      </c>
      <c r="B8390" s="1" t="n">
        <v>44692</v>
      </c>
      <c r="C8390" s="1" t="n">
        <v>45212</v>
      </c>
      <c r="D8390" t="inlineStr">
        <is>
          <t>VÄSTRA GÖTALANDS LÄN</t>
        </is>
      </c>
      <c r="E8390" t="inlineStr">
        <is>
          <t>TIDAHOLM</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19473-2022</t>
        </is>
      </c>
      <c r="B8391" s="1" t="n">
        <v>44693</v>
      </c>
      <c r="C8391" s="1" t="n">
        <v>45212</v>
      </c>
      <c r="D8391" t="inlineStr">
        <is>
          <t>VÄSTRA GÖTALANDS LÄN</t>
        </is>
      </c>
      <c r="E8391" t="inlineStr">
        <is>
          <t>VÅRGÅRDA</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19540-2022</t>
        </is>
      </c>
      <c r="B8392" s="1" t="n">
        <v>44693</v>
      </c>
      <c r="C8392" s="1" t="n">
        <v>45212</v>
      </c>
      <c r="D8392" t="inlineStr">
        <is>
          <t>VÄSTRA GÖTALANDS LÄN</t>
        </is>
      </c>
      <c r="E8392" t="inlineStr">
        <is>
          <t>VÅRGÅRDA</t>
        </is>
      </c>
      <c r="F8392" t="inlineStr">
        <is>
          <t>Sveaskog</t>
        </is>
      </c>
      <c r="G8392" t="n">
        <v>8.9</v>
      </c>
      <c r="H8392" t="n">
        <v>0</v>
      </c>
      <c r="I8392" t="n">
        <v>0</v>
      </c>
      <c r="J8392" t="n">
        <v>0</v>
      </c>
      <c r="K8392" t="n">
        <v>0</v>
      </c>
      <c r="L8392" t="n">
        <v>0</v>
      </c>
      <c r="M8392" t="n">
        <v>0</v>
      </c>
      <c r="N8392" t="n">
        <v>0</v>
      </c>
      <c r="O8392" t="n">
        <v>0</v>
      </c>
      <c r="P8392" t="n">
        <v>0</v>
      </c>
      <c r="Q8392" t="n">
        <v>0</v>
      </c>
      <c r="R8392" s="2" t="inlineStr"/>
    </row>
    <row r="8393" ht="15" customHeight="1">
      <c r="A8393" t="inlineStr">
        <is>
          <t>A 19544-2022</t>
        </is>
      </c>
      <c r="B8393" s="1" t="n">
        <v>44693</v>
      </c>
      <c r="C8393" s="1" t="n">
        <v>45212</v>
      </c>
      <c r="D8393" t="inlineStr">
        <is>
          <t>VÄSTRA GÖTALANDS LÄN</t>
        </is>
      </c>
      <c r="E8393" t="inlineStr">
        <is>
          <t>MARIESTAD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19560-2022</t>
        </is>
      </c>
      <c r="B8394" s="1" t="n">
        <v>44693</v>
      </c>
      <c r="C8394" s="1" t="n">
        <v>45212</v>
      </c>
      <c r="D8394" t="inlineStr">
        <is>
          <t>VÄSTRA GÖTALANDS LÄN</t>
        </is>
      </c>
      <c r="E8394" t="inlineStr">
        <is>
          <t>VÄNERSBORG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19577-2022</t>
        </is>
      </c>
      <c r="B8395" s="1" t="n">
        <v>44693</v>
      </c>
      <c r="C8395" s="1" t="n">
        <v>45212</v>
      </c>
      <c r="D8395" t="inlineStr">
        <is>
          <t>VÄSTRA GÖTALANDS LÄN</t>
        </is>
      </c>
      <c r="E8395" t="inlineStr">
        <is>
          <t>TROLLHÄTTAN</t>
        </is>
      </c>
      <c r="G8395" t="n">
        <v>1.4</v>
      </c>
      <c r="H8395" t="n">
        <v>0</v>
      </c>
      <c r="I8395" t="n">
        <v>0</v>
      </c>
      <c r="J8395" t="n">
        <v>0</v>
      </c>
      <c r="K8395" t="n">
        <v>0</v>
      </c>
      <c r="L8395" t="n">
        <v>0</v>
      </c>
      <c r="M8395" t="n">
        <v>0</v>
      </c>
      <c r="N8395" t="n">
        <v>0</v>
      </c>
      <c r="O8395" t="n">
        <v>0</v>
      </c>
      <c r="P8395" t="n">
        <v>0</v>
      </c>
      <c r="Q8395" t="n">
        <v>0</v>
      </c>
      <c r="R8395" s="2" t="inlineStr"/>
    </row>
    <row r="8396" ht="15" customHeight="1">
      <c r="A8396" t="inlineStr">
        <is>
          <t>A 19546-2022</t>
        </is>
      </c>
      <c r="B8396" s="1" t="n">
        <v>44693</v>
      </c>
      <c r="C8396" s="1" t="n">
        <v>45212</v>
      </c>
      <c r="D8396" t="inlineStr">
        <is>
          <t>VÄSTRA GÖTALANDS LÄN</t>
        </is>
      </c>
      <c r="E8396" t="inlineStr">
        <is>
          <t>MARK</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19647-2022</t>
        </is>
      </c>
      <c r="B8397" s="1" t="n">
        <v>44694</v>
      </c>
      <c r="C8397" s="1" t="n">
        <v>45212</v>
      </c>
      <c r="D8397" t="inlineStr">
        <is>
          <t>VÄSTRA GÖTALANDS LÄN</t>
        </is>
      </c>
      <c r="E8397" t="inlineStr">
        <is>
          <t>TIDAHOLM</t>
        </is>
      </c>
      <c r="G8397" t="n">
        <v>3.7</v>
      </c>
      <c r="H8397" t="n">
        <v>0</v>
      </c>
      <c r="I8397" t="n">
        <v>0</v>
      </c>
      <c r="J8397" t="n">
        <v>0</v>
      </c>
      <c r="K8397" t="n">
        <v>0</v>
      </c>
      <c r="L8397" t="n">
        <v>0</v>
      </c>
      <c r="M8397" t="n">
        <v>0</v>
      </c>
      <c r="N8397" t="n">
        <v>0</v>
      </c>
      <c r="O8397" t="n">
        <v>0</v>
      </c>
      <c r="P8397" t="n">
        <v>0</v>
      </c>
      <c r="Q8397" t="n">
        <v>0</v>
      </c>
      <c r="R8397" s="2" t="inlineStr"/>
    </row>
    <row r="8398" ht="15" customHeight="1">
      <c r="A8398" t="inlineStr">
        <is>
          <t>A 19782-2022</t>
        </is>
      </c>
      <c r="B8398" s="1" t="n">
        <v>44694</v>
      </c>
      <c r="C8398" s="1" t="n">
        <v>45212</v>
      </c>
      <c r="D8398" t="inlineStr">
        <is>
          <t>VÄSTRA GÖTALANDS LÄN</t>
        </is>
      </c>
      <c r="E8398" t="inlineStr">
        <is>
          <t>HÄRRYDA</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19616-2022</t>
        </is>
      </c>
      <c r="B8399" s="1" t="n">
        <v>44694</v>
      </c>
      <c r="C8399" s="1" t="n">
        <v>45212</v>
      </c>
      <c r="D8399" t="inlineStr">
        <is>
          <t>VÄSTRA GÖTALANDS LÄN</t>
        </is>
      </c>
      <c r="E8399" t="inlineStr">
        <is>
          <t>MARIESTAD</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19716-2022</t>
        </is>
      </c>
      <c r="B8400" s="1" t="n">
        <v>44694</v>
      </c>
      <c r="C8400" s="1" t="n">
        <v>45212</v>
      </c>
      <c r="D8400" t="inlineStr">
        <is>
          <t>VÄSTRA GÖTALANDS LÄN</t>
        </is>
      </c>
      <c r="E8400" t="inlineStr">
        <is>
          <t>BENGTSFORS</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19631-2022</t>
        </is>
      </c>
      <c r="B8401" s="1" t="n">
        <v>44694</v>
      </c>
      <c r="C8401" s="1" t="n">
        <v>45212</v>
      </c>
      <c r="D8401" t="inlineStr">
        <is>
          <t>VÄSTRA GÖTALANDS LÄN</t>
        </is>
      </c>
      <c r="E8401" t="inlineStr">
        <is>
          <t>MUNKEDAL</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19785-2022</t>
        </is>
      </c>
      <c r="B8402" s="1" t="n">
        <v>44694</v>
      </c>
      <c r="C8402" s="1" t="n">
        <v>45212</v>
      </c>
      <c r="D8402" t="inlineStr">
        <is>
          <t>VÄSTRA GÖTALANDS LÄN</t>
        </is>
      </c>
      <c r="E8402" t="inlineStr">
        <is>
          <t>ORUST</t>
        </is>
      </c>
      <c r="G8402" t="n">
        <v>1.1</v>
      </c>
      <c r="H8402" t="n">
        <v>0</v>
      </c>
      <c r="I8402" t="n">
        <v>0</v>
      </c>
      <c r="J8402" t="n">
        <v>0</v>
      </c>
      <c r="K8402" t="n">
        <v>0</v>
      </c>
      <c r="L8402" t="n">
        <v>0</v>
      </c>
      <c r="M8402" t="n">
        <v>0</v>
      </c>
      <c r="N8402" t="n">
        <v>0</v>
      </c>
      <c r="O8402" t="n">
        <v>0</v>
      </c>
      <c r="P8402" t="n">
        <v>0</v>
      </c>
      <c r="Q8402" t="n">
        <v>0</v>
      </c>
      <c r="R8402" s="2" t="inlineStr"/>
    </row>
    <row r="8403" ht="15" customHeight="1">
      <c r="A8403" t="inlineStr">
        <is>
          <t>A 19835-2022</t>
        </is>
      </c>
      <c r="B8403" s="1" t="n">
        <v>44696</v>
      </c>
      <c r="C8403" s="1" t="n">
        <v>45212</v>
      </c>
      <c r="D8403" t="inlineStr">
        <is>
          <t>VÄSTRA GÖTALANDS LÄN</t>
        </is>
      </c>
      <c r="E8403" t="inlineStr">
        <is>
          <t>MARK</t>
        </is>
      </c>
      <c r="G8403" t="n">
        <v>2.2</v>
      </c>
      <c r="H8403" t="n">
        <v>0</v>
      </c>
      <c r="I8403" t="n">
        <v>0</v>
      </c>
      <c r="J8403" t="n">
        <v>0</v>
      </c>
      <c r="K8403" t="n">
        <v>0</v>
      </c>
      <c r="L8403" t="n">
        <v>0</v>
      </c>
      <c r="M8403" t="n">
        <v>0</v>
      </c>
      <c r="N8403" t="n">
        <v>0</v>
      </c>
      <c r="O8403" t="n">
        <v>0</v>
      </c>
      <c r="P8403" t="n">
        <v>0</v>
      </c>
      <c r="Q8403" t="n">
        <v>0</v>
      </c>
      <c r="R8403" s="2" t="inlineStr"/>
    </row>
    <row r="8404" ht="15" customHeight="1">
      <c r="A8404" t="inlineStr">
        <is>
          <t>A 19834-2022</t>
        </is>
      </c>
      <c r="B8404" s="1" t="n">
        <v>44696</v>
      </c>
      <c r="C8404" s="1" t="n">
        <v>45212</v>
      </c>
      <c r="D8404" t="inlineStr">
        <is>
          <t>VÄSTRA GÖTALANDS LÄN</t>
        </is>
      </c>
      <c r="E8404" t="inlineStr">
        <is>
          <t>MARK</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19836-2022</t>
        </is>
      </c>
      <c r="B8405" s="1" t="n">
        <v>44696</v>
      </c>
      <c r="C8405" s="1" t="n">
        <v>45212</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19861-2022</t>
        </is>
      </c>
      <c r="B8406" s="1" t="n">
        <v>44697</v>
      </c>
      <c r="C8406" s="1" t="n">
        <v>45212</v>
      </c>
      <c r="D8406" t="inlineStr">
        <is>
          <t>VÄSTRA GÖTALANDS LÄN</t>
        </is>
      </c>
      <c r="E8406" t="inlineStr">
        <is>
          <t>MARIESTAD</t>
        </is>
      </c>
      <c r="F8406" t="inlineStr">
        <is>
          <t>Sveaskog</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19972-2022</t>
        </is>
      </c>
      <c r="B8407" s="1" t="n">
        <v>44697</v>
      </c>
      <c r="C8407" s="1" t="n">
        <v>45212</v>
      </c>
      <c r="D8407" t="inlineStr">
        <is>
          <t>VÄSTRA GÖTALANDS LÄN</t>
        </is>
      </c>
      <c r="E8407" t="inlineStr">
        <is>
          <t>HÄRRYDA</t>
        </is>
      </c>
      <c r="G8407" t="n">
        <v>6.7</v>
      </c>
      <c r="H8407" t="n">
        <v>0</v>
      </c>
      <c r="I8407" t="n">
        <v>0</v>
      </c>
      <c r="J8407" t="n">
        <v>0</v>
      </c>
      <c r="K8407" t="n">
        <v>0</v>
      </c>
      <c r="L8407" t="n">
        <v>0</v>
      </c>
      <c r="M8407" t="n">
        <v>0</v>
      </c>
      <c r="N8407" t="n">
        <v>0</v>
      </c>
      <c r="O8407" t="n">
        <v>0</v>
      </c>
      <c r="P8407" t="n">
        <v>0</v>
      </c>
      <c r="Q8407" t="n">
        <v>0</v>
      </c>
      <c r="R8407" s="2" t="inlineStr"/>
    </row>
    <row r="8408" ht="15" customHeight="1">
      <c r="A8408" t="inlineStr">
        <is>
          <t>A 19977-2022</t>
        </is>
      </c>
      <c r="B8408" s="1" t="n">
        <v>44697</v>
      </c>
      <c r="C8408" s="1" t="n">
        <v>45212</v>
      </c>
      <c r="D8408" t="inlineStr">
        <is>
          <t>VÄSTRA GÖTALANDS LÄN</t>
        </is>
      </c>
      <c r="E8408" t="inlineStr">
        <is>
          <t>HÄRRYDA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19874-2022</t>
        </is>
      </c>
      <c r="B8409" s="1" t="n">
        <v>44697</v>
      </c>
      <c r="C8409" s="1" t="n">
        <v>45212</v>
      </c>
      <c r="D8409" t="inlineStr">
        <is>
          <t>VÄSTRA GÖTALANDS LÄN</t>
        </is>
      </c>
      <c r="E8409" t="inlineStr">
        <is>
          <t>TÖREBODA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20210-2022</t>
        </is>
      </c>
      <c r="B8410" s="1" t="n">
        <v>44698</v>
      </c>
      <c r="C8410" s="1" t="n">
        <v>45212</v>
      </c>
      <c r="D8410" t="inlineStr">
        <is>
          <t>VÄSTRA GÖTALANDS LÄN</t>
        </is>
      </c>
      <c r="E8410" t="inlineStr">
        <is>
          <t>TÖREBODA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20098-2022</t>
        </is>
      </c>
      <c r="B8411" s="1" t="n">
        <v>44698</v>
      </c>
      <c r="C8411" s="1" t="n">
        <v>45212</v>
      </c>
      <c r="D8411" t="inlineStr">
        <is>
          <t>VÄSTRA GÖTALANDS LÄN</t>
        </is>
      </c>
      <c r="E8411" t="inlineStr">
        <is>
          <t>SKARA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20251-2022</t>
        </is>
      </c>
      <c r="B8412" s="1" t="n">
        <v>44698</v>
      </c>
      <c r="C8412" s="1" t="n">
        <v>45212</v>
      </c>
      <c r="D8412" t="inlineStr">
        <is>
          <t>VÄSTRA GÖTALANDS LÄN</t>
        </is>
      </c>
      <c r="E8412" t="inlineStr">
        <is>
          <t>MUNKEDAL</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20187-2022</t>
        </is>
      </c>
      <c r="B8413" s="1" t="n">
        <v>44698</v>
      </c>
      <c r="C8413" s="1" t="n">
        <v>45212</v>
      </c>
      <c r="D8413" t="inlineStr">
        <is>
          <t>VÄSTRA GÖTALANDS LÄN</t>
        </is>
      </c>
      <c r="E8413" t="inlineStr">
        <is>
          <t>ULRICEHAMN</t>
        </is>
      </c>
      <c r="G8413" t="n">
        <v>1</v>
      </c>
      <c r="H8413" t="n">
        <v>0</v>
      </c>
      <c r="I8413" t="n">
        <v>0</v>
      </c>
      <c r="J8413" t="n">
        <v>0</v>
      </c>
      <c r="K8413" t="n">
        <v>0</v>
      </c>
      <c r="L8413" t="n">
        <v>0</v>
      </c>
      <c r="M8413" t="n">
        <v>0</v>
      </c>
      <c r="N8413" t="n">
        <v>0</v>
      </c>
      <c r="O8413" t="n">
        <v>0</v>
      </c>
      <c r="P8413" t="n">
        <v>0</v>
      </c>
      <c r="Q8413" t="n">
        <v>0</v>
      </c>
      <c r="R8413" s="2" t="inlineStr"/>
    </row>
    <row r="8414" ht="15" customHeight="1">
      <c r="A8414" t="inlineStr">
        <is>
          <t>A 20190-2022</t>
        </is>
      </c>
      <c r="B8414" s="1" t="n">
        <v>44698</v>
      </c>
      <c r="C8414" s="1" t="n">
        <v>45212</v>
      </c>
      <c r="D8414" t="inlineStr">
        <is>
          <t>VÄSTRA GÖTALANDS LÄN</t>
        </is>
      </c>
      <c r="E8414" t="inlineStr">
        <is>
          <t>TANUM</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20247-2022</t>
        </is>
      </c>
      <c r="B8415" s="1" t="n">
        <v>44698</v>
      </c>
      <c r="C8415" s="1" t="n">
        <v>45212</v>
      </c>
      <c r="D8415" t="inlineStr">
        <is>
          <t>VÄSTRA GÖTALANDS LÄN</t>
        </is>
      </c>
      <c r="E8415" t="inlineStr">
        <is>
          <t>TANUM</t>
        </is>
      </c>
      <c r="G8415" t="n">
        <v>9.699999999999999</v>
      </c>
      <c r="H8415" t="n">
        <v>0</v>
      </c>
      <c r="I8415" t="n">
        <v>0</v>
      </c>
      <c r="J8415" t="n">
        <v>0</v>
      </c>
      <c r="K8415" t="n">
        <v>0</v>
      </c>
      <c r="L8415" t="n">
        <v>0</v>
      </c>
      <c r="M8415" t="n">
        <v>0</v>
      </c>
      <c r="N8415" t="n">
        <v>0</v>
      </c>
      <c r="O8415" t="n">
        <v>0</v>
      </c>
      <c r="P8415" t="n">
        <v>0</v>
      </c>
      <c r="Q8415" t="n">
        <v>0</v>
      </c>
      <c r="R8415" s="2" t="inlineStr"/>
    </row>
    <row r="8416" ht="15" customHeight="1">
      <c r="A8416" t="inlineStr">
        <is>
          <t>A 20258-2022</t>
        </is>
      </c>
      <c r="B8416" s="1" t="n">
        <v>44698</v>
      </c>
      <c r="C8416" s="1" t="n">
        <v>45212</v>
      </c>
      <c r="D8416" t="inlineStr">
        <is>
          <t>VÄSTRA GÖTALANDS LÄN</t>
        </is>
      </c>
      <c r="E8416" t="inlineStr">
        <is>
          <t>MUNKEDAL</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20340-2022</t>
        </is>
      </c>
      <c r="B8417" s="1" t="n">
        <v>44699</v>
      </c>
      <c r="C8417" s="1" t="n">
        <v>45212</v>
      </c>
      <c r="D8417" t="inlineStr">
        <is>
          <t>VÄSTRA GÖTALANDS LÄN</t>
        </is>
      </c>
      <c r="E8417" t="inlineStr">
        <is>
          <t>STRÖMSTAD</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20364-2022</t>
        </is>
      </c>
      <c r="B8418" s="1" t="n">
        <v>44699</v>
      </c>
      <c r="C8418" s="1" t="n">
        <v>45212</v>
      </c>
      <c r="D8418" t="inlineStr">
        <is>
          <t>VÄSTRA GÖTALANDS LÄN</t>
        </is>
      </c>
      <c r="E8418" t="inlineStr">
        <is>
          <t>UDDEVALLA</t>
        </is>
      </c>
      <c r="G8418" t="n">
        <v>7.3</v>
      </c>
      <c r="H8418" t="n">
        <v>0</v>
      </c>
      <c r="I8418" t="n">
        <v>0</v>
      </c>
      <c r="J8418" t="n">
        <v>0</v>
      </c>
      <c r="K8418" t="n">
        <v>0</v>
      </c>
      <c r="L8418" t="n">
        <v>0</v>
      </c>
      <c r="M8418" t="n">
        <v>0</v>
      </c>
      <c r="N8418" t="n">
        <v>0</v>
      </c>
      <c r="O8418" t="n">
        <v>0</v>
      </c>
      <c r="P8418" t="n">
        <v>0</v>
      </c>
      <c r="Q8418" t="n">
        <v>0</v>
      </c>
      <c r="R8418" s="2" t="inlineStr"/>
    </row>
    <row r="8419" ht="15" customHeight="1">
      <c r="A8419" t="inlineStr">
        <is>
          <t>A 20412-2022</t>
        </is>
      </c>
      <c r="B8419" s="1" t="n">
        <v>44699</v>
      </c>
      <c r="C8419" s="1" t="n">
        <v>45212</v>
      </c>
      <c r="D8419" t="inlineStr">
        <is>
          <t>VÄSTRA GÖTALANDS LÄN</t>
        </is>
      </c>
      <c r="E8419" t="inlineStr">
        <is>
          <t>MARK</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20357-2022</t>
        </is>
      </c>
      <c r="B8420" s="1" t="n">
        <v>44699</v>
      </c>
      <c r="C8420" s="1" t="n">
        <v>45212</v>
      </c>
      <c r="D8420" t="inlineStr">
        <is>
          <t>VÄSTRA GÖTALANDS LÄN</t>
        </is>
      </c>
      <c r="E8420" t="inlineStr">
        <is>
          <t>ULRICEHAMN</t>
        </is>
      </c>
      <c r="G8420" t="n">
        <v>6.7</v>
      </c>
      <c r="H8420" t="n">
        <v>0</v>
      </c>
      <c r="I8420" t="n">
        <v>0</v>
      </c>
      <c r="J8420" t="n">
        <v>0</v>
      </c>
      <c r="K8420" t="n">
        <v>0</v>
      </c>
      <c r="L8420" t="n">
        <v>0</v>
      </c>
      <c r="M8420" t="n">
        <v>0</v>
      </c>
      <c r="N8420" t="n">
        <v>0</v>
      </c>
      <c r="O8420" t="n">
        <v>0</v>
      </c>
      <c r="P8420" t="n">
        <v>0</v>
      </c>
      <c r="Q8420" t="n">
        <v>0</v>
      </c>
      <c r="R8420" s="2" t="inlineStr"/>
    </row>
    <row r="8421" ht="15" customHeight="1">
      <c r="A8421" t="inlineStr">
        <is>
          <t>A 20536-2022</t>
        </is>
      </c>
      <c r="B8421" s="1" t="n">
        <v>44700</v>
      </c>
      <c r="C8421" s="1" t="n">
        <v>45212</v>
      </c>
      <c r="D8421" t="inlineStr">
        <is>
          <t>VÄSTRA GÖTALANDS LÄN</t>
        </is>
      </c>
      <c r="E8421" t="inlineStr">
        <is>
          <t>VARA</t>
        </is>
      </c>
      <c r="G8421" t="n">
        <v>3.9</v>
      </c>
      <c r="H8421" t="n">
        <v>0</v>
      </c>
      <c r="I8421" t="n">
        <v>0</v>
      </c>
      <c r="J8421" t="n">
        <v>0</v>
      </c>
      <c r="K8421" t="n">
        <v>0</v>
      </c>
      <c r="L8421" t="n">
        <v>0</v>
      </c>
      <c r="M8421" t="n">
        <v>0</v>
      </c>
      <c r="N8421" t="n">
        <v>0</v>
      </c>
      <c r="O8421" t="n">
        <v>0</v>
      </c>
      <c r="P8421" t="n">
        <v>0</v>
      </c>
      <c r="Q8421" t="n">
        <v>0</v>
      </c>
      <c r="R8421" s="2" t="inlineStr"/>
    </row>
    <row r="8422" ht="15" customHeight="1">
      <c r="A8422" t="inlineStr">
        <is>
          <t>A 20870-2022</t>
        </is>
      </c>
      <c r="B8422" s="1" t="n">
        <v>44701</v>
      </c>
      <c r="C8422" s="1" t="n">
        <v>45212</v>
      </c>
      <c r="D8422" t="inlineStr">
        <is>
          <t>VÄSTRA GÖTALANDS LÄN</t>
        </is>
      </c>
      <c r="E8422" t="inlineStr">
        <is>
          <t>SKARA</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20888-2022</t>
        </is>
      </c>
      <c r="B8423" s="1" t="n">
        <v>44701</v>
      </c>
      <c r="C8423" s="1" t="n">
        <v>45212</v>
      </c>
      <c r="D8423" t="inlineStr">
        <is>
          <t>VÄSTRA GÖTALANDS LÄN</t>
        </is>
      </c>
      <c r="E8423" t="inlineStr">
        <is>
          <t>STRÖMSTAD</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20889-2022</t>
        </is>
      </c>
      <c r="B8424" s="1" t="n">
        <v>44701</v>
      </c>
      <c r="C8424" s="1" t="n">
        <v>45212</v>
      </c>
      <c r="D8424" t="inlineStr">
        <is>
          <t>VÄSTRA GÖTALANDS LÄN</t>
        </is>
      </c>
      <c r="E8424" t="inlineStr">
        <is>
          <t>DALS-ED</t>
        </is>
      </c>
      <c r="G8424" t="n">
        <v>8.300000000000001</v>
      </c>
      <c r="H8424" t="n">
        <v>0</v>
      </c>
      <c r="I8424" t="n">
        <v>0</v>
      </c>
      <c r="J8424" t="n">
        <v>0</v>
      </c>
      <c r="K8424" t="n">
        <v>0</v>
      </c>
      <c r="L8424" t="n">
        <v>0</v>
      </c>
      <c r="M8424" t="n">
        <v>0</v>
      </c>
      <c r="N8424" t="n">
        <v>0</v>
      </c>
      <c r="O8424" t="n">
        <v>0</v>
      </c>
      <c r="P8424" t="n">
        <v>0</v>
      </c>
      <c r="Q8424" t="n">
        <v>0</v>
      </c>
      <c r="R8424" s="2" t="inlineStr"/>
    </row>
    <row r="8425" ht="15" customHeight="1">
      <c r="A8425" t="inlineStr">
        <is>
          <t>A 20908-2022</t>
        </is>
      </c>
      <c r="B8425" s="1" t="n">
        <v>44701</v>
      </c>
      <c r="C8425" s="1" t="n">
        <v>45212</v>
      </c>
      <c r="D8425" t="inlineStr">
        <is>
          <t>VÄSTRA GÖTALANDS LÄN</t>
        </is>
      </c>
      <c r="E8425" t="inlineStr">
        <is>
          <t>DALS-ED</t>
        </is>
      </c>
      <c r="G8425" t="n">
        <v>8.699999999999999</v>
      </c>
      <c r="H8425" t="n">
        <v>0</v>
      </c>
      <c r="I8425" t="n">
        <v>0</v>
      </c>
      <c r="J8425" t="n">
        <v>0</v>
      </c>
      <c r="K8425" t="n">
        <v>0</v>
      </c>
      <c r="L8425" t="n">
        <v>0</v>
      </c>
      <c r="M8425" t="n">
        <v>0</v>
      </c>
      <c r="N8425" t="n">
        <v>0</v>
      </c>
      <c r="O8425" t="n">
        <v>0</v>
      </c>
      <c r="P8425" t="n">
        <v>0</v>
      </c>
      <c r="Q8425" t="n">
        <v>0</v>
      </c>
      <c r="R8425" s="2" t="inlineStr"/>
    </row>
    <row r="8426" ht="15" customHeight="1">
      <c r="A8426" t="inlineStr">
        <is>
          <t>A 21061-2022</t>
        </is>
      </c>
      <c r="B8426" s="1" t="n">
        <v>44704</v>
      </c>
      <c r="C8426" s="1" t="n">
        <v>45212</v>
      </c>
      <c r="D8426" t="inlineStr">
        <is>
          <t>VÄSTRA GÖTALANDS LÄN</t>
        </is>
      </c>
      <c r="E8426" t="inlineStr">
        <is>
          <t>STRÖMSTAD</t>
        </is>
      </c>
      <c r="G8426" t="n">
        <v>0.9</v>
      </c>
      <c r="H8426" t="n">
        <v>0</v>
      </c>
      <c r="I8426" t="n">
        <v>0</v>
      </c>
      <c r="J8426" t="n">
        <v>0</v>
      </c>
      <c r="K8426" t="n">
        <v>0</v>
      </c>
      <c r="L8426" t="n">
        <v>0</v>
      </c>
      <c r="M8426" t="n">
        <v>0</v>
      </c>
      <c r="N8426" t="n">
        <v>0</v>
      </c>
      <c r="O8426" t="n">
        <v>0</v>
      </c>
      <c r="P8426" t="n">
        <v>0</v>
      </c>
      <c r="Q8426" t="n">
        <v>0</v>
      </c>
      <c r="R8426" s="2" t="inlineStr"/>
    </row>
    <row r="8427" ht="15" customHeight="1">
      <c r="A8427" t="inlineStr">
        <is>
          <t>A 21093-2022</t>
        </is>
      </c>
      <c r="B8427" s="1" t="n">
        <v>44704</v>
      </c>
      <c r="C8427" s="1" t="n">
        <v>45212</v>
      </c>
      <c r="D8427" t="inlineStr">
        <is>
          <t>VÄSTRA GÖTALANDS LÄN</t>
        </is>
      </c>
      <c r="E8427" t="inlineStr">
        <is>
          <t>TANUM</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21122-2022</t>
        </is>
      </c>
      <c r="B8428" s="1" t="n">
        <v>44704</v>
      </c>
      <c r="C8428" s="1" t="n">
        <v>45212</v>
      </c>
      <c r="D8428" t="inlineStr">
        <is>
          <t>VÄSTRA GÖTALANDS LÄN</t>
        </is>
      </c>
      <c r="E8428" t="inlineStr">
        <is>
          <t>BENGTSFORS</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21133-2022</t>
        </is>
      </c>
      <c r="B8429" s="1" t="n">
        <v>44704</v>
      </c>
      <c r="C8429" s="1" t="n">
        <v>45212</v>
      </c>
      <c r="D8429" t="inlineStr">
        <is>
          <t>VÄSTRA GÖTALANDS LÄN</t>
        </is>
      </c>
      <c r="E8429" t="inlineStr">
        <is>
          <t>LERUM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21168-2022</t>
        </is>
      </c>
      <c r="B8430" s="1" t="n">
        <v>44704</v>
      </c>
      <c r="C8430" s="1" t="n">
        <v>45212</v>
      </c>
      <c r="D8430" t="inlineStr">
        <is>
          <t>VÄSTRA GÖTALANDS LÄN</t>
        </is>
      </c>
      <c r="E8430" t="inlineStr">
        <is>
          <t>BORÅS</t>
        </is>
      </c>
      <c r="G8430" t="n">
        <v>4.7</v>
      </c>
      <c r="H8430" t="n">
        <v>0</v>
      </c>
      <c r="I8430" t="n">
        <v>0</v>
      </c>
      <c r="J8430" t="n">
        <v>0</v>
      </c>
      <c r="K8430" t="n">
        <v>0</v>
      </c>
      <c r="L8430" t="n">
        <v>0</v>
      </c>
      <c r="M8430" t="n">
        <v>0</v>
      </c>
      <c r="N8430" t="n">
        <v>0</v>
      </c>
      <c r="O8430" t="n">
        <v>0</v>
      </c>
      <c r="P8430" t="n">
        <v>0</v>
      </c>
      <c r="Q8430" t="n">
        <v>0</v>
      </c>
      <c r="R8430" s="2" t="inlineStr"/>
    </row>
    <row r="8431" ht="15" customHeight="1">
      <c r="A8431" t="inlineStr">
        <is>
          <t>A 21367-2022</t>
        </is>
      </c>
      <c r="B8431" s="1" t="n">
        <v>44705</v>
      </c>
      <c r="C8431" s="1" t="n">
        <v>45212</v>
      </c>
      <c r="D8431" t="inlineStr">
        <is>
          <t>VÄSTRA GÖTALANDS LÄN</t>
        </is>
      </c>
      <c r="E8431" t="inlineStr">
        <is>
          <t>DALS-ED</t>
        </is>
      </c>
      <c r="G8431" t="n">
        <v>6.8</v>
      </c>
      <c r="H8431" t="n">
        <v>0</v>
      </c>
      <c r="I8431" t="n">
        <v>0</v>
      </c>
      <c r="J8431" t="n">
        <v>0</v>
      </c>
      <c r="K8431" t="n">
        <v>0</v>
      </c>
      <c r="L8431" t="n">
        <v>0</v>
      </c>
      <c r="M8431" t="n">
        <v>0</v>
      </c>
      <c r="N8431" t="n">
        <v>0</v>
      </c>
      <c r="O8431" t="n">
        <v>0</v>
      </c>
      <c r="P8431" t="n">
        <v>0</v>
      </c>
      <c r="Q8431" t="n">
        <v>0</v>
      </c>
      <c r="R8431" s="2" t="inlineStr"/>
    </row>
    <row r="8432" ht="15" customHeight="1">
      <c r="A8432" t="inlineStr">
        <is>
          <t>A 21256-2022</t>
        </is>
      </c>
      <c r="B8432" s="1" t="n">
        <v>44705</v>
      </c>
      <c r="C8432" s="1" t="n">
        <v>45212</v>
      </c>
      <c r="D8432" t="inlineStr">
        <is>
          <t>VÄSTRA GÖTALANDS LÄN</t>
        </is>
      </c>
      <c r="E8432" t="inlineStr">
        <is>
          <t>ULRICEHAMN</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21372-2022</t>
        </is>
      </c>
      <c r="B8433" s="1" t="n">
        <v>44705</v>
      </c>
      <c r="C8433" s="1" t="n">
        <v>45212</v>
      </c>
      <c r="D8433" t="inlineStr">
        <is>
          <t>VÄSTRA GÖTALANDS LÄN</t>
        </is>
      </c>
      <c r="E8433" t="inlineStr">
        <is>
          <t>DALS-ED</t>
        </is>
      </c>
      <c r="G8433" t="n">
        <v>0.9</v>
      </c>
      <c r="H8433" t="n">
        <v>0</v>
      </c>
      <c r="I8433" t="n">
        <v>0</v>
      </c>
      <c r="J8433" t="n">
        <v>0</v>
      </c>
      <c r="K8433" t="n">
        <v>0</v>
      </c>
      <c r="L8433" t="n">
        <v>0</v>
      </c>
      <c r="M8433" t="n">
        <v>0</v>
      </c>
      <c r="N8433" t="n">
        <v>0</v>
      </c>
      <c r="O8433" t="n">
        <v>0</v>
      </c>
      <c r="P8433" t="n">
        <v>0</v>
      </c>
      <c r="Q8433" t="n">
        <v>0</v>
      </c>
      <c r="R8433" s="2" t="inlineStr"/>
    </row>
    <row r="8434" ht="15" customHeight="1">
      <c r="A8434" t="inlineStr">
        <is>
          <t>A 21335-2022</t>
        </is>
      </c>
      <c r="B8434" s="1" t="n">
        <v>44705</v>
      </c>
      <c r="C8434" s="1" t="n">
        <v>45212</v>
      </c>
      <c r="D8434" t="inlineStr">
        <is>
          <t>VÄSTRA GÖTALANDS LÄN</t>
        </is>
      </c>
      <c r="E8434" t="inlineStr">
        <is>
          <t>LIDKÖPING</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21380-2022</t>
        </is>
      </c>
      <c r="B8435" s="1" t="n">
        <v>44705</v>
      </c>
      <c r="C8435" s="1" t="n">
        <v>45212</v>
      </c>
      <c r="D8435" t="inlineStr">
        <is>
          <t>VÄSTRA GÖTALANDS LÄN</t>
        </is>
      </c>
      <c r="E8435" t="inlineStr">
        <is>
          <t>TRANEMO</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21330-2022</t>
        </is>
      </c>
      <c r="B8436" s="1" t="n">
        <v>44705</v>
      </c>
      <c r="C8436" s="1" t="n">
        <v>45212</v>
      </c>
      <c r="D8436" t="inlineStr">
        <is>
          <t>VÄSTRA GÖTALANDS LÄN</t>
        </is>
      </c>
      <c r="E8436" t="inlineStr">
        <is>
          <t>KARLSBORG</t>
        </is>
      </c>
      <c r="G8436" t="n">
        <v>1.7</v>
      </c>
      <c r="H8436" t="n">
        <v>0</v>
      </c>
      <c r="I8436" t="n">
        <v>0</v>
      </c>
      <c r="J8436" t="n">
        <v>0</v>
      </c>
      <c r="K8436" t="n">
        <v>0</v>
      </c>
      <c r="L8436" t="n">
        <v>0</v>
      </c>
      <c r="M8436" t="n">
        <v>0</v>
      </c>
      <c r="N8436" t="n">
        <v>0</v>
      </c>
      <c r="O8436" t="n">
        <v>0</v>
      </c>
      <c r="P8436" t="n">
        <v>0</v>
      </c>
      <c r="Q8436" t="n">
        <v>0</v>
      </c>
      <c r="R8436" s="2" t="inlineStr"/>
    </row>
    <row r="8437" ht="15" customHeight="1">
      <c r="A8437" t="inlineStr">
        <is>
          <t>A 21368-2022</t>
        </is>
      </c>
      <c r="B8437" s="1" t="n">
        <v>44705</v>
      </c>
      <c r="C8437" s="1" t="n">
        <v>45212</v>
      </c>
      <c r="D8437" t="inlineStr">
        <is>
          <t>VÄSTRA GÖTALANDS LÄN</t>
        </is>
      </c>
      <c r="E8437" t="inlineStr">
        <is>
          <t>DALS-ED</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21429-2022</t>
        </is>
      </c>
      <c r="B8438" s="1" t="n">
        <v>44706</v>
      </c>
      <c r="C8438" s="1" t="n">
        <v>45212</v>
      </c>
      <c r="D8438" t="inlineStr">
        <is>
          <t>VÄSTRA GÖTALANDS LÄN</t>
        </is>
      </c>
      <c r="E8438" t="inlineStr">
        <is>
          <t>GÖTENE</t>
        </is>
      </c>
      <c r="G8438" t="n">
        <v>3.1</v>
      </c>
      <c r="H8438" t="n">
        <v>0</v>
      </c>
      <c r="I8438" t="n">
        <v>0</v>
      </c>
      <c r="J8438" t="n">
        <v>0</v>
      </c>
      <c r="K8438" t="n">
        <v>0</v>
      </c>
      <c r="L8438" t="n">
        <v>0</v>
      </c>
      <c r="M8438" t="n">
        <v>0</v>
      </c>
      <c r="N8438" t="n">
        <v>0</v>
      </c>
      <c r="O8438" t="n">
        <v>0</v>
      </c>
      <c r="P8438" t="n">
        <v>0</v>
      </c>
      <c r="Q8438" t="n">
        <v>0</v>
      </c>
      <c r="R8438" s="2" t="inlineStr"/>
    </row>
    <row r="8439" ht="15" customHeight="1">
      <c r="A8439" t="inlineStr">
        <is>
          <t>A 21588-2022</t>
        </is>
      </c>
      <c r="B8439" s="1" t="n">
        <v>44706</v>
      </c>
      <c r="C8439" s="1" t="n">
        <v>45212</v>
      </c>
      <c r="D8439" t="inlineStr">
        <is>
          <t>VÄSTRA GÖTALANDS LÄN</t>
        </is>
      </c>
      <c r="E8439" t="inlineStr">
        <is>
          <t>FÄRGELANDA</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21460-2022</t>
        </is>
      </c>
      <c r="B8440" s="1" t="n">
        <v>44706</v>
      </c>
      <c r="C8440" s="1" t="n">
        <v>45212</v>
      </c>
      <c r="D8440" t="inlineStr">
        <is>
          <t>VÄSTRA GÖTALANDS LÄN</t>
        </is>
      </c>
      <c r="E8440" t="inlineStr">
        <is>
          <t>SVENLJUNGA</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21481-2022</t>
        </is>
      </c>
      <c r="B8441" s="1" t="n">
        <v>44706</v>
      </c>
      <c r="C8441" s="1" t="n">
        <v>45212</v>
      </c>
      <c r="D8441" t="inlineStr">
        <is>
          <t>VÄSTRA GÖTALANDS LÄN</t>
        </is>
      </c>
      <c r="E8441" t="inlineStr">
        <is>
          <t>TIDAHOLM</t>
        </is>
      </c>
      <c r="G8441" t="n">
        <v>2.4</v>
      </c>
      <c r="H8441" t="n">
        <v>0</v>
      </c>
      <c r="I8441" t="n">
        <v>0</v>
      </c>
      <c r="J8441" t="n">
        <v>0</v>
      </c>
      <c r="K8441" t="n">
        <v>0</v>
      </c>
      <c r="L8441" t="n">
        <v>0</v>
      </c>
      <c r="M8441" t="n">
        <v>0</v>
      </c>
      <c r="N8441" t="n">
        <v>0</v>
      </c>
      <c r="O8441" t="n">
        <v>0</v>
      </c>
      <c r="P8441" t="n">
        <v>0</v>
      </c>
      <c r="Q8441" t="n">
        <v>0</v>
      </c>
      <c r="R8441" s="2" t="inlineStr"/>
    </row>
    <row r="8442" ht="15" customHeight="1">
      <c r="A8442" t="inlineStr">
        <is>
          <t>A 21675-2022</t>
        </is>
      </c>
      <c r="B8442" s="1" t="n">
        <v>44707</v>
      </c>
      <c r="C8442" s="1" t="n">
        <v>45212</v>
      </c>
      <c r="D8442" t="inlineStr">
        <is>
          <t>VÄSTRA GÖTALANDS LÄN</t>
        </is>
      </c>
      <c r="E8442" t="inlineStr">
        <is>
          <t>TIDAHOLM</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21730-2022</t>
        </is>
      </c>
      <c r="B8443" s="1" t="n">
        <v>44707</v>
      </c>
      <c r="C8443" s="1" t="n">
        <v>45212</v>
      </c>
      <c r="D8443" t="inlineStr">
        <is>
          <t>VÄSTRA GÖTALANDS LÄN</t>
        </is>
      </c>
      <c r="E8443" t="inlineStr">
        <is>
          <t>FALKÖPING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21780-2022</t>
        </is>
      </c>
      <c r="B8444" s="1" t="n">
        <v>44708</v>
      </c>
      <c r="C8444" s="1" t="n">
        <v>45212</v>
      </c>
      <c r="D8444" t="inlineStr">
        <is>
          <t>VÄSTRA GÖTALANDS LÄN</t>
        </is>
      </c>
      <c r="E8444" t="inlineStr">
        <is>
          <t>HÄRRYDA</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21838-2022</t>
        </is>
      </c>
      <c r="B8445" s="1" t="n">
        <v>44710</v>
      </c>
      <c r="C8445" s="1" t="n">
        <v>45212</v>
      </c>
      <c r="D8445" t="inlineStr">
        <is>
          <t>VÄSTRA GÖTALANDS LÄN</t>
        </is>
      </c>
      <c r="E8445" t="inlineStr">
        <is>
          <t>LERUM</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22023-2022</t>
        </is>
      </c>
      <c r="B8446" s="1" t="n">
        <v>44711</v>
      </c>
      <c r="C8446" s="1" t="n">
        <v>45212</v>
      </c>
      <c r="D8446" t="inlineStr">
        <is>
          <t>VÄSTRA GÖTALANDS LÄN</t>
        </is>
      </c>
      <c r="E8446" t="inlineStr">
        <is>
          <t>FALKÖPING</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22016-2022</t>
        </is>
      </c>
      <c r="B8447" s="1" t="n">
        <v>44711</v>
      </c>
      <c r="C8447" s="1" t="n">
        <v>45212</v>
      </c>
      <c r="D8447" t="inlineStr">
        <is>
          <t>VÄSTRA GÖTALANDS LÄN</t>
        </is>
      </c>
      <c r="E8447" t="inlineStr">
        <is>
          <t>HERRLJUNGA</t>
        </is>
      </c>
      <c r="F8447" t="inlineStr">
        <is>
          <t>Sveaskog</t>
        </is>
      </c>
      <c r="G8447" t="n">
        <v>14.1</v>
      </c>
      <c r="H8447" t="n">
        <v>0</v>
      </c>
      <c r="I8447" t="n">
        <v>0</v>
      </c>
      <c r="J8447" t="n">
        <v>0</v>
      </c>
      <c r="K8447" t="n">
        <v>0</v>
      </c>
      <c r="L8447" t="n">
        <v>0</v>
      </c>
      <c r="M8447" t="n">
        <v>0</v>
      </c>
      <c r="N8447" t="n">
        <v>0</v>
      </c>
      <c r="O8447" t="n">
        <v>0</v>
      </c>
      <c r="P8447" t="n">
        <v>0</v>
      </c>
      <c r="Q8447" t="n">
        <v>0</v>
      </c>
      <c r="R8447" s="2" t="inlineStr"/>
    </row>
    <row r="8448" ht="15" customHeight="1">
      <c r="A8448" t="inlineStr">
        <is>
          <t>A 22223-2022</t>
        </is>
      </c>
      <c r="B8448" s="1" t="n">
        <v>44712</v>
      </c>
      <c r="C8448" s="1" t="n">
        <v>45212</v>
      </c>
      <c r="D8448" t="inlineStr">
        <is>
          <t>VÄSTRA GÖTALANDS LÄN</t>
        </is>
      </c>
      <c r="E8448" t="inlineStr">
        <is>
          <t>LERUM</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22300-2022</t>
        </is>
      </c>
      <c r="B8449" s="1" t="n">
        <v>44712</v>
      </c>
      <c r="C8449" s="1" t="n">
        <v>45212</v>
      </c>
      <c r="D8449" t="inlineStr">
        <is>
          <t>VÄSTRA GÖTALANDS LÄN</t>
        </is>
      </c>
      <c r="E8449" t="inlineStr">
        <is>
          <t>LERUM</t>
        </is>
      </c>
      <c r="G8449" t="n">
        <v>23.3</v>
      </c>
      <c r="H8449" t="n">
        <v>0</v>
      </c>
      <c r="I8449" t="n">
        <v>0</v>
      </c>
      <c r="J8449" t="n">
        <v>0</v>
      </c>
      <c r="K8449" t="n">
        <v>0</v>
      </c>
      <c r="L8449" t="n">
        <v>0</v>
      </c>
      <c r="M8449" t="n">
        <v>0</v>
      </c>
      <c r="N8449" t="n">
        <v>0</v>
      </c>
      <c r="O8449" t="n">
        <v>0</v>
      </c>
      <c r="P8449" t="n">
        <v>0</v>
      </c>
      <c r="Q8449" t="n">
        <v>0</v>
      </c>
      <c r="R8449" s="2" t="inlineStr"/>
    </row>
    <row r="8450" ht="15" customHeight="1">
      <c r="A8450" t="inlineStr">
        <is>
          <t>A 22240-2022</t>
        </is>
      </c>
      <c r="B8450" s="1" t="n">
        <v>44712</v>
      </c>
      <c r="C8450" s="1" t="n">
        <v>45212</v>
      </c>
      <c r="D8450" t="inlineStr">
        <is>
          <t>VÄSTRA GÖTALANDS LÄN</t>
        </is>
      </c>
      <c r="E8450" t="inlineStr">
        <is>
          <t>LERUM</t>
        </is>
      </c>
      <c r="G8450" t="n">
        <v>3</v>
      </c>
      <c r="H8450" t="n">
        <v>0</v>
      </c>
      <c r="I8450" t="n">
        <v>0</v>
      </c>
      <c r="J8450" t="n">
        <v>0</v>
      </c>
      <c r="K8450" t="n">
        <v>0</v>
      </c>
      <c r="L8450" t="n">
        <v>0</v>
      </c>
      <c r="M8450" t="n">
        <v>0</v>
      </c>
      <c r="N8450" t="n">
        <v>0</v>
      </c>
      <c r="O8450" t="n">
        <v>0</v>
      </c>
      <c r="P8450" t="n">
        <v>0</v>
      </c>
      <c r="Q8450" t="n">
        <v>0</v>
      </c>
      <c r="R8450" s="2" t="inlineStr"/>
    </row>
    <row r="8451" ht="15" customHeight="1">
      <c r="A8451" t="inlineStr">
        <is>
          <t>A 22479-2022</t>
        </is>
      </c>
      <c r="B8451" s="1" t="n">
        <v>44713</v>
      </c>
      <c r="C8451" s="1" t="n">
        <v>45212</v>
      </c>
      <c r="D8451" t="inlineStr">
        <is>
          <t>VÄSTRA GÖTALANDS LÄN</t>
        </is>
      </c>
      <c r="E8451" t="inlineStr">
        <is>
          <t>FALKÖPING</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22352-2022</t>
        </is>
      </c>
      <c r="B8452" s="1" t="n">
        <v>44713</v>
      </c>
      <c r="C8452" s="1" t="n">
        <v>45212</v>
      </c>
      <c r="D8452" t="inlineStr">
        <is>
          <t>VÄSTRA GÖTALANDS LÄN</t>
        </is>
      </c>
      <c r="E8452" t="inlineStr">
        <is>
          <t>TÖREBODA</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22497-2022</t>
        </is>
      </c>
      <c r="B8453" s="1" t="n">
        <v>44713</v>
      </c>
      <c r="C8453" s="1" t="n">
        <v>45212</v>
      </c>
      <c r="D8453" t="inlineStr">
        <is>
          <t>VÄSTRA GÖTALANDS LÄN</t>
        </is>
      </c>
      <c r="E8453" t="inlineStr">
        <is>
          <t>LERUM</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22578-2022</t>
        </is>
      </c>
      <c r="B8454" s="1" t="n">
        <v>44714</v>
      </c>
      <c r="C8454" s="1" t="n">
        <v>45212</v>
      </c>
      <c r="D8454" t="inlineStr">
        <is>
          <t>VÄSTRA GÖTALANDS LÄN</t>
        </is>
      </c>
      <c r="E8454" t="inlineStr">
        <is>
          <t>BENGTSFORS</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22585-2022</t>
        </is>
      </c>
      <c r="B8455" s="1" t="n">
        <v>44714</v>
      </c>
      <c r="C8455" s="1" t="n">
        <v>45212</v>
      </c>
      <c r="D8455" t="inlineStr">
        <is>
          <t>VÄSTRA GÖTALANDS LÄN</t>
        </is>
      </c>
      <c r="E8455" t="inlineStr">
        <is>
          <t>SKARA</t>
        </is>
      </c>
      <c r="G8455" t="n">
        <v>1.6</v>
      </c>
      <c r="H8455" t="n">
        <v>0</v>
      </c>
      <c r="I8455" t="n">
        <v>0</v>
      </c>
      <c r="J8455" t="n">
        <v>0</v>
      </c>
      <c r="K8455" t="n">
        <v>0</v>
      </c>
      <c r="L8455" t="n">
        <v>0</v>
      </c>
      <c r="M8455" t="n">
        <v>0</v>
      </c>
      <c r="N8455" t="n">
        <v>0</v>
      </c>
      <c r="O8455" t="n">
        <v>0</v>
      </c>
      <c r="P8455" t="n">
        <v>0</v>
      </c>
      <c r="Q8455" t="n">
        <v>0</v>
      </c>
      <c r="R8455" s="2" t="inlineStr"/>
    </row>
    <row r="8456" ht="15" customHeight="1">
      <c r="A8456" t="inlineStr">
        <is>
          <t>A 22586-2022</t>
        </is>
      </c>
      <c r="B8456" s="1" t="n">
        <v>44714</v>
      </c>
      <c r="C8456" s="1" t="n">
        <v>45212</v>
      </c>
      <c r="D8456" t="inlineStr">
        <is>
          <t>VÄSTRA GÖTALANDS LÄN</t>
        </is>
      </c>
      <c r="E8456" t="inlineStr">
        <is>
          <t>HJO</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22914-2022</t>
        </is>
      </c>
      <c r="B8457" s="1" t="n">
        <v>44715</v>
      </c>
      <c r="C8457" s="1" t="n">
        <v>45212</v>
      </c>
      <c r="D8457" t="inlineStr">
        <is>
          <t>VÄSTRA GÖTALANDS LÄN</t>
        </is>
      </c>
      <c r="E8457" t="inlineStr">
        <is>
          <t>MARK</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22789-2022</t>
        </is>
      </c>
      <c r="B8458" s="1" t="n">
        <v>44715</v>
      </c>
      <c r="C8458" s="1" t="n">
        <v>45212</v>
      </c>
      <c r="D8458" t="inlineStr">
        <is>
          <t>VÄSTRA GÖTALANDS LÄN</t>
        </is>
      </c>
      <c r="E8458" t="inlineStr">
        <is>
          <t>TIBRO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22857-2022</t>
        </is>
      </c>
      <c r="B8459" s="1" t="n">
        <v>44715</v>
      </c>
      <c r="C8459" s="1" t="n">
        <v>45212</v>
      </c>
      <c r="D8459" t="inlineStr">
        <is>
          <t>VÄSTRA GÖTALANDS LÄN</t>
        </is>
      </c>
      <c r="E8459" t="inlineStr">
        <is>
          <t>MUNKEDAL</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22923-2022</t>
        </is>
      </c>
      <c r="B8460" s="1" t="n">
        <v>44715</v>
      </c>
      <c r="C8460" s="1" t="n">
        <v>45212</v>
      </c>
      <c r="D8460" t="inlineStr">
        <is>
          <t>VÄSTRA GÖTALANDS LÄN</t>
        </is>
      </c>
      <c r="E8460" t="inlineStr">
        <is>
          <t>UDDEVALLA</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23080-2022</t>
        </is>
      </c>
      <c r="B8461" s="1" t="n">
        <v>44715</v>
      </c>
      <c r="C8461" s="1" t="n">
        <v>45212</v>
      </c>
      <c r="D8461" t="inlineStr">
        <is>
          <t>VÄSTRA GÖTALANDS LÄN</t>
        </is>
      </c>
      <c r="E8461" t="inlineStr">
        <is>
          <t>TIBRO</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22918-2022</t>
        </is>
      </c>
      <c r="B8462" s="1" t="n">
        <v>44715</v>
      </c>
      <c r="C8462" s="1" t="n">
        <v>45212</v>
      </c>
      <c r="D8462" t="inlineStr">
        <is>
          <t>VÄSTRA GÖTALANDS LÄN</t>
        </is>
      </c>
      <c r="E8462" t="inlineStr">
        <is>
          <t>MARK</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23101-2022</t>
        </is>
      </c>
      <c r="B8463" s="1" t="n">
        <v>44719</v>
      </c>
      <c r="C8463" s="1" t="n">
        <v>45212</v>
      </c>
      <c r="D8463" t="inlineStr">
        <is>
          <t>VÄSTRA GÖTALANDS LÄN</t>
        </is>
      </c>
      <c r="E8463" t="inlineStr">
        <is>
          <t>HERRLJUNGA</t>
        </is>
      </c>
      <c r="G8463" t="n">
        <v>0.9</v>
      </c>
      <c r="H8463" t="n">
        <v>0</v>
      </c>
      <c r="I8463" t="n">
        <v>0</v>
      </c>
      <c r="J8463" t="n">
        <v>0</v>
      </c>
      <c r="K8463" t="n">
        <v>0</v>
      </c>
      <c r="L8463" t="n">
        <v>0</v>
      </c>
      <c r="M8463" t="n">
        <v>0</v>
      </c>
      <c r="N8463" t="n">
        <v>0</v>
      </c>
      <c r="O8463" t="n">
        <v>0</v>
      </c>
      <c r="P8463" t="n">
        <v>0</v>
      </c>
      <c r="Q8463" t="n">
        <v>0</v>
      </c>
      <c r="R8463" s="2" t="inlineStr"/>
    </row>
    <row r="8464" ht="15" customHeight="1">
      <c r="A8464" t="inlineStr">
        <is>
          <t>A 23226-2022</t>
        </is>
      </c>
      <c r="B8464" s="1" t="n">
        <v>44719</v>
      </c>
      <c r="C8464" s="1" t="n">
        <v>45212</v>
      </c>
      <c r="D8464" t="inlineStr">
        <is>
          <t>VÄSTRA GÖTALANDS LÄN</t>
        </is>
      </c>
      <c r="E8464" t="inlineStr">
        <is>
          <t>MARK</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23098-2022</t>
        </is>
      </c>
      <c r="B8465" s="1" t="n">
        <v>44719</v>
      </c>
      <c r="C8465" s="1" t="n">
        <v>45212</v>
      </c>
      <c r="D8465" t="inlineStr">
        <is>
          <t>VÄSTRA GÖTALANDS LÄN</t>
        </is>
      </c>
      <c r="E8465" t="inlineStr">
        <is>
          <t>HERRLJUNGA</t>
        </is>
      </c>
      <c r="G8465" t="n">
        <v>0.6</v>
      </c>
      <c r="H8465" t="n">
        <v>0</v>
      </c>
      <c r="I8465" t="n">
        <v>0</v>
      </c>
      <c r="J8465" t="n">
        <v>0</v>
      </c>
      <c r="K8465" t="n">
        <v>0</v>
      </c>
      <c r="L8465" t="n">
        <v>0</v>
      </c>
      <c r="M8465" t="n">
        <v>0</v>
      </c>
      <c r="N8465" t="n">
        <v>0</v>
      </c>
      <c r="O8465" t="n">
        <v>0</v>
      </c>
      <c r="P8465" t="n">
        <v>0</v>
      </c>
      <c r="Q8465" t="n">
        <v>0</v>
      </c>
      <c r="R8465" s="2" t="inlineStr"/>
    </row>
    <row r="8466" ht="15" customHeight="1">
      <c r="A8466" t="inlineStr">
        <is>
          <t>A 23291-2022</t>
        </is>
      </c>
      <c r="B8466" s="1" t="n">
        <v>44720</v>
      </c>
      <c r="C8466" s="1" t="n">
        <v>45212</v>
      </c>
      <c r="D8466" t="inlineStr">
        <is>
          <t>VÄSTRA GÖTALANDS LÄN</t>
        </is>
      </c>
      <c r="E8466" t="inlineStr">
        <is>
          <t>TRANEMO</t>
        </is>
      </c>
      <c r="G8466" t="n">
        <v>7.2</v>
      </c>
      <c r="H8466" t="n">
        <v>0</v>
      </c>
      <c r="I8466" t="n">
        <v>0</v>
      </c>
      <c r="J8466" t="n">
        <v>0</v>
      </c>
      <c r="K8466" t="n">
        <v>0</v>
      </c>
      <c r="L8466" t="n">
        <v>0</v>
      </c>
      <c r="M8466" t="n">
        <v>0</v>
      </c>
      <c r="N8466" t="n">
        <v>0</v>
      </c>
      <c r="O8466" t="n">
        <v>0</v>
      </c>
      <c r="P8466" t="n">
        <v>0</v>
      </c>
      <c r="Q8466" t="n">
        <v>0</v>
      </c>
      <c r="R8466" s="2" t="inlineStr"/>
    </row>
    <row r="8467" ht="15" customHeight="1">
      <c r="A8467" t="inlineStr">
        <is>
          <t>A 23353-2022</t>
        </is>
      </c>
      <c r="B8467" s="1" t="n">
        <v>44720</v>
      </c>
      <c r="C8467" s="1" t="n">
        <v>45212</v>
      </c>
      <c r="D8467" t="inlineStr">
        <is>
          <t>VÄSTRA GÖTALANDS LÄN</t>
        </is>
      </c>
      <c r="E8467" t="inlineStr">
        <is>
          <t>TIDAHOLM</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23296-2022</t>
        </is>
      </c>
      <c r="B8468" s="1" t="n">
        <v>44720</v>
      </c>
      <c r="C8468" s="1" t="n">
        <v>45212</v>
      </c>
      <c r="D8468" t="inlineStr">
        <is>
          <t>VÄSTRA GÖTALANDS LÄN</t>
        </is>
      </c>
      <c r="E8468" t="inlineStr">
        <is>
          <t>MARK</t>
        </is>
      </c>
      <c r="G8468" t="n">
        <v>5</v>
      </c>
      <c r="H8468" t="n">
        <v>0</v>
      </c>
      <c r="I8468" t="n">
        <v>0</v>
      </c>
      <c r="J8468" t="n">
        <v>0</v>
      </c>
      <c r="K8468" t="n">
        <v>0</v>
      </c>
      <c r="L8468" t="n">
        <v>0</v>
      </c>
      <c r="M8468" t="n">
        <v>0</v>
      </c>
      <c r="N8468" t="n">
        <v>0</v>
      </c>
      <c r="O8468" t="n">
        <v>0</v>
      </c>
      <c r="P8468" t="n">
        <v>0</v>
      </c>
      <c r="Q8468" t="n">
        <v>0</v>
      </c>
      <c r="R8468" s="2" t="inlineStr"/>
    </row>
    <row r="8469" ht="15" customHeight="1">
      <c r="A8469" t="inlineStr">
        <is>
          <t>A 23278-2022</t>
        </is>
      </c>
      <c r="B8469" s="1" t="n">
        <v>44720</v>
      </c>
      <c r="C8469" s="1" t="n">
        <v>45212</v>
      </c>
      <c r="D8469" t="inlineStr">
        <is>
          <t>VÄSTRA GÖTALANDS LÄN</t>
        </is>
      </c>
      <c r="E8469" t="inlineStr">
        <is>
          <t>TIDAHOLM</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23349-2022</t>
        </is>
      </c>
      <c r="B8470" s="1" t="n">
        <v>44720</v>
      </c>
      <c r="C8470" s="1" t="n">
        <v>45212</v>
      </c>
      <c r="D8470" t="inlineStr">
        <is>
          <t>VÄSTRA GÖTALANDS LÄN</t>
        </is>
      </c>
      <c r="E8470" t="inlineStr">
        <is>
          <t>MELLERUD</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23359-2022</t>
        </is>
      </c>
      <c r="B8471" s="1" t="n">
        <v>44720</v>
      </c>
      <c r="C8471" s="1" t="n">
        <v>45212</v>
      </c>
      <c r="D8471" t="inlineStr">
        <is>
          <t>VÄSTRA GÖTALANDS LÄN</t>
        </is>
      </c>
      <c r="E8471" t="inlineStr">
        <is>
          <t>MARK</t>
        </is>
      </c>
      <c r="G8471" t="n">
        <v>3.1</v>
      </c>
      <c r="H8471" t="n">
        <v>0</v>
      </c>
      <c r="I8471" t="n">
        <v>0</v>
      </c>
      <c r="J8471" t="n">
        <v>0</v>
      </c>
      <c r="K8471" t="n">
        <v>0</v>
      </c>
      <c r="L8471" t="n">
        <v>0</v>
      </c>
      <c r="M8471" t="n">
        <v>0</v>
      </c>
      <c r="N8471" t="n">
        <v>0</v>
      </c>
      <c r="O8471" t="n">
        <v>0</v>
      </c>
      <c r="P8471" t="n">
        <v>0</v>
      </c>
      <c r="Q8471" t="n">
        <v>0</v>
      </c>
      <c r="R8471" s="2" t="inlineStr"/>
    </row>
    <row r="8472" ht="15" customHeight="1">
      <c r="A8472" t="inlineStr">
        <is>
          <t>A 23592-2022</t>
        </is>
      </c>
      <c r="B8472" s="1" t="n">
        <v>44721</v>
      </c>
      <c r="C8472" s="1" t="n">
        <v>45212</v>
      </c>
      <c r="D8472" t="inlineStr">
        <is>
          <t>VÄSTRA GÖTALANDS LÄN</t>
        </is>
      </c>
      <c r="E8472" t="inlineStr">
        <is>
          <t>LERUM</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23630-2022</t>
        </is>
      </c>
      <c r="B8473" s="1" t="n">
        <v>44721</v>
      </c>
      <c r="C8473" s="1" t="n">
        <v>45212</v>
      </c>
      <c r="D8473" t="inlineStr">
        <is>
          <t>VÄSTRA GÖTALANDS LÄN</t>
        </is>
      </c>
      <c r="E8473" t="inlineStr">
        <is>
          <t>BORÅS</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23728-2022</t>
        </is>
      </c>
      <c r="B8474" s="1" t="n">
        <v>44722</v>
      </c>
      <c r="C8474" s="1" t="n">
        <v>45212</v>
      </c>
      <c r="D8474" t="inlineStr">
        <is>
          <t>VÄSTRA GÖTALANDS LÄN</t>
        </is>
      </c>
      <c r="E8474" t="inlineStr">
        <is>
          <t>MARK</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23800-2022</t>
        </is>
      </c>
      <c r="B8475" s="1" t="n">
        <v>44722</v>
      </c>
      <c r="C8475" s="1" t="n">
        <v>45212</v>
      </c>
      <c r="D8475" t="inlineStr">
        <is>
          <t>VÄSTRA GÖTALANDS LÄN</t>
        </is>
      </c>
      <c r="E8475" t="inlineStr">
        <is>
          <t>TANUM</t>
        </is>
      </c>
      <c r="G8475" t="n">
        <v>0.2</v>
      </c>
      <c r="H8475" t="n">
        <v>0</v>
      </c>
      <c r="I8475" t="n">
        <v>0</v>
      </c>
      <c r="J8475" t="n">
        <v>0</v>
      </c>
      <c r="K8475" t="n">
        <v>0</v>
      </c>
      <c r="L8475" t="n">
        <v>0</v>
      </c>
      <c r="M8475" t="n">
        <v>0</v>
      </c>
      <c r="N8475" t="n">
        <v>0</v>
      </c>
      <c r="O8475" t="n">
        <v>0</v>
      </c>
      <c r="P8475" t="n">
        <v>0</v>
      </c>
      <c r="Q8475" t="n">
        <v>0</v>
      </c>
      <c r="R8475" s="2" t="inlineStr"/>
    </row>
    <row r="8476" ht="15" customHeight="1">
      <c r="A8476" t="inlineStr">
        <is>
          <t>A 23819-2022</t>
        </is>
      </c>
      <c r="B8476" s="1" t="n">
        <v>44722</v>
      </c>
      <c r="C8476" s="1" t="n">
        <v>45212</v>
      </c>
      <c r="D8476" t="inlineStr">
        <is>
          <t>VÄSTRA GÖTALANDS LÄN</t>
        </is>
      </c>
      <c r="E8476" t="inlineStr">
        <is>
          <t>STRÖMSTAD</t>
        </is>
      </c>
      <c r="G8476" t="n">
        <v>3.7</v>
      </c>
      <c r="H8476" t="n">
        <v>0</v>
      </c>
      <c r="I8476" t="n">
        <v>0</v>
      </c>
      <c r="J8476" t="n">
        <v>0</v>
      </c>
      <c r="K8476" t="n">
        <v>0</v>
      </c>
      <c r="L8476" t="n">
        <v>0</v>
      </c>
      <c r="M8476" t="n">
        <v>0</v>
      </c>
      <c r="N8476" t="n">
        <v>0</v>
      </c>
      <c r="O8476" t="n">
        <v>0</v>
      </c>
      <c r="P8476" t="n">
        <v>0</v>
      </c>
      <c r="Q8476" t="n">
        <v>0</v>
      </c>
      <c r="R8476" s="2" t="inlineStr"/>
    </row>
    <row r="8477" ht="15" customHeight="1">
      <c r="A8477" t="inlineStr">
        <is>
          <t>A 23846-2022</t>
        </is>
      </c>
      <c r="B8477" s="1" t="n">
        <v>44722</v>
      </c>
      <c r="C8477" s="1" t="n">
        <v>45212</v>
      </c>
      <c r="D8477" t="inlineStr">
        <is>
          <t>VÄSTRA GÖTALANDS LÄN</t>
        </is>
      </c>
      <c r="E8477" t="inlineStr">
        <is>
          <t>FALKÖPING</t>
        </is>
      </c>
      <c r="G8477" t="n">
        <v>9.1</v>
      </c>
      <c r="H8477" t="n">
        <v>0</v>
      </c>
      <c r="I8477" t="n">
        <v>0</v>
      </c>
      <c r="J8477" t="n">
        <v>0</v>
      </c>
      <c r="K8477" t="n">
        <v>0</v>
      </c>
      <c r="L8477" t="n">
        <v>0</v>
      </c>
      <c r="M8477" t="n">
        <v>0</v>
      </c>
      <c r="N8477" t="n">
        <v>0</v>
      </c>
      <c r="O8477" t="n">
        <v>0</v>
      </c>
      <c r="P8477" t="n">
        <v>0</v>
      </c>
      <c r="Q8477" t="n">
        <v>0</v>
      </c>
      <c r="R8477" s="2" t="inlineStr"/>
    </row>
    <row r="8478" ht="15" customHeight="1">
      <c r="A8478" t="inlineStr">
        <is>
          <t>A 23944-2022</t>
        </is>
      </c>
      <c r="B8478" s="1" t="n">
        <v>44722</v>
      </c>
      <c r="C8478" s="1" t="n">
        <v>45212</v>
      </c>
      <c r="D8478" t="inlineStr">
        <is>
          <t>VÄSTRA GÖTALANDS LÄN</t>
        </is>
      </c>
      <c r="E8478" t="inlineStr">
        <is>
          <t>GRÄSTORP</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24049-2022</t>
        </is>
      </c>
      <c r="B8479" s="1" t="n">
        <v>44724</v>
      </c>
      <c r="C8479" s="1" t="n">
        <v>45212</v>
      </c>
      <c r="D8479" t="inlineStr">
        <is>
          <t>VÄSTRA GÖTALANDS LÄN</t>
        </is>
      </c>
      <c r="E8479" t="inlineStr">
        <is>
          <t>GRÄSTORP</t>
        </is>
      </c>
      <c r="G8479" t="n">
        <v>2.9</v>
      </c>
      <c r="H8479" t="n">
        <v>0</v>
      </c>
      <c r="I8479" t="n">
        <v>0</v>
      </c>
      <c r="J8479" t="n">
        <v>0</v>
      </c>
      <c r="K8479" t="n">
        <v>0</v>
      </c>
      <c r="L8479" t="n">
        <v>0</v>
      </c>
      <c r="M8479" t="n">
        <v>0</v>
      </c>
      <c r="N8479" t="n">
        <v>0</v>
      </c>
      <c r="O8479" t="n">
        <v>0</v>
      </c>
      <c r="P8479" t="n">
        <v>0</v>
      </c>
      <c r="Q8479" t="n">
        <v>0</v>
      </c>
      <c r="R8479" s="2" t="inlineStr"/>
    </row>
    <row r="8480" ht="15" customHeight="1">
      <c r="A8480" t="inlineStr">
        <is>
          <t>A 24093-2022</t>
        </is>
      </c>
      <c r="B8480" s="1" t="n">
        <v>44725</v>
      </c>
      <c r="C8480" s="1" t="n">
        <v>45212</v>
      </c>
      <c r="D8480" t="inlineStr">
        <is>
          <t>VÄSTRA GÖTALANDS LÄN</t>
        </is>
      </c>
      <c r="E8480" t="inlineStr">
        <is>
          <t>TANUM</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24151-2022</t>
        </is>
      </c>
      <c r="B8481" s="1" t="n">
        <v>44725</v>
      </c>
      <c r="C8481" s="1" t="n">
        <v>45212</v>
      </c>
      <c r="D8481" t="inlineStr">
        <is>
          <t>VÄSTRA GÖTALANDS LÄN</t>
        </is>
      </c>
      <c r="E8481" t="inlineStr">
        <is>
          <t>MARK</t>
        </is>
      </c>
      <c r="G8481" t="n">
        <v>1.7</v>
      </c>
      <c r="H8481" t="n">
        <v>0</v>
      </c>
      <c r="I8481" t="n">
        <v>0</v>
      </c>
      <c r="J8481" t="n">
        <v>0</v>
      </c>
      <c r="K8481" t="n">
        <v>0</v>
      </c>
      <c r="L8481" t="n">
        <v>0</v>
      </c>
      <c r="M8481" t="n">
        <v>0</v>
      </c>
      <c r="N8481" t="n">
        <v>0</v>
      </c>
      <c r="O8481" t="n">
        <v>0</v>
      </c>
      <c r="P8481" t="n">
        <v>0</v>
      </c>
      <c r="Q8481" t="n">
        <v>0</v>
      </c>
      <c r="R8481" s="2" t="inlineStr"/>
    </row>
    <row r="8482" ht="15" customHeight="1">
      <c r="A8482" t="inlineStr">
        <is>
          <t>A 24218-2022</t>
        </is>
      </c>
      <c r="B8482" s="1" t="n">
        <v>44725</v>
      </c>
      <c r="C8482" s="1" t="n">
        <v>45212</v>
      </c>
      <c r="D8482" t="inlineStr">
        <is>
          <t>VÄSTRA GÖTALANDS LÄN</t>
        </is>
      </c>
      <c r="E8482" t="inlineStr">
        <is>
          <t>TRANEMO</t>
        </is>
      </c>
      <c r="G8482" t="n">
        <v>2.7</v>
      </c>
      <c r="H8482" t="n">
        <v>0</v>
      </c>
      <c r="I8482" t="n">
        <v>0</v>
      </c>
      <c r="J8482" t="n">
        <v>0</v>
      </c>
      <c r="K8482" t="n">
        <v>0</v>
      </c>
      <c r="L8482" t="n">
        <v>0</v>
      </c>
      <c r="M8482" t="n">
        <v>0</v>
      </c>
      <c r="N8482" t="n">
        <v>0</v>
      </c>
      <c r="O8482" t="n">
        <v>0</v>
      </c>
      <c r="P8482" t="n">
        <v>0</v>
      </c>
      <c r="Q8482" t="n">
        <v>0</v>
      </c>
      <c r="R8482" s="2" t="inlineStr"/>
    </row>
    <row r="8483" ht="15" customHeight="1">
      <c r="A8483" t="inlineStr">
        <is>
          <t>A 24090-2022</t>
        </is>
      </c>
      <c r="B8483" s="1" t="n">
        <v>44725</v>
      </c>
      <c r="C8483" s="1" t="n">
        <v>45212</v>
      </c>
      <c r="D8483" t="inlineStr">
        <is>
          <t>VÄSTRA GÖTALANDS LÄN</t>
        </is>
      </c>
      <c r="E8483" t="inlineStr">
        <is>
          <t>TANUM</t>
        </is>
      </c>
      <c r="G8483" t="n">
        <v>3.7</v>
      </c>
      <c r="H8483" t="n">
        <v>0</v>
      </c>
      <c r="I8483" t="n">
        <v>0</v>
      </c>
      <c r="J8483" t="n">
        <v>0</v>
      </c>
      <c r="K8483" t="n">
        <v>0</v>
      </c>
      <c r="L8483" t="n">
        <v>0</v>
      </c>
      <c r="M8483" t="n">
        <v>0</v>
      </c>
      <c r="N8483" t="n">
        <v>0</v>
      </c>
      <c r="O8483" t="n">
        <v>0</v>
      </c>
      <c r="P8483" t="n">
        <v>0</v>
      </c>
      <c r="Q8483" t="n">
        <v>0</v>
      </c>
      <c r="R8483" s="2" t="inlineStr"/>
    </row>
    <row r="8484" ht="15" customHeight="1">
      <c r="A8484" t="inlineStr">
        <is>
          <t>A 24135-2022</t>
        </is>
      </c>
      <c r="B8484" s="1" t="n">
        <v>44725</v>
      </c>
      <c r="C8484" s="1" t="n">
        <v>45212</v>
      </c>
      <c r="D8484" t="inlineStr">
        <is>
          <t>VÄSTRA GÖTALANDS LÄN</t>
        </is>
      </c>
      <c r="E8484" t="inlineStr">
        <is>
          <t>SVENLJUNGA</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24216-2022</t>
        </is>
      </c>
      <c r="B8485" s="1" t="n">
        <v>44725</v>
      </c>
      <c r="C8485" s="1" t="n">
        <v>45212</v>
      </c>
      <c r="D8485" t="inlineStr">
        <is>
          <t>VÄSTRA GÖTALANDS LÄN</t>
        </is>
      </c>
      <c r="E8485" t="inlineStr">
        <is>
          <t>MARK</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24244-2022</t>
        </is>
      </c>
      <c r="B8486" s="1" t="n">
        <v>44725</v>
      </c>
      <c r="C8486" s="1" t="n">
        <v>45212</v>
      </c>
      <c r="D8486" t="inlineStr">
        <is>
          <t>VÄSTRA GÖTALANDS LÄN</t>
        </is>
      </c>
      <c r="E8486" t="inlineStr">
        <is>
          <t>ULRICEHAMN</t>
        </is>
      </c>
      <c r="F8486" t="inlineStr">
        <is>
          <t>Sveaskog</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24094-2022</t>
        </is>
      </c>
      <c r="B8487" s="1" t="n">
        <v>44725</v>
      </c>
      <c r="C8487" s="1" t="n">
        <v>45212</v>
      </c>
      <c r="D8487" t="inlineStr">
        <is>
          <t>VÄSTRA GÖTALANDS LÄN</t>
        </is>
      </c>
      <c r="E8487" t="inlineStr">
        <is>
          <t>SVENLJUNGA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24146-2022</t>
        </is>
      </c>
      <c r="B8488" s="1" t="n">
        <v>44725</v>
      </c>
      <c r="C8488" s="1" t="n">
        <v>45212</v>
      </c>
      <c r="D8488" t="inlineStr">
        <is>
          <t>VÄSTRA GÖTALANDS LÄN</t>
        </is>
      </c>
      <c r="E8488" t="inlineStr">
        <is>
          <t>MARK</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24100-2022</t>
        </is>
      </c>
      <c r="B8489" s="1" t="n">
        <v>44725</v>
      </c>
      <c r="C8489" s="1" t="n">
        <v>45212</v>
      </c>
      <c r="D8489" t="inlineStr">
        <is>
          <t>VÄSTRA GÖTALANDS LÄN</t>
        </is>
      </c>
      <c r="E8489" t="inlineStr">
        <is>
          <t>TANUM</t>
        </is>
      </c>
      <c r="G8489" t="n">
        <v>10.7</v>
      </c>
      <c r="H8489" t="n">
        <v>0</v>
      </c>
      <c r="I8489" t="n">
        <v>0</v>
      </c>
      <c r="J8489" t="n">
        <v>0</v>
      </c>
      <c r="K8489" t="n">
        <v>0</v>
      </c>
      <c r="L8489" t="n">
        <v>0</v>
      </c>
      <c r="M8489" t="n">
        <v>0</v>
      </c>
      <c r="N8489" t="n">
        <v>0</v>
      </c>
      <c r="O8489" t="n">
        <v>0</v>
      </c>
      <c r="P8489" t="n">
        <v>0</v>
      </c>
      <c r="Q8489" t="n">
        <v>0</v>
      </c>
      <c r="R8489" s="2" t="inlineStr"/>
    </row>
    <row r="8490" ht="15" customHeight="1">
      <c r="A8490" t="inlineStr">
        <is>
          <t>A 24349-2022</t>
        </is>
      </c>
      <c r="B8490" s="1" t="n">
        <v>44726</v>
      </c>
      <c r="C8490" s="1" t="n">
        <v>45212</v>
      </c>
      <c r="D8490" t="inlineStr">
        <is>
          <t>VÄSTRA GÖTALANDS LÄN</t>
        </is>
      </c>
      <c r="E8490" t="inlineStr">
        <is>
          <t>FALKÖPING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24397-2022</t>
        </is>
      </c>
      <c r="B8491" s="1" t="n">
        <v>44726</v>
      </c>
      <c r="C8491" s="1" t="n">
        <v>45212</v>
      </c>
      <c r="D8491" t="inlineStr">
        <is>
          <t>VÄSTRA GÖTALANDS LÄN</t>
        </is>
      </c>
      <c r="E8491" t="inlineStr">
        <is>
          <t>BORÅS</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24464-2022</t>
        </is>
      </c>
      <c r="B8492" s="1" t="n">
        <v>44726</v>
      </c>
      <c r="C8492" s="1" t="n">
        <v>45212</v>
      </c>
      <c r="D8492" t="inlineStr">
        <is>
          <t>VÄSTRA GÖTALANDS LÄN</t>
        </is>
      </c>
      <c r="E8492" t="inlineStr">
        <is>
          <t>ALINGSÅS</t>
        </is>
      </c>
      <c r="G8492" t="n">
        <v>8.800000000000001</v>
      </c>
      <c r="H8492" t="n">
        <v>0</v>
      </c>
      <c r="I8492" t="n">
        <v>0</v>
      </c>
      <c r="J8492" t="n">
        <v>0</v>
      </c>
      <c r="K8492" t="n">
        <v>0</v>
      </c>
      <c r="L8492" t="n">
        <v>0</v>
      </c>
      <c r="M8492" t="n">
        <v>0</v>
      </c>
      <c r="N8492" t="n">
        <v>0</v>
      </c>
      <c r="O8492" t="n">
        <v>0</v>
      </c>
      <c r="P8492" t="n">
        <v>0</v>
      </c>
      <c r="Q8492" t="n">
        <v>0</v>
      </c>
      <c r="R8492" s="2" t="inlineStr"/>
    </row>
    <row r="8493" ht="15" customHeight="1">
      <c r="A8493" t="inlineStr">
        <is>
          <t>A 24483-2022</t>
        </is>
      </c>
      <c r="B8493" s="1" t="n">
        <v>44726</v>
      </c>
      <c r="C8493" s="1" t="n">
        <v>45212</v>
      </c>
      <c r="D8493" t="inlineStr">
        <is>
          <t>VÄSTRA GÖTALANDS LÄN</t>
        </is>
      </c>
      <c r="E8493" t="inlineStr">
        <is>
          <t>ALINGSÅS</t>
        </is>
      </c>
      <c r="G8493" t="n">
        <v>4.4</v>
      </c>
      <c r="H8493" t="n">
        <v>0</v>
      </c>
      <c r="I8493" t="n">
        <v>0</v>
      </c>
      <c r="J8493" t="n">
        <v>0</v>
      </c>
      <c r="K8493" t="n">
        <v>0</v>
      </c>
      <c r="L8493" t="n">
        <v>0</v>
      </c>
      <c r="M8493" t="n">
        <v>0</v>
      </c>
      <c r="N8493" t="n">
        <v>0</v>
      </c>
      <c r="O8493" t="n">
        <v>0</v>
      </c>
      <c r="P8493" t="n">
        <v>0</v>
      </c>
      <c r="Q8493" t="n">
        <v>0</v>
      </c>
      <c r="R8493" s="2" t="inlineStr"/>
    </row>
    <row r="8494" ht="15" customHeight="1">
      <c r="A8494" t="inlineStr">
        <is>
          <t>A 24392-2022</t>
        </is>
      </c>
      <c r="B8494" s="1" t="n">
        <v>44726</v>
      </c>
      <c r="C8494" s="1" t="n">
        <v>45212</v>
      </c>
      <c r="D8494" t="inlineStr">
        <is>
          <t>VÄSTRA GÖTALANDS LÄN</t>
        </is>
      </c>
      <c r="E8494" t="inlineStr">
        <is>
          <t>SVENLJUNGA</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24424-2022</t>
        </is>
      </c>
      <c r="B8495" s="1" t="n">
        <v>44726</v>
      </c>
      <c r="C8495" s="1" t="n">
        <v>45212</v>
      </c>
      <c r="D8495" t="inlineStr">
        <is>
          <t>VÄSTRA GÖTALANDS LÄN</t>
        </is>
      </c>
      <c r="E8495" t="inlineStr">
        <is>
          <t>TRANEMO</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24443-2022</t>
        </is>
      </c>
      <c r="B8496" s="1" t="n">
        <v>44726</v>
      </c>
      <c r="C8496" s="1" t="n">
        <v>45212</v>
      </c>
      <c r="D8496" t="inlineStr">
        <is>
          <t>VÄSTRA GÖTALANDS LÄN</t>
        </is>
      </c>
      <c r="E8496" t="inlineStr">
        <is>
          <t>ULRICEHAMN</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24432-2022</t>
        </is>
      </c>
      <c r="B8497" s="1" t="n">
        <v>44726</v>
      </c>
      <c r="C8497" s="1" t="n">
        <v>45212</v>
      </c>
      <c r="D8497" t="inlineStr">
        <is>
          <t>VÄSTRA GÖTALANDS LÄN</t>
        </is>
      </c>
      <c r="E8497" t="inlineStr">
        <is>
          <t>TROLLHÄTTAN</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24440-2022</t>
        </is>
      </c>
      <c r="B8498" s="1" t="n">
        <v>44726</v>
      </c>
      <c r="C8498" s="1" t="n">
        <v>45212</v>
      </c>
      <c r="D8498" t="inlineStr">
        <is>
          <t>VÄSTRA GÖTALANDS LÄN</t>
        </is>
      </c>
      <c r="E8498" t="inlineStr">
        <is>
          <t>TÖREBODA</t>
        </is>
      </c>
      <c r="G8498" t="n">
        <v>22.2</v>
      </c>
      <c r="H8498" t="n">
        <v>0</v>
      </c>
      <c r="I8498" t="n">
        <v>0</v>
      </c>
      <c r="J8498" t="n">
        <v>0</v>
      </c>
      <c r="K8498" t="n">
        <v>0</v>
      </c>
      <c r="L8498" t="n">
        <v>0</v>
      </c>
      <c r="M8498" t="n">
        <v>0</v>
      </c>
      <c r="N8498" t="n">
        <v>0</v>
      </c>
      <c r="O8498" t="n">
        <v>0</v>
      </c>
      <c r="P8498" t="n">
        <v>0</v>
      </c>
      <c r="Q8498" t="n">
        <v>0</v>
      </c>
      <c r="R8498" s="2" t="inlineStr"/>
    </row>
    <row r="8499" ht="15" customHeight="1">
      <c r="A8499" t="inlineStr">
        <is>
          <t>A 24637-2022</t>
        </is>
      </c>
      <c r="B8499" s="1" t="n">
        <v>44727</v>
      </c>
      <c r="C8499" s="1" t="n">
        <v>45212</v>
      </c>
      <c r="D8499" t="inlineStr">
        <is>
          <t>VÄSTRA GÖTALANDS LÄN</t>
        </is>
      </c>
      <c r="E8499" t="inlineStr">
        <is>
          <t>BOLLEBYGD</t>
        </is>
      </c>
      <c r="F8499" t="inlineStr">
        <is>
          <t>Kommuner</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24579-2022</t>
        </is>
      </c>
      <c r="B8500" s="1" t="n">
        <v>44727</v>
      </c>
      <c r="C8500" s="1" t="n">
        <v>45212</v>
      </c>
      <c r="D8500" t="inlineStr">
        <is>
          <t>VÄSTRA GÖTALANDS LÄN</t>
        </is>
      </c>
      <c r="E8500" t="inlineStr">
        <is>
          <t>ALINGSÅS</t>
        </is>
      </c>
      <c r="G8500" t="n">
        <v>10.4</v>
      </c>
      <c r="H8500" t="n">
        <v>0</v>
      </c>
      <c r="I8500" t="n">
        <v>0</v>
      </c>
      <c r="J8500" t="n">
        <v>0</v>
      </c>
      <c r="K8500" t="n">
        <v>0</v>
      </c>
      <c r="L8500" t="n">
        <v>0</v>
      </c>
      <c r="M8500" t="n">
        <v>0</v>
      </c>
      <c r="N8500" t="n">
        <v>0</v>
      </c>
      <c r="O8500" t="n">
        <v>0</v>
      </c>
      <c r="P8500" t="n">
        <v>0</v>
      </c>
      <c r="Q8500" t="n">
        <v>0</v>
      </c>
      <c r="R8500" s="2" t="inlineStr"/>
    </row>
    <row r="8501" ht="15" customHeight="1">
      <c r="A8501" t="inlineStr">
        <is>
          <t>A 24607-2022</t>
        </is>
      </c>
      <c r="B8501" s="1" t="n">
        <v>44727</v>
      </c>
      <c r="C8501" s="1" t="n">
        <v>45212</v>
      </c>
      <c r="D8501" t="inlineStr">
        <is>
          <t>VÄSTRA GÖTALANDS LÄN</t>
        </is>
      </c>
      <c r="E8501" t="inlineStr">
        <is>
          <t>ALINGSÅS</t>
        </is>
      </c>
      <c r="G8501" t="n">
        <v>9.5</v>
      </c>
      <c r="H8501" t="n">
        <v>0</v>
      </c>
      <c r="I8501" t="n">
        <v>0</v>
      </c>
      <c r="J8501" t="n">
        <v>0</v>
      </c>
      <c r="K8501" t="n">
        <v>0</v>
      </c>
      <c r="L8501" t="n">
        <v>0</v>
      </c>
      <c r="M8501" t="n">
        <v>0</v>
      </c>
      <c r="N8501" t="n">
        <v>0</v>
      </c>
      <c r="O8501" t="n">
        <v>0</v>
      </c>
      <c r="P8501" t="n">
        <v>0</v>
      </c>
      <c r="Q8501" t="n">
        <v>0</v>
      </c>
      <c r="R8501" s="2" t="inlineStr"/>
    </row>
    <row r="8502" ht="15" customHeight="1">
      <c r="A8502" t="inlineStr">
        <is>
          <t>A 24845-2022</t>
        </is>
      </c>
      <c r="B8502" s="1" t="n">
        <v>44728</v>
      </c>
      <c r="C8502" s="1" t="n">
        <v>45212</v>
      </c>
      <c r="D8502" t="inlineStr">
        <is>
          <t>VÄSTRA GÖTALANDS LÄN</t>
        </is>
      </c>
      <c r="E8502" t="inlineStr">
        <is>
          <t>LERUM</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24860-2022</t>
        </is>
      </c>
      <c r="B8503" s="1" t="n">
        <v>44728</v>
      </c>
      <c r="C8503" s="1" t="n">
        <v>45212</v>
      </c>
      <c r="D8503" t="inlineStr">
        <is>
          <t>VÄSTRA GÖTALANDS LÄN</t>
        </is>
      </c>
      <c r="E8503" t="inlineStr">
        <is>
          <t>BORÅS</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24978-2022</t>
        </is>
      </c>
      <c r="B8504" s="1" t="n">
        <v>44728</v>
      </c>
      <c r="C8504" s="1" t="n">
        <v>45212</v>
      </c>
      <c r="D8504" t="inlineStr">
        <is>
          <t>VÄSTRA GÖTALANDS LÄN</t>
        </is>
      </c>
      <c r="E8504" t="inlineStr">
        <is>
          <t>MELLERUD</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25043-2022</t>
        </is>
      </c>
      <c r="B8505" s="1" t="n">
        <v>44729</v>
      </c>
      <c r="C8505" s="1" t="n">
        <v>45212</v>
      </c>
      <c r="D8505" t="inlineStr">
        <is>
          <t>VÄSTRA GÖTALANDS LÄN</t>
        </is>
      </c>
      <c r="E8505" t="inlineStr">
        <is>
          <t>FALKÖPING</t>
        </is>
      </c>
      <c r="G8505" t="n">
        <v>0.5</v>
      </c>
      <c r="H8505" t="n">
        <v>0</v>
      </c>
      <c r="I8505" t="n">
        <v>0</v>
      </c>
      <c r="J8505" t="n">
        <v>0</v>
      </c>
      <c r="K8505" t="n">
        <v>0</v>
      </c>
      <c r="L8505" t="n">
        <v>0</v>
      </c>
      <c r="M8505" t="n">
        <v>0</v>
      </c>
      <c r="N8505" t="n">
        <v>0</v>
      </c>
      <c r="O8505" t="n">
        <v>0</v>
      </c>
      <c r="P8505" t="n">
        <v>0</v>
      </c>
      <c r="Q8505" t="n">
        <v>0</v>
      </c>
      <c r="R8505" s="2" t="inlineStr"/>
    </row>
    <row r="8506" ht="15" customHeight="1">
      <c r="A8506" t="inlineStr">
        <is>
          <t>A 25137-2022</t>
        </is>
      </c>
      <c r="B8506" s="1" t="n">
        <v>44729</v>
      </c>
      <c r="C8506" s="1" t="n">
        <v>45212</v>
      </c>
      <c r="D8506" t="inlineStr">
        <is>
          <t>VÄSTRA GÖTALANDS LÄN</t>
        </is>
      </c>
      <c r="E8506" t="inlineStr">
        <is>
          <t>BOLLEBYGD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25205-2022</t>
        </is>
      </c>
      <c r="B8507" s="1" t="n">
        <v>44729</v>
      </c>
      <c r="C8507" s="1" t="n">
        <v>45212</v>
      </c>
      <c r="D8507" t="inlineStr">
        <is>
          <t>VÄSTRA GÖTALANDS LÄN</t>
        </is>
      </c>
      <c r="E8507" t="inlineStr">
        <is>
          <t>HJO</t>
        </is>
      </c>
      <c r="F8507" t="inlineStr">
        <is>
          <t>Kommuner</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25368-2022</t>
        </is>
      </c>
      <c r="B8508" s="1" t="n">
        <v>44732</v>
      </c>
      <c r="C8508" s="1" t="n">
        <v>45212</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25497-2022</t>
        </is>
      </c>
      <c r="B8509" s="1" t="n">
        <v>44732</v>
      </c>
      <c r="C8509" s="1" t="n">
        <v>45212</v>
      </c>
      <c r="D8509" t="inlineStr">
        <is>
          <t>VÄSTRA GÖTALANDS LÄN</t>
        </is>
      </c>
      <c r="E8509" t="inlineStr">
        <is>
          <t>MELLERUD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25504-2022</t>
        </is>
      </c>
      <c r="B8510" s="1" t="n">
        <v>44732</v>
      </c>
      <c r="C8510" s="1" t="n">
        <v>45212</v>
      </c>
      <c r="D8510" t="inlineStr">
        <is>
          <t>VÄSTRA GÖTALANDS LÄN</t>
        </is>
      </c>
      <c r="E8510" t="inlineStr">
        <is>
          <t>HÄRRYDA</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25558-2022</t>
        </is>
      </c>
      <c r="B8511" s="1" t="n">
        <v>44732</v>
      </c>
      <c r="C8511" s="1" t="n">
        <v>45212</v>
      </c>
      <c r="D8511" t="inlineStr">
        <is>
          <t>VÄSTRA GÖTALANDS LÄN</t>
        </is>
      </c>
      <c r="E8511" t="inlineStr">
        <is>
          <t>ULRICEHAMN</t>
        </is>
      </c>
      <c r="G8511" t="n">
        <v>2</v>
      </c>
      <c r="H8511" t="n">
        <v>0</v>
      </c>
      <c r="I8511" t="n">
        <v>0</v>
      </c>
      <c r="J8511" t="n">
        <v>0</v>
      </c>
      <c r="K8511" t="n">
        <v>0</v>
      </c>
      <c r="L8511" t="n">
        <v>0</v>
      </c>
      <c r="M8511" t="n">
        <v>0</v>
      </c>
      <c r="N8511" t="n">
        <v>0</v>
      </c>
      <c r="O8511" t="n">
        <v>0</v>
      </c>
      <c r="P8511" t="n">
        <v>0</v>
      </c>
      <c r="Q8511" t="n">
        <v>0</v>
      </c>
      <c r="R8511" s="2" t="inlineStr"/>
    </row>
    <row r="8512" ht="15" customHeight="1">
      <c r="A8512" t="inlineStr">
        <is>
          <t>A 25564-2022</t>
        </is>
      </c>
      <c r="B8512" s="1" t="n">
        <v>44732</v>
      </c>
      <c r="C8512" s="1" t="n">
        <v>45212</v>
      </c>
      <c r="D8512" t="inlineStr">
        <is>
          <t>VÄSTRA GÖTALANDS LÄN</t>
        </is>
      </c>
      <c r="E8512" t="inlineStr">
        <is>
          <t>MARK</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25560-2022</t>
        </is>
      </c>
      <c r="B8513" s="1" t="n">
        <v>44732</v>
      </c>
      <c r="C8513" s="1" t="n">
        <v>45212</v>
      </c>
      <c r="D8513" t="inlineStr">
        <is>
          <t>VÄSTRA GÖTALANDS LÄN</t>
        </is>
      </c>
      <c r="E8513" t="inlineStr">
        <is>
          <t>MARK</t>
        </is>
      </c>
      <c r="G8513" t="n">
        <v>1.1</v>
      </c>
      <c r="H8513" t="n">
        <v>0</v>
      </c>
      <c r="I8513" t="n">
        <v>0</v>
      </c>
      <c r="J8513" t="n">
        <v>0</v>
      </c>
      <c r="K8513" t="n">
        <v>0</v>
      </c>
      <c r="L8513" t="n">
        <v>0</v>
      </c>
      <c r="M8513" t="n">
        <v>0</v>
      </c>
      <c r="N8513" t="n">
        <v>0</v>
      </c>
      <c r="O8513" t="n">
        <v>0</v>
      </c>
      <c r="P8513" t="n">
        <v>0</v>
      </c>
      <c r="Q8513" t="n">
        <v>0</v>
      </c>
      <c r="R8513" s="2" t="inlineStr"/>
    </row>
    <row r="8514" ht="15" customHeight="1">
      <c r="A8514" t="inlineStr">
        <is>
          <t>A 25762-2022</t>
        </is>
      </c>
      <c r="B8514" s="1" t="n">
        <v>44733</v>
      </c>
      <c r="C8514" s="1" t="n">
        <v>45212</v>
      </c>
      <c r="D8514" t="inlineStr">
        <is>
          <t>VÄSTRA GÖTALANDS LÄN</t>
        </is>
      </c>
      <c r="E8514" t="inlineStr">
        <is>
          <t>DALS-ED</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25811-2022</t>
        </is>
      </c>
      <c r="B8515" s="1" t="n">
        <v>44733</v>
      </c>
      <c r="C8515" s="1" t="n">
        <v>45212</v>
      </c>
      <c r="D8515" t="inlineStr">
        <is>
          <t>VÄSTRA GÖTALANDS LÄN</t>
        </is>
      </c>
      <c r="E8515" t="inlineStr">
        <is>
          <t>UDDEVALLA</t>
        </is>
      </c>
      <c r="G8515" t="n">
        <v>4.2</v>
      </c>
      <c r="H8515" t="n">
        <v>0</v>
      </c>
      <c r="I8515" t="n">
        <v>0</v>
      </c>
      <c r="J8515" t="n">
        <v>0</v>
      </c>
      <c r="K8515" t="n">
        <v>0</v>
      </c>
      <c r="L8515" t="n">
        <v>0</v>
      </c>
      <c r="M8515" t="n">
        <v>0</v>
      </c>
      <c r="N8515" t="n">
        <v>0</v>
      </c>
      <c r="O8515" t="n">
        <v>0</v>
      </c>
      <c r="P8515" t="n">
        <v>0</v>
      </c>
      <c r="Q8515" t="n">
        <v>0</v>
      </c>
      <c r="R8515" s="2" t="inlineStr"/>
    </row>
    <row r="8516" ht="15" customHeight="1">
      <c r="A8516" t="inlineStr">
        <is>
          <t>A 25870-2022</t>
        </is>
      </c>
      <c r="B8516" s="1" t="n">
        <v>44733</v>
      </c>
      <c r="C8516" s="1" t="n">
        <v>45212</v>
      </c>
      <c r="D8516" t="inlineStr">
        <is>
          <t>VÄSTRA GÖTALANDS LÄN</t>
        </is>
      </c>
      <c r="E8516" t="inlineStr">
        <is>
          <t>MARK</t>
        </is>
      </c>
      <c r="G8516" t="n">
        <v>3.3</v>
      </c>
      <c r="H8516" t="n">
        <v>0</v>
      </c>
      <c r="I8516" t="n">
        <v>0</v>
      </c>
      <c r="J8516" t="n">
        <v>0</v>
      </c>
      <c r="K8516" t="n">
        <v>0</v>
      </c>
      <c r="L8516" t="n">
        <v>0</v>
      </c>
      <c r="M8516" t="n">
        <v>0</v>
      </c>
      <c r="N8516" t="n">
        <v>0</v>
      </c>
      <c r="O8516" t="n">
        <v>0</v>
      </c>
      <c r="P8516" t="n">
        <v>0</v>
      </c>
      <c r="Q8516" t="n">
        <v>0</v>
      </c>
      <c r="R8516" s="2" t="inlineStr"/>
    </row>
    <row r="8517" ht="15" customHeight="1">
      <c r="A8517" t="inlineStr">
        <is>
          <t>A 25726-2022</t>
        </is>
      </c>
      <c r="B8517" s="1" t="n">
        <v>44733</v>
      </c>
      <c r="C8517" s="1" t="n">
        <v>45212</v>
      </c>
      <c r="D8517" t="inlineStr">
        <is>
          <t>VÄSTRA GÖTALANDS LÄN</t>
        </is>
      </c>
      <c r="E8517" t="inlineStr">
        <is>
          <t>HÄRRYDA</t>
        </is>
      </c>
      <c r="G8517" t="n">
        <v>2.8</v>
      </c>
      <c r="H8517" t="n">
        <v>0</v>
      </c>
      <c r="I8517" t="n">
        <v>0</v>
      </c>
      <c r="J8517" t="n">
        <v>0</v>
      </c>
      <c r="K8517" t="n">
        <v>0</v>
      </c>
      <c r="L8517" t="n">
        <v>0</v>
      </c>
      <c r="M8517" t="n">
        <v>0</v>
      </c>
      <c r="N8517" t="n">
        <v>0</v>
      </c>
      <c r="O8517" t="n">
        <v>0</v>
      </c>
      <c r="P8517" t="n">
        <v>0</v>
      </c>
      <c r="Q8517" t="n">
        <v>0</v>
      </c>
      <c r="R8517" s="2" t="inlineStr"/>
    </row>
    <row r="8518" ht="15" customHeight="1">
      <c r="A8518" t="inlineStr">
        <is>
          <t>A 25813-2022</t>
        </is>
      </c>
      <c r="B8518" s="1" t="n">
        <v>44733</v>
      </c>
      <c r="C8518" s="1" t="n">
        <v>45212</v>
      </c>
      <c r="D8518" t="inlineStr">
        <is>
          <t>VÄSTRA GÖTALANDS LÄN</t>
        </is>
      </c>
      <c r="E8518" t="inlineStr">
        <is>
          <t>UDDEVALLA</t>
        </is>
      </c>
      <c r="G8518" t="n">
        <v>7.2</v>
      </c>
      <c r="H8518" t="n">
        <v>0</v>
      </c>
      <c r="I8518" t="n">
        <v>0</v>
      </c>
      <c r="J8518" t="n">
        <v>0</v>
      </c>
      <c r="K8518" t="n">
        <v>0</v>
      </c>
      <c r="L8518" t="n">
        <v>0</v>
      </c>
      <c r="M8518" t="n">
        <v>0</v>
      </c>
      <c r="N8518" t="n">
        <v>0</v>
      </c>
      <c r="O8518" t="n">
        <v>0</v>
      </c>
      <c r="P8518" t="n">
        <v>0</v>
      </c>
      <c r="Q8518" t="n">
        <v>0</v>
      </c>
      <c r="R8518" s="2" t="inlineStr"/>
    </row>
    <row r="8519" ht="15" customHeight="1">
      <c r="A8519" t="inlineStr">
        <is>
          <t>A 25830-2022</t>
        </is>
      </c>
      <c r="B8519" s="1" t="n">
        <v>44733</v>
      </c>
      <c r="C8519" s="1" t="n">
        <v>45212</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25845-2022</t>
        </is>
      </c>
      <c r="B8520" s="1" t="n">
        <v>44733</v>
      </c>
      <c r="C8520" s="1" t="n">
        <v>45212</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25886-2022</t>
        </is>
      </c>
      <c r="B8521" s="1" t="n">
        <v>44733</v>
      </c>
      <c r="C8521" s="1" t="n">
        <v>45212</v>
      </c>
      <c r="D8521" t="inlineStr">
        <is>
          <t>VÄSTRA GÖTALANDS LÄN</t>
        </is>
      </c>
      <c r="E8521" t="inlineStr">
        <is>
          <t>MARK</t>
        </is>
      </c>
      <c r="G8521" t="n">
        <v>0.7</v>
      </c>
      <c r="H8521" t="n">
        <v>0</v>
      </c>
      <c r="I8521" t="n">
        <v>0</v>
      </c>
      <c r="J8521" t="n">
        <v>0</v>
      </c>
      <c r="K8521" t="n">
        <v>0</v>
      </c>
      <c r="L8521" t="n">
        <v>0</v>
      </c>
      <c r="M8521" t="n">
        <v>0</v>
      </c>
      <c r="N8521" t="n">
        <v>0</v>
      </c>
      <c r="O8521" t="n">
        <v>0</v>
      </c>
      <c r="P8521" t="n">
        <v>0</v>
      </c>
      <c r="Q8521" t="n">
        <v>0</v>
      </c>
      <c r="R8521" s="2" t="inlineStr"/>
    </row>
    <row r="8522" ht="15" customHeight="1">
      <c r="A8522" t="inlineStr">
        <is>
          <t>A 25849-2022</t>
        </is>
      </c>
      <c r="B8522" s="1" t="n">
        <v>44733</v>
      </c>
      <c r="C8522" s="1" t="n">
        <v>45212</v>
      </c>
      <c r="D8522" t="inlineStr">
        <is>
          <t>VÄSTRA GÖTALANDS LÄN</t>
        </is>
      </c>
      <c r="E8522" t="inlineStr">
        <is>
          <t>ÅMÅL</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25913-2022</t>
        </is>
      </c>
      <c r="B8523" s="1" t="n">
        <v>44734</v>
      </c>
      <c r="C8523" s="1" t="n">
        <v>45212</v>
      </c>
      <c r="D8523" t="inlineStr">
        <is>
          <t>VÄSTRA GÖTALANDS LÄN</t>
        </is>
      </c>
      <c r="E8523" t="inlineStr">
        <is>
          <t>TRANEMO</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25943-2022</t>
        </is>
      </c>
      <c r="B8524" s="1" t="n">
        <v>44734</v>
      </c>
      <c r="C8524" s="1" t="n">
        <v>45212</v>
      </c>
      <c r="D8524" t="inlineStr">
        <is>
          <t>VÄSTRA GÖTALANDS LÄN</t>
        </is>
      </c>
      <c r="E8524" t="inlineStr">
        <is>
          <t>TIBRO</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26251-2022</t>
        </is>
      </c>
      <c r="B8525" s="1" t="n">
        <v>44734</v>
      </c>
      <c r="C8525" s="1" t="n">
        <v>45212</v>
      </c>
      <c r="D8525" t="inlineStr">
        <is>
          <t>VÄSTRA GÖTALANDS LÄN</t>
        </is>
      </c>
      <c r="E8525" t="inlineStr">
        <is>
          <t>MUNKEDAL</t>
        </is>
      </c>
      <c r="F8525" t="inlineStr">
        <is>
          <t>Övriga Aktiebolag</t>
        </is>
      </c>
      <c r="G8525" t="n">
        <v>2.3</v>
      </c>
      <c r="H8525" t="n">
        <v>0</v>
      </c>
      <c r="I8525" t="n">
        <v>0</v>
      </c>
      <c r="J8525" t="n">
        <v>0</v>
      </c>
      <c r="K8525" t="n">
        <v>0</v>
      </c>
      <c r="L8525" t="n">
        <v>0</v>
      </c>
      <c r="M8525" t="n">
        <v>0</v>
      </c>
      <c r="N8525" t="n">
        <v>0</v>
      </c>
      <c r="O8525" t="n">
        <v>0</v>
      </c>
      <c r="P8525" t="n">
        <v>0</v>
      </c>
      <c r="Q8525" t="n">
        <v>0</v>
      </c>
      <c r="R8525" s="2" t="inlineStr"/>
    </row>
    <row r="8526" ht="15" customHeight="1">
      <c r="A8526" t="inlineStr">
        <is>
          <t>A 25911-2022</t>
        </is>
      </c>
      <c r="B8526" s="1" t="n">
        <v>44734</v>
      </c>
      <c r="C8526" s="1" t="n">
        <v>45212</v>
      </c>
      <c r="D8526" t="inlineStr">
        <is>
          <t>VÄSTRA GÖTALANDS LÄN</t>
        </is>
      </c>
      <c r="E8526" t="inlineStr">
        <is>
          <t>MARK</t>
        </is>
      </c>
      <c r="G8526" t="n">
        <v>2.2</v>
      </c>
      <c r="H8526" t="n">
        <v>0</v>
      </c>
      <c r="I8526" t="n">
        <v>0</v>
      </c>
      <c r="J8526" t="n">
        <v>0</v>
      </c>
      <c r="K8526" t="n">
        <v>0</v>
      </c>
      <c r="L8526" t="n">
        <v>0</v>
      </c>
      <c r="M8526" t="n">
        <v>0</v>
      </c>
      <c r="N8526" t="n">
        <v>0</v>
      </c>
      <c r="O8526" t="n">
        <v>0</v>
      </c>
      <c r="P8526" t="n">
        <v>0</v>
      </c>
      <c r="Q8526" t="n">
        <v>0</v>
      </c>
      <c r="R8526" s="2" t="inlineStr"/>
    </row>
    <row r="8527" ht="15" customHeight="1">
      <c r="A8527" t="inlineStr">
        <is>
          <t>A 26088-2022</t>
        </is>
      </c>
      <c r="B8527" s="1" t="n">
        <v>44734</v>
      </c>
      <c r="C8527" s="1" t="n">
        <v>45212</v>
      </c>
      <c r="D8527" t="inlineStr">
        <is>
          <t>VÄSTRA GÖTALANDS LÄN</t>
        </is>
      </c>
      <c r="E8527" t="inlineStr">
        <is>
          <t>BORÅS</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26357-2022</t>
        </is>
      </c>
      <c r="B8528" s="1" t="n">
        <v>44735</v>
      </c>
      <c r="C8528" s="1" t="n">
        <v>45212</v>
      </c>
      <c r="D8528" t="inlineStr">
        <is>
          <t>VÄSTRA GÖTALANDS LÄN</t>
        </is>
      </c>
      <c r="E8528" t="inlineStr">
        <is>
          <t>TRANEMO</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26234-2022</t>
        </is>
      </c>
      <c r="B8529" s="1" t="n">
        <v>44735</v>
      </c>
      <c r="C8529" s="1" t="n">
        <v>45212</v>
      </c>
      <c r="D8529" t="inlineStr">
        <is>
          <t>VÄSTRA GÖTALANDS LÄN</t>
        </is>
      </c>
      <c r="E8529" t="inlineStr">
        <is>
          <t>DALS-ED</t>
        </is>
      </c>
      <c r="G8529" t="n">
        <v>1.8</v>
      </c>
      <c r="H8529" t="n">
        <v>0</v>
      </c>
      <c r="I8529" t="n">
        <v>0</v>
      </c>
      <c r="J8529" t="n">
        <v>0</v>
      </c>
      <c r="K8529" t="n">
        <v>0</v>
      </c>
      <c r="L8529" t="n">
        <v>0</v>
      </c>
      <c r="M8529" t="n">
        <v>0</v>
      </c>
      <c r="N8529" t="n">
        <v>0</v>
      </c>
      <c r="O8529" t="n">
        <v>0</v>
      </c>
      <c r="P8529" t="n">
        <v>0</v>
      </c>
      <c r="Q8529" t="n">
        <v>0</v>
      </c>
      <c r="R8529" s="2" t="inlineStr"/>
    </row>
    <row r="8530" ht="15" customHeight="1">
      <c r="A8530" t="inlineStr">
        <is>
          <t>A 26333-2022</t>
        </is>
      </c>
      <c r="B8530" s="1" t="n">
        <v>44735</v>
      </c>
      <c r="C8530" s="1" t="n">
        <v>45212</v>
      </c>
      <c r="D8530" t="inlineStr">
        <is>
          <t>VÄSTRA GÖTALANDS LÄN</t>
        </is>
      </c>
      <c r="E8530" t="inlineStr">
        <is>
          <t>GULLSPÅNG</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26345-2022</t>
        </is>
      </c>
      <c r="B8531" s="1" t="n">
        <v>44735</v>
      </c>
      <c r="C8531" s="1" t="n">
        <v>45212</v>
      </c>
      <c r="D8531" t="inlineStr">
        <is>
          <t>VÄSTRA GÖTALANDS LÄN</t>
        </is>
      </c>
      <c r="E8531" t="inlineStr">
        <is>
          <t>LERUM</t>
        </is>
      </c>
      <c r="G8531" t="n">
        <v>1.9</v>
      </c>
      <c r="H8531" t="n">
        <v>0</v>
      </c>
      <c r="I8531" t="n">
        <v>0</v>
      </c>
      <c r="J8531" t="n">
        <v>0</v>
      </c>
      <c r="K8531" t="n">
        <v>0</v>
      </c>
      <c r="L8531" t="n">
        <v>0</v>
      </c>
      <c r="M8531" t="n">
        <v>0</v>
      </c>
      <c r="N8531" t="n">
        <v>0</v>
      </c>
      <c r="O8531" t="n">
        <v>0</v>
      </c>
      <c r="P8531" t="n">
        <v>0</v>
      </c>
      <c r="Q8531" t="n">
        <v>0</v>
      </c>
      <c r="R8531" s="2" t="inlineStr"/>
    </row>
    <row r="8532" ht="15" customHeight="1">
      <c r="A8532" t="inlineStr">
        <is>
          <t>A 26187-2022</t>
        </is>
      </c>
      <c r="B8532" s="1" t="n">
        <v>44735</v>
      </c>
      <c r="C8532" s="1" t="n">
        <v>45212</v>
      </c>
      <c r="D8532" t="inlineStr">
        <is>
          <t>VÄSTRA GÖTALANDS LÄN</t>
        </is>
      </c>
      <c r="E8532" t="inlineStr">
        <is>
          <t>TANUM</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26441-2022</t>
        </is>
      </c>
      <c r="B8533" s="1" t="n">
        <v>44738</v>
      </c>
      <c r="C8533" s="1" t="n">
        <v>45212</v>
      </c>
      <c r="D8533" t="inlineStr">
        <is>
          <t>VÄSTRA GÖTALANDS LÄN</t>
        </is>
      </c>
      <c r="E8533" t="inlineStr">
        <is>
          <t>GULLSPÅNG</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26632-2022</t>
        </is>
      </c>
      <c r="B8534" s="1" t="n">
        <v>44739</v>
      </c>
      <c r="C8534" s="1" t="n">
        <v>45212</v>
      </c>
      <c r="D8534" t="inlineStr">
        <is>
          <t>VÄSTRA GÖTALANDS LÄN</t>
        </is>
      </c>
      <c r="E8534" t="inlineStr">
        <is>
          <t>MUNKEDAL</t>
        </is>
      </c>
      <c r="G8534" t="n">
        <v>2.6</v>
      </c>
      <c r="H8534" t="n">
        <v>0</v>
      </c>
      <c r="I8534" t="n">
        <v>0</v>
      </c>
      <c r="J8534" t="n">
        <v>0</v>
      </c>
      <c r="K8534" t="n">
        <v>0</v>
      </c>
      <c r="L8534" t="n">
        <v>0</v>
      </c>
      <c r="M8534" t="n">
        <v>0</v>
      </c>
      <c r="N8534" t="n">
        <v>0</v>
      </c>
      <c r="O8534" t="n">
        <v>0</v>
      </c>
      <c r="P8534" t="n">
        <v>0</v>
      </c>
      <c r="Q8534" t="n">
        <v>0</v>
      </c>
      <c r="R8534" s="2" t="inlineStr"/>
    </row>
    <row r="8535" ht="15" customHeight="1">
      <c r="A8535" t="inlineStr">
        <is>
          <t>A 26688-2022</t>
        </is>
      </c>
      <c r="B8535" s="1" t="n">
        <v>44739</v>
      </c>
      <c r="C8535" s="1" t="n">
        <v>45212</v>
      </c>
      <c r="D8535" t="inlineStr">
        <is>
          <t>VÄSTRA GÖTALANDS LÄN</t>
        </is>
      </c>
      <c r="E8535" t="inlineStr">
        <is>
          <t>MARIESTAD</t>
        </is>
      </c>
      <c r="F8535" t="inlineStr">
        <is>
          <t>Kommuner</t>
        </is>
      </c>
      <c r="G8535" t="n">
        <v>1</v>
      </c>
      <c r="H8535" t="n">
        <v>0</v>
      </c>
      <c r="I8535" t="n">
        <v>0</v>
      </c>
      <c r="J8535" t="n">
        <v>0</v>
      </c>
      <c r="K8535" t="n">
        <v>0</v>
      </c>
      <c r="L8535" t="n">
        <v>0</v>
      </c>
      <c r="M8535" t="n">
        <v>0</v>
      </c>
      <c r="N8535" t="n">
        <v>0</v>
      </c>
      <c r="O8535" t="n">
        <v>0</v>
      </c>
      <c r="P8535" t="n">
        <v>0</v>
      </c>
      <c r="Q8535" t="n">
        <v>0</v>
      </c>
      <c r="R8535" s="2" t="inlineStr"/>
    </row>
    <row r="8536" ht="15" customHeight="1">
      <c r="A8536" t="inlineStr">
        <is>
          <t>A 26544-2022</t>
        </is>
      </c>
      <c r="B8536" s="1" t="n">
        <v>44739</v>
      </c>
      <c r="C8536" s="1" t="n">
        <v>45212</v>
      </c>
      <c r="D8536" t="inlineStr">
        <is>
          <t>VÄSTRA GÖTALANDS LÄN</t>
        </is>
      </c>
      <c r="E8536" t="inlineStr">
        <is>
          <t>FALKÖPING</t>
        </is>
      </c>
      <c r="G8536" t="n">
        <v>0.3</v>
      </c>
      <c r="H8536" t="n">
        <v>0</v>
      </c>
      <c r="I8536" t="n">
        <v>0</v>
      </c>
      <c r="J8536" t="n">
        <v>0</v>
      </c>
      <c r="K8536" t="n">
        <v>0</v>
      </c>
      <c r="L8536" t="n">
        <v>0</v>
      </c>
      <c r="M8536" t="n">
        <v>0</v>
      </c>
      <c r="N8536" t="n">
        <v>0</v>
      </c>
      <c r="O8536" t="n">
        <v>0</v>
      </c>
      <c r="P8536" t="n">
        <v>0</v>
      </c>
      <c r="Q8536" t="n">
        <v>0</v>
      </c>
      <c r="R8536" s="2" t="inlineStr"/>
    </row>
    <row r="8537" ht="15" customHeight="1">
      <c r="A8537" t="inlineStr">
        <is>
          <t>A 26836-2022</t>
        </is>
      </c>
      <c r="B8537" s="1" t="n">
        <v>44740</v>
      </c>
      <c r="C8537" s="1" t="n">
        <v>45212</v>
      </c>
      <c r="D8537" t="inlineStr">
        <is>
          <t>VÄSTRA GÖTALANDS LÄN</t>
        </is>
      </c>
      <c r="E8537" t="inlineStr">
        <is>
          <t>SKÖVDE</t>
        </is>
      </c>
      <c r="G8537" t="n">
        <v>1.4</v>
      </c>
      <c r="H8537" t="n">
        <v>0</v>
      </c>
      <c r="I8537" t="n">
        <v>0</v>
      </c>
      <c r="J8537" t="n">
        <v>0</v>
      </c>
      <c r="K8537" t="n">
        <v>0</v>
      </c>
      <c r="L8537" t="n">
        <v>0</v>
      </c>
      <c r="M8537" t="n">
        <v>0</v>
      </c>
      <c r="N8537" t="n">
        <v>0</v>
      </c>
      <c r="O8537" t="n">
        <v>0</v>
      </c>
      <c r="P8537" t="n">
        <v>0</v>
      </c>
      <c r="Q8537" t="n">
        <v>0</v>
      </c>
      <c r="R8537" s="2" t="inlineStr"/>
    </row>
    <row r="8538" ht="15" customHeight="1">
      <c r="A8538" t="inlineStr">
        <is>
          <t>A 27038-2022</t>
        </is>
      </c>
      <c r="B8538" s="1" t="n">
        <v>44740</v>
      </c>
      <c r="C8538" s="1" t="n">
        <v>45212</v>
      </c>
      <c r="D8538" t="inlineStr">
        <is>
          <t>VÄSTRA GÖTALANDS LÄN</t>
        </is>
      </c>
      <c r="E8538" t="inlineStr">
        <is>
          <t>BORÅS</t>
        </is>
      </c>
      <c r="G8538" t="n">
        <v>1.2</v>
      </c>
      <c r="H8538" t="n">
        <v>0</v>
      </c>
      <c r="I8538" t="n">
        <v>0</v>
      </c>
      <c r="J8538" t="n">
        <v>0</v>
      </c>
      <c r="K8538" t="n">
        <v>0</v>
      </c>
      <c r="L8538" t="n">
        <v>0</v>
      </c>
      <c r="M8538" t="n">
        <v>0</v>
      </c>
      <c r="N8538" t="n">
        <v>0</v>
      </c>
      <c r="O8538" t="n">
        <v>0</v>
      </c>
      <c r="P8538" t="n">
        <v>0</v>
      </c>
      <c r="Q8538" t="n">
        <v>0</v>
      </c>
      <c r="R8538" s="2" t="inlineStr"/>
    </row>
    <row r="8539" ht="15" customHeight="1">
      <c r="A8539" t="inlineStr">
        <is>
          <t>A 26891-2022</t>
        </is>
      </c>
      <c r="B8539" s="1" t="n">
        <v>44740</v>
      </c>
      <c r="C8539" s="1" t="n">
        <v>45212</v>
      </c>
      <c r="D8539" t="inlineStr">
        <is>
          <t>VÄSTRA GÖTALANDS LÄN</t>
        </is>
      </c>
      <c r="E8539" t="inlineStr">
        <is>
          <t>ALINGSÅS</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26926-2022</t>
        </is>
      </c>
      <c r="B8540" s="1" t="n">
        <v>44740</v>
      </c>
      <c r="C8540" s="1" t="n">
        <v>45212</v>
      </c>
      <c r="D8540" t="inlineStr">
        <is>
          <t>VÄSTRA GÖTALANDS LÄN</t>
        </is>
      </c>
      <c r="E8540" t="inlineStr">
        <is>
          <t>STRÖMSTAD</t>
        </is>
      </c>
      <c r="G8540" t="n">
        <v>2.3</v>
      </c>
      <c r="H8540" t="n">
        <v>0</v>
      </c>
      <c r="I8540" t="n">
        <v>0</v>
      </c>
      <c r="J8540" t="n">
        <v>0</v>
      </c>
      <c r="K8540" t="n">
        <v>0</v>
      </c>
      <c r="L8540" t="n">
        <v>0</v>
      </c>
      <c r="M8540" t="n">
        <v>0</v>
      </c>
      <c r="N8540" t="n">
        <v>0</v>
      </c>
      <c r="O8540" t="n">
        <v>0</v>
      </c>
      <c r="P8540" t="n">
        <v>0</v>
      </c>
      <c r="Q8540" t="n">
        <v>0</v>
      </c>
      <c r="R8540" s="2" t="inlineStr"/>
    </row>
    <row r="8541" ht="15" customHeight="1">
      <c r="A8541" t="inlineStr">
        <is>
          <t>A 27039-2022</t>
        </is>
      </c>
      <c r="B8541" s="1" t="n">
        <v>44740</v>
      </c>
      <c r="C8541" s="1" t="n">
        <v>45212</v>
      </c>
      <c r="D8541" t="inlineStr">
        <is>
          <t>VÄSTRA GÖTALANDS LÄN</t>
        </is>
      </c>
      <c r="E8541" t="inlineStr">
        <is>
          <t>BORÅS</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27117-2022</t>
        </is>
      </c>
      <c r="B8542" s="1" t="n">
        <v>44741</v>
      </c>
      <c r="C8542" s="1" t="n">
        <v>45212</v>
      </c>
      <c r="D8542" t="inlineStr">
        <is>
          <t>VÄSTRA GÖTALANDS LÄN</t>
        </is>
      </c>
      <c r="E8542" t="inlineStr">
        <is>
          <t>LIDKÖPING</t>
        </is>
      </c>
      <c r="G8542" t="n">
        <v>4.4</v>
      </c>
      <c r="H8542" t="n">
        <v>0</v>
      </c>
      <c r="I8542" t="n">
        <v>0</v>
      </c>
      <c r="J8542" t="n">
        <v>0</v>
      </c>
      <c r="K8542" t="n">
        <v>0</v>
      </c>
      <c r="L8542" t="n">
        <v>0</v>
      </c>
      <c r="M8542" t="n">
        <v>0</v>
      </c>
      <c r="N8542" t="n">
        <v>0</v>
      </c>
      <c r="O8542" t="n">
        <v>0</v>
      </c>
      <c r="P8542" t="n">
        <v>0</v>
      </c>
      <c r="Q8542" t="n">
        <v>0</v>
      </c>
      <c r="R8542" s="2" t="inlineStr"/>
    </row>
    <row r="8543" ht="15" customHeight="1">
      <c r="A8543" t="inlineStr">
        <is>
          <t>A 27046-2022</t>
        </is>
      </c>
      <c r="B8543" s="1" t="n">
        <v>44741</v>
      </c>
      <c r="C8543" s="1" t="n">
        <v>45212</v>
      </c>
      <c r="D8543" t="inlineStr">
        <is>
          <t>VÄSTRA GÖTALANDS LÄN</t>
        </is>
      </c>
      <c r="E8543" t="inlineStr">
        <is>
          <t>ULRICEHAMN</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27243-2022</t>
        </is>
      </c>
      <c r="B8544" s="1" t="n">
        <v>44741</v>
      </c>
      <c r="C8544" s="1" t="n">
        <v>45212</v>
      </c>
      <c r="D8544" t="inlineStr">
        <is>
          <t>VÄSTRA GÖTALANDS LÄN</t>
        </is>
      </c>
      <c r="E8544" t="inlineStr">
        <is>
          <t>TIDAHOLM</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27510-2022</t>
        </is>
      </c>
      <c r="B8545" s="1" t="n">
        <v>44742</v>
      </c>
      <c r="C8545" s="1" t="n">
        <v>45212</v>
      </c>
      <c r="D8545" t="inlineStr">
        <is>
          <t>VÄSTRA GÖTALANDS LÄN</t>
        </is>
      </c>
      <c r="E8545" t="inlineStr">
        <is>
          <t>ULRICEHAMN</t>
        </is>
      </c>
      <c r="G8545" t="n">
        <v>3.1</v>
      </c>
      <c r="H8545" t="n">
        <v>0</v>
      </c>
      <c r="I8545" t="n">
        <v>0</v>
      </c>
      <c r="J8545" t="n">
        <v>0</v>
      </c>
      <c r="K8545" t="n">
        <v>0</v>
      </c>
      <c r="L8545" t="n">
        <v>0</v>
      </c>
      <c r="M8545" t="n">
        <v>0</v>
      </c>
      <c r="N8545" t="n">
        <v>0</v>
      </c>
      <c r="O8545" t="n">
        <v>0</v>
      </c>
      <c r="P8545" t="n">
        <v>0</v>
      </c>
      <c r="Q8545" t="n">
        <v>0</v>
      </c>
      <c r="R8545" s="2" t="inlineStr"/>
    </row>
    <row r="8546" ht="15" customHeight="1">
      <c r="A8546" t="inlineStr">
        <is>
          <t>A 27564-2022</t>
        </is>
      </c>
      <c r="B8546" s="1" t="n">
        <v>44742</v>
      </c>
      <c r="C8546" s="1" t="n">
        <v>45212</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27566-2022</t>
        </is>
      </c>
      <c r="B8547" s="1" t="n">
        <v>44742</v>
      </c>
      <c r="C8547" s="1" t="n">
        <v>45212</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27652-2022</t>
        </is>
      </c>
      <c r="B8548" s="1" t="n">
        <v>44743</v>
      </c>
      <c r="C8548" s="1" t="n">
        <v>45212</v>
      </c>
      <c r="D8548" t="inlineStr">
        <is>
          <t>VÄSTRA GÖTALANDS LÄN</t>
        </is>
      </c>
      <c r="E8548" t="inlineStr">
        <is>
          <t>TROLLHÄTTAN</t>
        </is>
      </c>
      <c r="G8548" t="n">
        <v>9.1</v>
      </c>
      <c r="H8548" t="n">
        <v>0</v>
      </c>
      <c r="I8548" t="n">
        <v>0</v>
      </c>
      <c r="J8548" t="n">
        <v>0</v>
      </c>
      <c r="K8548" t="n">
        <v>0</v>
      </c>
      <c r="L8548" t="n">
        <v>0</v>
      </c>
      <c r="M8548" t="n">
        <v>0</v>
      </c>
      <c r="N8548" t="n">
        <v>0</v>
      </c>
      <c r="O8548" t="n">
        <v>0</v>
      </c>
      <c r="P8548" t="n">
        <v>0</v>
      </c>
      <c r="Q8548" t="n">
        <v>0</v>
      </c>
      <c r="R8548" s="2" t="inlineStr"/>
    </row>
    <row r="8549" ht="15" customHeight="1">
      <c r="A8549" t="inlineStr">
        <is>
          <t>A 27668-2022</t>
        </is>
      </c>
      <c r="B8549" s="1" t="n">
        <v>44743</v>
      </c>
      <c r="C8549" s="1" t="n">
        <v>45212</v>
      </c>
      <c r="D8549" t="inlineStr">
        <is>
          <t>VÄSTRA GÖTALANDS LÄN</t>
        </is>
      </c>
      <c r="E8549" t="inlineStr">
        <is>
          <t>SKARA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27893-2022</t>
        </is>
      </c>
      <c r="B8550" s="1" t="n">
        <v>44743</v>
      </c>
      <c r="C8550" s="1" t="n">
        <v>45212</v>
      </c>
      <c r="D8550" t="inlineStr">
        <is>
          <t>VÄSTRA GÖTALANDS LÄN</t>
        </is>
      </c>
      <c r="E8550" t="inlineStr">
        <is>
          <t>HERRLJUNGA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27796-2022</t>
        </is>
      </c>
      <c r="B8551" s="1" t="n">
        <v>44743</v>
      </c>
      <c r="C8551" s="1" t="n">
        <v>45212</v>
      </c>
      <c r="D8551" t="inlineStr">
        <is>
          <t>VÄSTRA GÖTALANDS LÄN</t>
        </is>
      </c>
      <c r="E8551" t="inlineStr">
        <is>
          <t>DALS-ED</t>
        </is>
      </c>
      <c r="G8551" t="n">
        <v>5.1</v>
      </c>
      <c r="H8551" t="n">
        <v>0</v>
      </c>
      <c r="I8551" t="n">
        <v>0</v>
      </c>
      <c r="J8551" t="n">
        <v>0</v>
      </c>
      <c r="K8551" t="n">
        <v>0</v>
      </c>
      <c r="L8551" t="n">
        <v>0</v>
      </c>
      <c r="M8551" t="n">
        <v>0</v>
      </c>
      <c r="N8551" t="n">
        <v>0</v>
      </c>
      <c r="O8551" t="n">
        <v>0</v>
      </c>
      <c r="P8551" t="n">
        <v>0</v>
      </c>
      <c r="Q8551" t="n">
        <v>0</v>
      </c>
      <c r="R8551" s="2" t="inlineStr"/>
    </row>
    <row r="8552" ht="15" customHeight="1">
      <c r="A8552" t="inlineStr">
        <is>
          <t>A 27989-2022</t>
        </is>
      </c>
      <c r="B8552" s="1" t="n">
        <v>44745</v>
      </c>
      <c r="C8552" s="1" t="n">
        <v>45212</v>
      </c>
      <c r="D8552" t="inlineStr">
        <is>
          <t>VÄSTRA GÖTALANDS LÄN</t>
        </is>
      </c>
      <c r="E8552" t="inlineStr">
        <is>
          <t>HJO</t>
        </is>
      </c>
      <c r="G8552" t="n">
        <v>2.5</v>
      </c>
      <c r="H8552" t="n">
        <v>0</v>
      </c>
      <c r="I8552" t="n">
        <v>0</v>
      </c>
      <c r="J8552" t="n">
        <v>0</v>
      </c>
      <c r="K8552" t="n">
        <v>0</v>
      </c>
      <c r="L8552" t="n">
        <v>0</v>
      </c>
      <c r="M8552" t="n">
        <v>0</v>
      </c>
      <c r="N8552" t="n">
        <v>0</v>
      </c>
      <c r="O8552" t="n">
        <v>0</v>
      </c>
      <c r="P8552" t="n">
        <v>0</v>
      </c>
      <c r="Q8552" t="n">
        <v>0</v>
      </c>
      <c r="R8552" s="2" t="inlineStr"/>
    </row>
    <row r="8553" ht="15" customHeight="1">
      <c r="A8553" t="inlineStr">
        <is>
          <t>A 28032-2022</t>
        </is>
      </c>
      <c r="B8553" s="1" t="n">
        <v>44746</v>
      </c>
      <c r="C8553" s="1" t="n">
        <v>45212</v>
      </c>
      <c r="D8553" t="inlineStr">
        <is>
          <t>VÄSTRA GÖTALANDS LÄN</t>
        </is>
      </c>
      <c r="E8553" t="inlineStr">
        <is>
          <t>GULLSPÅNG</t>
        </is>
      </c>
      <c r="G8553" t="n">
        <v>9.300000000000001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28103-2022</t>
        </is>
      </c>
      <c r="B8554" s="1" t="n">
        <v>44746</v>
      </c>
      <c r="C8554" s="1" t="n">
        <v>45212</v>
      </c>
      <c r="D8554" t="inlineStr">
        <is>
          <t>VÄSTRA GÖTALANDS LÄN</t>
        </is>
      </c>
      <c r="E8554" t="inlineStr">
        <is>
          <t>LERUM</t>
        </is>
      </c>
      <c r="G8554" t="n">
        <v>6.6</v>
      </c>
      <c r="H8554" t="n">
        <v>0</v>
      </c>
      <c r="I8554" t="n">
        <v>0</v>
      </c>
      <c r="J8554" t="n">
        <v>0</v>
      </c>
      <c r="K8554" t="n">
        <v>0</v>
      </c>
      <c r="L8554" t="n">
        <v>0</v>
      </c>
      <c r="M8554" t="n">
        <v>0</v>
      </c>
      <c r="N8554" t="n">
        <v>0</v>
      </c>
      <c r="O8554" t="n">
        <v>0</v>
      </c>
      <c r="P8554" t="n">
        <v>0</v>
      </c>
      <c r="Q8554" t="n">
        <v>0</v>
      </c>
      <c r="R8554" s="2" t="inlineStr"/>
    </row>
    <row r="8555" ht="15" customHeight="1">
      <c r="A8555" t="inlineStr">
        <is>
          <t>A 28160-2022</t>
        </is>
      </c>
      <c r="B8555" s="1" t="n">
        <v>44746</v>
      </c>
      <c r="C8555" s="1" t="n">
        <v>45212</v>
      </c>
      <c r="D8555" t="inlineStr">
        <is>
          <t>VÄSTRA GÖTALANDS LÄN</t>
        </is>
      </c>
      <c r="E8555" t="inlineStr">
        <is>
          <t>MARIESTAD</t>
        </is>
      </c>
      <c r="G8555" t="n">
        <v>4.1</v>
      </c>
      <c r="H8555" t="n">
        <v>0</v>
      </c>
      <c r="I8555" t="n">
        <v>0</v>
      </c>
      <c r="J8555" t="n">
        <v>0</v>
      </c>
      <c r="K8555" t="n">
        <v>0</v>
      </c>
      <c r="L8555" t="n">
        <v>0</v>
      </c>
      <c r="M8555" t="n">
        <v>0</v>
      </c>
      <c r="N8555" t="n">
        <v>0</v>
      </c>
      <c r="O8555" t="n">
        <v>0</v>
      </c>
      <c r="P8555" t="n">
        <v>0</v>
      </c>
      <c r="Q8555" t="n">
        <v>0</v>
      </c>
      <c r="R8555" s="2" t="inlineStr"/>
    </row>
    <row r="8556" ht="15" customHeight="1">
      <c r="A8556" t="inlineStr">
        <is>
          <t>A 28089-2022</t>
        </is>
      </c>
      <c r="B8556" s="1" t="n">
        <v>44746</v>
      </c>
      <c r="C8556" s="1" t="n">
        <v>45212</v>
      </c>
      <c r="D8556" t="inlineStr">
        <is>
          <t>VÄSTRA GÖTALANDS LÄN</t>
        </is>
      </c>
      <c r="E8556" t="inlineStr">
        <is>
          <t>LERUM</t>
        </is>
      </c>
      <c r="G8556" t="n">
        <v>7.4</v>
      </c>
      <c r="H8556" t="n">
        <v>0</v>
      </c>
      <c r="I8556" t="n">
        <v>0</v>
      </c>
      <c r="J8556" t="n">
        <v>0</v>
      </c>
      <c r="K8556" t="n">
        <v>0</v>
      </c>
      <c r="L8556" t="n">
        <v>0</v>
      </c>
      <c r="M8556" t="n">
        <v>0</v>
      </c>
      <c r="N8556" t="n">
        <v>0</v>
      </c>
      <c r="O8556" t="n">
        <v>0</v>
      </c>
      <c r="P8556" t="n">
        <v>0</v>
      </c>
      <c r="Q8556" t="n">
        <v>0</v>
      </c>
      <c r="R8556" s="2" t="inlineStr"/>
    </row>
    <row r="8557" ht="15" customHeight="1">
      <c r="A8557" t="inlineStr">
        <is>
          <t>A 28165-2022</t>
        </is>
      </c>
      <c r="B8557" s="1" t="n">
        <v>44746</v>
      </c>
      <c r="C8557" s="1" t="n">
        <v>45212</v>
      </c>
      <c r="D8557" t="inlineStr">
        <is>
          <t>VÄSTRA GÖTALANDS LÄN</t>
        </is>
      </c>
      <c r="E8557" t="inlineStr">
        <is>
          <t>MARIESTAD</t>
        </is>
      </c>
      <c r="G8557" t="n">
        <v>3.4</v>
      </c>
      <c r="H8557" t="n">
        <v>0</v>
      </c>
      <c r="I8557" t="n">
        <v>0</v>
      </c>
      <c r="J8557" t="n">
        <v>0</v>
      </c>
      <c r="K8557" t="n">
        <v>0</v>
      </c>
      <c r="L8557" t="n">
        <v>0</v>
      </c>
      <c r="M8557" t="n">
        <v>0</v>
      </c>
      <c r="N8557" t="n">
        <v>0</v>
      </c>
      <c r="O8557" t="n">
        <v>0</v>
      </c>
      <c r="P8557" t="n">
        <v>0</v>
      </c>
      <c r="Q8557" t="n">
        <v>0</v>
      </c>
      <c r="R8557" s="2" t="inlineStr"/>
    </row>
    <row r="8558" ht="15" customHeight="1">
      <c r="A8558" t="inlineStr">
        <is>
          <t>A 28183-2022</t>
        </is>
      </c>
      <c r="B8558" s="1" t="n">
        <v>44746</v>
      </c>
      <c r="C8558" s="1" t="n">
        <v>45212</v>
      </c>
      <c r="D8558" t="inlineStr">
        <is>
          <t>VÄSTRA GÖTALANDS LÄN</t>
        </is>
      </c>
      <c r="E8558" t="inlineStr">
        <is>
          <t>TÖREBODA</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28196-2022</t>
        </is>
      </c>
      <c r="B8559" s="1" t="n">
        <v>44746</v>
      </c>
      <c r="C8559" s="1" t="n">
        <v>45212</v>
      </c>
      <c r="D8559" t="inlineStr">
        <is>
          <t>VÄSTRA GÖTALANDS LÄN</t>
        </is>
      </c>
      <c r="E8559" t="inlineStr">
        <is>
          <t>TÖREBODA</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28200-2022</t>
        </is>
      </c>
      <c r="B8560" s="1" t="n">
        <v>44746</v>
      </c>
      <c r="C8560" s="1" t="n">
        <v>45212</v>
      </c>
      <c r="D8560" t="inlineStr">
        <is>
          <t>VÄSTRA GÖTALANDS LÄN</t>
        </is>
      </c>
      <c r="E8560" t="inlineStr">
        <is>
          <t>GULLSPÅNG</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28159-2022</t>
        </is>
      </c>
      <c r="B8561" s="1" t="n">
        <v>44746</v>
      </c>
      <c r="C8561" s="1" t="n">
        <v>45212</v>
      </c>
      <c r="D8561" t="inlineStr">
        <is>
          <t>VÄSTRA GÖTALANDS LÄN</t>
        </is>
      </c>
      <c r="E8561" t="inlineStr">
        <is>
          <t>LYSEKIL</t>
        </is>
      </c>
      <c r="G8561" t="n">
        <v>0.7</v>
      </c>
      <c r="H8561" t="n">
        <v>0</v>
      </c>
      <c r="I8561" t="n">
        <v>0</v>
      </c>
      <c r="J8561" t="n">
        <v>0</v>
      </c>
      <c r="K8561" t="n">
        <v>0</v>
      </c>
      <c r="L8561" t="n">
        <v>0</v>
      </c>
      <c r="M8561" t="n">
        <v>0</v>
      </c>
      <c r="N8561" t="n">
        <v>0</v>
      </c>
      <c r="O8561" t="n">
        <v>0</v>
      </c>
      <c r="P8561" t="n">
        <v>0</v>
      </c>
      <c r="Q8561" t="n">
        <v>0</v>
      </c>
      <c r="R8561" s="2" t="inlineStr"/>
    </row>
    <row r="8562" ht="15" customHeight="1">
      <c r="A8562" t="inlineStr">
        <is>
          <t>A 28171-2022</t>
        </is>
      </c>
      <c r="B8562" s="1" t="n">
        <v>44746</v>
      </c>
      <c r="C8562" s="1" t="n">
        <v>45212</v>
      </c>
      <c r="D8562" t="inlineStr">
        <is>
          <t>VÄSTRA GÖTALANDS LÄN</t>
        </is>
      </c>
      <c r="E8562" t="inlineStr">
        <is>
          <t>BORÅS</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28203-2022</t>
        </is>
      </c>
      <c r="B8563" s="1" t="n">
        <v>44746</v>
      </c>
      <c r="C8563" s="1" t="n">
        <v>45212</v>
      </c>
      <c r="D8563" t="inlineStr">
        <is>
          <t>VÄSTRA GÖTALANDS LÄN</t>
        </is>
      </c>
      <c r="E8563" t="inlineStr">
        <is>
          <t>KARLSBORG</t>
        </is>
      </c>
      <c r="G8563" t="n">
        <v>2.7</v>
      </c>
      <c r="H8563" t="n">
        <v>0</v>
      </c>
      <c r="I8563" t="n">
        <v>0</v>
      </c>
      <c r="J8563" t="n">
        <v>0</v>
      </c>
      <c r="K8563" t="n">
        <v>0</v>
      </c>
      <c r="L8563" t="n">
        <v>0</v>
      </c>
      <c r="M8563" t="n">
        <v>0</v>
      </c>
      <c r="N8563" t="n">
        <v>0</v>
      </c>
      <c r="O8563" t="n">
        <v>0</v>
      </c>
      <c r="P8563" t="n">
        <v>0</v>
      </c>
      <c r="Q8563" t="n">
        <v>0</v>
      </c>
      <c r="R8563" s="2" t="inlineStr"/>
    </row>
    <row r="8564" ht="15" customHeight="1">
      <c r="A8564" t="inlineStr">
        <is>
          <t>A 28233-2022</t>
        </is>
      </c>
      <c r="B8564" s="1" t="n">
        <v>44746</v>
      </c>
      <c r="C8564" s="1" t="n">
        <v>45212</v>
      </c>
      <c r="D8564" t="inlineStr">
        <is>
          <t>VÄSTRA GÖTALANDS LÄN</t>
        </is>
      </c>
      <c r="E8564" t="inlineStr">
        <is>
          <t>LERUM</t>
        </is>
      </c>
      <c r="F8564" t="inlineStr">
        <is>
          <t>Kommuner</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28161-2022</t>
        </is>
      </c>
      <c r="B8565" s="1" t="n">
        <v>44746</v>
      </c>
      <c r="C8565" s="1" t="n">
        <v>45212</v>
      </c>
      <c r="D8565" t="inlineStr">
        <is>
          <t>VÄSTRA GÖTALANDS LÄN</t>
        </is>
      </c>
      <c r="E8565" t="inlineStr">
        <is>
          <t>MARIESTAD</t>
        </is>
      </c>
      <c r="G8565" t="n">
        <v>3.5</v>
      </c>
      <c r="H8565" t="n">
        <v>0</v>
      </c>
      <c r="I8565" t="n">
        <v>0</v>
      </c>
      <c r="J8565" t="n">
        <v>0</v>
      </c>
      <c r="K8565" t="n">
        <v>0</v>
      </c>
      <c r="L8565" t="n">
        <v>0</v>
      </c>
      <c r="M8565" t="n">
        <v>0</v>
      </c>
      <c r="N8565" t="n">
        <v>0</v>
      </c>
      <c r="O8565" t="n">
        <v>0</v>
      </c>
      <c r="P8565" t="n">
        <v>0</v>
      </c>
      <c r="Q8565" t="n">
        <v>0</v>
      </c>
      <c r="R8565" s="2" t="inlineStr"/>
    </row>
    <row r="8566" ht="15" customHeight="1">
      <c r="A8566" t="inlineStr">
        <is>
          <t>A 28180-2022</t>
        </is>
      </c>
      <c r="B8566" s="1" t="n">
        <v>44746</v>
      </c>
      <c r="C8566" s="1" t="n">
        <v>45212</v>
      </c>
      <c r="D8566" t="inlineStr">
        <is>
          <t>VÄSTRA GÖTALANDS LÄN</t>
        </is>
      </c>
      <c r="E8566" t="inlineStr">
        <is>
          <t>TÖREBODA</t>
        </is>
      </c>
      <c r="G8566" t="n">
        <v>8.4</v>
      </c>
      <c r="H8566" t="n">
        <v>0</v>
      </c>
      <c r="I8566" t="n">
        <v>0</v>
      </c>
      <c r="J8566" t="n">
        <v>0</v>
      </c>
      <c r="K8566" t="n">
        <v>0</v>
      </c>
      <c r="L8566" t="n">
        <v>0</v>
      </c>
      <c r="M8566" t="n">
        <v>0</v>
      </c>
      <c r="N8566" t="n">
        <v>0</v>
      </c>
      <c r="O8566" t="n">
        <v>0</v>
      </c>
      <c r="P8566" t="n">
        <v>0</v>
      </c>
      <c r="Q8566" t="n">
        <v>0</v>
      </c>
      <c r="R8566" s="2" t="inlineStr"/>
    </row>
    <row r="8567" ht="15" customHeight="1">
      <c r="A8567" t="inlineStr">
        <is>
          <t>A 28199-2022</t>
        </is>
      </c>
      <c r="B8567" s="1" t="n">
        <v>44746</v>
      </c>
      <c r="C8567" s="1" t="n">
        <v>45212</v>
      </c>
      <c r="D8567" t="inlineStr">
        <is>
          <t>VÄSTRA GÖTALANDS LÄN</t>
        </is>
      </c>
      <c r="E8567" t="inlineStr">
        <is>
          <t>GULLSPÅNG</t>
        </is>
      </c>
      <c r="G8567" t="n">
        <v>8.199999999999999</v>
      </c>
      <c r="H8567" t="n">
        <v>0</v>
      </c>
      <c r="I8567" t="n">
        <v>0</v>
      </c>
      <c r="J8567" t="n">
        <v>0</v>
      </c>
      <c r="K8567" t="n">
        <v>0</v>
      </c>
      <c r="L8567" t="n">
        <v>0</v>
      </c>
      <c r="M8567" t="n">
        <v>0</v>
      </c>
      <c r="N8567" t="n">
        <v>0</v>
      </c>
      <c r="O8567" t="n">
        <v>0</v>
      </c>
      <c r="P8567" t="n">
        <v>0</v>
      </c>
      <c r="Q8567" t="n">
        <v>0</v>
      </c>
      <c r="R8567" s="2" t="inlineStr"/>
    </row>
    <row r="8568" ht="15" customHeight="1">
      <c r="A8568" t="inlineStr">
        <is>
          <t>A 28393-2022</t>
        </is>
      </c>
      <c r="B8568" s="1" t="n">
        <v>44747</v>
      </c>
      <c r="C8568" s="1" t="n">
        <v>45212</v>
      </c>
      <c r="D8568" t="inlineStr">
        <is>
          <t>VÄSTRA GÖTALANDS LÄN</t>
        </is>
      </c>
      <c r="E8568" t="inlineStr">
        <is>
          <t>MUNKEDAL</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28665-2022</t>
        </is>
      </c>
      <c r="B8569" s="1" t="n">
        <v>44748</v>
      </c>
      <c r="C8569" s="1" t="n">
        <v>45212</v>
      </c>
      <c r="D8569" t="inlineStr">
        <is>
          <t>VÄSTRA GÖTALANDS LÄN</t>
        </is>
      </c>
      <c r="E8569" t="inlineStr">
        <is>
          <t>MUNKEDAL</t>
        </is>
      </c>
      <c r="G8569" t="n">
        <v>7.8</v>
      </c>
      <c r="H8569" t="n">
        <v>0</v>
      </c>
      <c r="I8569" t="n">
        <v>0</v>
      </c>
      <c r="J8569" t="n">
        <v>0</v>
      </c>
      <c r="K8569" t="n">
        <v>0</v>
      </c>
      <c r="L8569" t="n">
        <v>0</v>
      </c>
      <c r="M8569" t="n">
        <v>0</v>
      </c>
      <c r="N8569" t="n">
        <v>0</v>
      </c>
      <c r="O8569" t="n">
        <v>0</v>
      </c>
      <c r="P8569" t="n">
        <v>0</v>
      </c>
      <c r="Q8569" t="n">
        <v>0</v>
      </c>
      <c r="R8569" s="2" t="inlineStr"/>
    </row>
    <row r="8570" ht="15" customHeight="1">
      <c r="A8570" t="inlineStr">
        <is>
          <t>A 28585-2022</t>
        </is>
      </c>
      <c r="B8570" s="1" t="n">
        <v>44748</v>
      </c>
      <c r="C8570" s="1" t="n">
        <v>45212</v>
      </c>
      <c r="D8570" t="inlineStr">
        <is>
          <t>VÄSTRA GÖTALANDS LÄN</t>
        </is>
      </c>
      <c r="E8570" t="inlineStr">
        <is>
          <t>TIDAHOLM</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28583-2022</t>
        </is>
      </c>
      <c r="B8571" s="1" t="n">
        <v>44748</v>
      </c>
      <c r="C8571" s="1" t="n">
        <v>45212</v>
      </c>
      <c r="D8571" t="inlineStr">
        <is>
          <t>VÄSTRA GÖTALANDS LÄN</t>
        </is>
      </c>
      <c r="E8571" t="inlineStr">
        <is>
          <t>TIDAHOLM</t>
        </is>
      </c>
      <c r="G8571" t="n">
        <v>1.3</v>
      </c>
      <c r="H8571" t="n">
        <v>0</v>
      </c>
      <c r="I8571" t="n">
        <v>0</v>
      </c>
      <c r="J8571" t="n">
        <v>0</v>
      </c>
      <c r="K8571" t="n">
        <v>0</v>
      </c>
      <c r="L8571" t="n">
        <v>0</v>
      </c>
      <c r="M8571" t="n">
        <v>0</v>
      </c>
      <c r="N8571" t="n">
        <v>0</v>
      </c>
      <c r="O8571" t="n">
        <v>0</v>
      </c>
      <c r="P8571" t="n">
        <v>0</v>
      </c>
      <c r="Q8571" t="n">
        <v>0</v>
      </c>
      <c r="R8571" s="2" t="inlineStr"/>
    </row>
    <row r="8572" ht="15" customHeight="1">
      <c r="A8572" t="inlineStr">
        <is>
          <t>A 28667-2022</t>
        </is>
      </c>
      <c r="B8572" s="1" t="n">
        <v>44748</v>
      </c>
      <c r="C8572" s="1" t="n">
        <v>45212</v>
      </c>
      <c r="D8572" t="inlineStr">
        <is>
          <t>VÄSTRA GÖTALANDS LÄN</t>
        </is>
      </c>
      <c r="E8572" t="inlineStr">
        <is>
          <t>MUNKEDAL</t>
        </is>
      </c>
      <c r="G8572" t="n">
        <v>5.4</v>
      </c>
      <c r="H8572" t="n">
        <v>0</v>
      </c>
      <c r="I8572" t="n">
        <v>0</v>
      </c>
      <c r="J8572" t="n">
        <v>0</v>
      </c>
      <c r="K8572" t="n">
        <v>0</v>
      </c>
      <c r="L8572" t="n">
        <v>0</v>
      </c>
      <c r="M8572" t="n">
        <v>0</v>
      </c>
      <c r="N8572" t="n">
        <v>0</v>
      </c>
      <c r="O8572" t="n">
        <v>0</v>
      </c>
      <c r="P8572" t="n">
        <v>0</v>
      </c>
      <c r="Q8572" t="n">
        <v>0</v>
      </c>
      <c r="R8572" s="2" t="inlineStr"/>
    </row>
    <row r="8573" ht="15" customHeight="1">
      <c r="A8573" t="inlineStr">
        <is>
          <t>A 28763-2022</t>
        </is>
      </c>
      <c r="B8573" s="1" t="n">
        <v>44749</v>
      </c>
      <c r="C8573" s="1" t="n">
        <v>45212</v>
      </c>
      <c r="D8573" t="inlineStr">
        <is>
          <t>VÄSTRA GÖTALANDS LÄN</t>
        </is>
      </c>
      <c r="E8573" t="inlineStr">
        <is>
          <t>BENGTSFORS</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28944-2022</t>
        </is>
      </c>
      <c r="B8574" s="1" t="n">
        <v>44749</v>
      </c>
      <c r="C8574" s="1" t="n">
        <v>45212</v>
      </c>
      <c r="D8574" t="inlineStr">
        <is>
          <t>VÄSTRA GÖTALANDS LÄN</t>
        </is>
      </c>
      <c r="E8574" t="inlineStr">
        <is>
          <t>TRANEMO</t>
        </is>
      </c>
      <c r="G8574" t="n">
        <v>1.9</v>
      </c>
      <c r="H8574" t="n">
        <v>0</v>
      </c>
      <c r="I8574" t="n">
        <v>0</v>
      </c>
      <c r="J8574" t="n">
        <v>0</v>
      </c>
      <c r="K8574" t="n">
        <v>0</v>
      </c>
      <c r="L8574" t="n">
        <v>0</v>
      </c>
      <c r="M8574" t="n">
        <v>0</v>
      </c>
      <c r="N8574" t="n">
        <v>0</v>
      </c>
      <c r="O8574" t="n">
        <v>0</v>
      </c>
      <c r="P8574" t="n">
        <v>0</v>
      </c>
      <c r="Q8574" t="n">
        <v>0</v>
      </c>
      <c r="R8574" s="2" t="inlineStr"/>
    </row>
    <row r="8575" ht="15" customHeight="1">
      <c r="A8575" t="inlineStr">
        <is>
          <t>A 28995-2022</t>
        </is>
      </c>
      <c r="B8575" s="1" t="n">
        <v>44749</v>
      </c>
      <c r="C8575" s="1" t="n">
        <v>45212</v>
      </c>
      <c r="D8575" t="inlineStr">
        <is>
          <t>VÄSTRA GÖTALANDS LÄN</t>
        </is>
      </c>
      <c r="E8575" t="inlineStr">
        <is>
          <t>MUNKEDAL</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28764-2022</t>
        </is>
      </c>
      <c r="B8576" s="1" t="n">
        <v>44749</v>
      </c>
      <c r="C8576" s="1" t="n">
        <v>45212</v>
      </c>
      <c r="D8576" t="inlineStr">
        <is>
          <t>VÄSTRA GÖTALANDS LÄN</t>
        </is>
      </c>
      <c r="E8576" t="inlineStr">
        <is>
          <t>TANUM</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28880-2022</t>
        </is>
      </c>
      <c r="B8577" s="1" t="n">
        <v>44749</v>
      </c>
      <c r="C8577" s="1" t="n">
        <v>45212</v>
      </c>
      <c r="D8577" t="inlineStr">
        <is>
          <t>VÄSTRA GÖTALANDS LÄN</t>
        </is>
      </c>
      <c r="E8577" t="inlineStr">
        <is>
          <t>ÅMÅL</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28882-2022</t>
        </is>
      </c>
      <c r="B8578" s="1" t="n">
        <v>44749</v>
      </c>
      <c r="C8578" s="1" t="n">
        <v>45212</v>
      </c>
      <c r="D8578" t="inlineStr">
        <is>
          <t>VÄSTRA GÖTALANDS LÄN</t>
        </is>
      </c>
      <c r="E8578" t="inlineStr">
        <is>
          <t>ÅMÅL</t>
        </is>
      </c>
      <c r="G8578" t="n">
        <v>1.6</v>
      </c>
      <c r="H8578" t="n">
        <v>0</v>
      </c>
      <c r="I8578" t="n">
        <v>0</v>
      </c>
      <c r="J8578" t="n">
        <v>0</v>
      </c>
      <c r="K8578" t="n">
        <v>0</v>
      </c>
      <c r="L8578" t="n">
        <v>0</v>
      </c>
      <c r="M8578" t="n">
        <v>0</v>
      </c>
      <c r="N8578" t="n">
        <v>0</v>
      </c>
      <c r="O8578" t="n">
        <v>0</v>
      </c>
      <c r="P8578" t="n">
        <v>0</v>
      </c>
      <c r="Q8578" t="n">
        <v>0</v>
      </c>
      <c r="R8578" s="2" t="inlineStr"/>
    </row>
    <row r="8579" ht="15" customHeight="1">
      <c r="A8579" t="inlineStr">
        <is>
          <t>A 28965-2022</t>
        </is>
      </c>
      <c r="B8579" s="1" t="n">
        <v>44749</v>
      </c>
      <c r="C8579" s="1" t="n">
        <v>45212</v>
      </c>
      <c r="D8579" t="inlineStr">
        <is>
          <t>VÄSTRA GÖTALANDS LÄN</t>
        </is>
      </c>
      <c r="E8579" t="inlineStr">
        <is>
          <t>TÖREBODA</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29231-2022</t>
        </is>
      </c>
      <c r="B8580" s="1" t="n">
        <v>44750</v>
      </c>
      <c r="C8580" s="1" t="n">
        <v>45212</v>
      </c>
      <c r="D8580" t="inlineStr">
        <is>
          <t>VÄSTRA GÖTALANDS LÄN</t>
        </is>
      </c>
      <c r="E8580" t="inlineStr">
        <is>
          <t>BORÅS</t>
        </is>
      </c>
      <c r="F8580" t="inlineStr">
        <is>
          <t>Kommuner</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29162-2022</t>
        </is>
      </c>
      <c r="B8581" s="1" t="n">
        <v>44750</v>
      </c>
      <c r="C8581" s="1" t="n">
        <v>45212</v>
      </c>
      <c r="D8581" t="inlineStr">
        <is>
          <t>VÄSTRA GÖTALANDS LÄN</t>
        </is>
      </c>
      <c r="E8581" t="inlineStr">
        <is>
          <t>BENGTSFORS</t>
        </is>
      </c>
      <c r="G8581" t="n">
        <v>5.9</v>
      </c>
      <c r="H8581" t="n">
        <v>0</v>
      </c>
      <c r="I8581" t="n">
        <v>0</v>
      </c>
      <c r="J8581" t="n">
        <v>0</v>
      </c>
      <c r="K8581" t="n">
        <v>0</v>
      </c>
      <c r="L8581" t="n">
        <v>0</v>
      </c>
      <c r="M8581" t="n">
        <v>0</v>
      </c>
      <c r="N8581" t="n">
        <v>0</v>
      </c>
      <c r="O8581" t="n">
        <v>0</v>
      </c>
      <c r="P8581" t="n">
        <v>0</v>
      </c>
      <c r="Q8581" t="n">
        <v>0</v>
      </c>
      <c r="R8581" s="2" t="inlineStr"/>
    </row>
    <row r="8582" ht="15" customHeight="1">
      <c r="A8582" t="inlineStr">
        <is>
          <t>A 29226-2022</t>
        </is>
      </c>
      <c r="B8582" s="1" t="n">
        <v>44750</v>
      </c>
      <c r="C8582" s="1" t="n">
        <v>45212</v>
      </c>
      <c r="D8582" t="inlineStr">
        <is>
          <t>VÄSTRA GÖTALANDS LÄN</t>
        </is>
      </c>
      <c r="E8582" t="inlineStr">
        <is>
          <t>BENGTSFORS</t>
        </is>
      </c>
      <c r="G8582" t="n">
        <v>8.1</v>
      </c>
      <c r="H8582" t="n">
        <v>0</v>
      </c>
      <c r="I8582" t="n">
        <v>0</v>
      </c>
      <c r="J8582" t="n">
        <v>0</v>
      </c>
      <c r="K8582" t="n">
        <v>0</v>
      </c>
      <c r="L8582" t="n">
        <v>0</v>
      </c>
      <c r="M8582" t="n">
        <v>0</v>
      </c>
      <c r="N8582" t="n">
        <v>0</v>
      </c>
      <c r="O8582" t="n">
        <v>0</v>
      </c>
      <c r="P8582" t="n">
        <v>0</v>
      </c>
      <c r="Q8582" t="n">
        <v>0</v>
      </c>
      <c r="R8582" s="2" t="inlineStr"/>
    </row>
    <row r="8583" ht="15" customHeight="1">
      <c r="A8583" t="inlineStr">
        <is>
          <t>A 29144-2022</t>
        </is>
      </c>
      <c r="B8583" s="1" t="n">
        <v>44750</v>
      </c>
      <c r="C8583" s="1" t="n">
        <v>45212</v>
      </c>
      <c r="D8583" t="inlineStr">
        <is>
          <t>VÄSTRA GÖTALANDS LÄN</t>
        </is>
      </c>
      <c r="E8583" t="inlineStr">
        <is>
          <t>ULRICEHAMN</t>
        </is>
      </c>
      <c r="G8583" t="n">
        <v>4.9</v>
      </c>
      <c r="H8583" t="n">
        <v>0</v>
      </c>
      <c r="I8583" t="n">
        <v>0</v>
      </c>
      <c r="J8583" t="n">
        <v>0</v>
      </c>
      <c r="K8583" t="n">
        <v>0</v>
      </c>
      <c r="L8583" t="n">
        <v>0</v>
      </c>
      <c r="M8583" t="n">
        <v>0</v>
      </c>
      <c r="N8583" t="n">
        <v>0</v>
      </c>
      <c r="O8583" t="n">
        <v>0</v>
      </c>
      <c r="P8583" t="n">
        <v>0</v>
      </c>
      <c r="Q8583" t="n">
        <v>0</v>
      </c>
      <c r="R8583" s="2" t="inlineStr"/>
    </row>
    <row r="8584" ht="15" customHeight="1">
      <c r="A8584" t="inlineStr">
        <is>
          <t>A 29188-2022</t>
        </is>
      </c>
      <c r="B8584" s="1" t="n">
        <v>44750</v>
      </c>
      <c r="C8584" s="1" t="n">
        <v>45212</v>
      </c>
      <c r="D8584" t="inlineStr">
        <is>
          <t>VÄSTRA GÖTALANDS LÄN</t>
        </is>
      </c>
      <c r="E8584" t="inlineStr">
        <is>
          <t>FÄRGELANDA</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29222-2022</t>
        </is>
      </c>
      <c r="B8585" s="1" t="n">
        <v>44750</v>
      </c>
      <c r="C8585" s="1" t="n">
        <v>45212</v>
      </c>
      <c r="D8585" t="inlineStr">
        <is>
          <t>VÄSTRA GÖTALANDS LÄN</t>
        </is>
      </c>
      <c r="E8585" t="inlineStr">
        <is>
          <t>SKÖVDE</t>
        </is>
      </c>
      <c r="F8585" t="inlineStr">
        <is>
          <t>Kommuner</t>
        </is>
      </c>
      <c r="G8585" t="n">
        <v>1.6</v>
      </c>
      <c r="H8585" t="n">
        <v>0</v>
      </c>
      <c r="I8585" t="n">
        <v>0</v>
      </c>
      <c r="J8585" t="n">
        <v>0</v>
      </c>
      <c r="K8585" t="n">
        <v>0</v>
      </c>
      <c r="L8585" t="n">
        <v>0</v>
      </c>
      <c r="M8585" t="n">
        <v>0</v>
      </c>
      <c r="N8585" t="n">
        <v>0</v>
      </c>
      <c r="O8585" t="n">
        <v>0</v>
      </c>
      <c r="P8585" t="n">
        <v>0</v>
      </c>
      <c r="Q8585" t="n">
        <v>0</v>
      </c>
      <c r="R8585" s="2" t="inlineStr"/>
    </row>
    <row r="8586" ht="15" customHeight="1">
      <c r="A8586" t="inlineStr">
        <is>
          <t>A 29256-2022</t>
        </is>
      </c>
      <c r="B8586" s="1" t="n">
        <v>44750</v>
      </c>
      <c r="C8586" s="1" t="n">
        <v>45212</v>
      </c>
      <c r="D8586" t="inlineStr">
        <is>
          <t>VÄSTRA GÖTALANDS LÄN</t>
        </is>
      </c>
      <c r="E8586" t="inlineStr">
        <is>
          <t>MARK</t>
        </is>
      </c>
      <c r="G8586" t="n">
        <v>0.5</v>
      </c>
      <c r="H8586" t="n">
        <v>0</v>
      </c>
      <c r="I8586" t="n">
        <v>0</v>
      </c>
      <c r="J8586" t="n">
        <v>0</v>
      </c>
      <c r="K8586" t="n">
        <v>0</v>
      </c>
      <c r="L8586" t="n">
        <v>0</v>
      </c>
      <c r="M8586" t="n">
        <v>0</v>
      </c>
      <c r="N8586" t="n">
        <v>0</v>
      </c>
      <c r="O8586" t="n">
        <v>0</v>
      </c>
      <c r="P8586" t="n">
        <v>0</v>
      </c>
      <c r="Q8586" t="n">
        <v>0</v>
      </c>
      <c r="R8586" s="2" t="inlineStr"/>
    </row>
    <row r="8587" ht="15" customHeight="1">
      <c r="A8587" t="inlineStr">
        <is>
          <t>A 29315-2022</t>
        </is>
      </c>
      <c r="B8587" s="1" t="n">
        <v>44751</v>
      </c>
      <c r="C8587" s="1" t="n">
        <v>45212</v>
      </c>
      <c r="D8587" t="inlineStr">
        <is>
          <t>VÄSTRA GÖTALANDS LÄN</t>
        </is>
      </c>
      <c r="E8587" t="inlineStr">
        <is>
          <t>STENUNGSUND</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29368-2022</t>
        </is>
      </c>
      <c r="B8588" s="1" t="n">
        <v>44753</v>
      </c>
      <c r="C8588" s="1" t="n">
        <v>45212</v>
      </c>
      <c r="D8588" t="inlineStr">
        <is>
          <t>VÄSTRA GÖTALANDS LÄN</t>
        </is>
      </c>
      <c r="E8588" t="inlineStr">
        <is>
          <t>VÄNERSBORG</t>
        </is>
      </c>
      <c r="F8588" t="inlineStr">
        <is>
          <t>Sveaskog</t>
        </is>
      </c>
      <c r="G8588" t="n">
        <v>8.199999999999999</v>
      </c>
      <c r="H8588" t="n">
        <v>0</v>
      </c>
      <c r="I8588" t="n">
        <v>0</v>
      </c>
      <c r="J8588" t="n">
        <v>0</v>
      </c>
      <c r="K8588" t="n">
        <v>0</v>
      </c>
      <c r="L8588" t="n">
        <v>0</v>
      </c>
      <c r="M8588" t="n">
        <v>0</v>
      </c>
      <c r="N8588" t="n">
        <v>0</v>
      </c>
      <c r="O8588" t="n">
        <v>0</v>
      </c>
      <c r="P8588" t="n">
        <v>0</v>
      </c>
      <c r="Q8588" t="n">
        <v>0</v>
      </c>
      <c r="R8588" s="2" t="inlineStr"/>
    </row>
    <row r="8589" ht="15" customHeight="1">
      <c r="A8589" t="inlineStr">
        <is>
          <t>A 29373-2022</t>
        </is>
      </c>
      <c r="B8589" s="1" t="n">
        <v>44753</v>
      </c>
      <c r="C8589" s="1" t="n">
        <v>45212</v>
      </c>
      <c r="D8589" t="inlineStr">
        <is>
          <t>VÄSTRA GÖTALANDS LÄN</t>
        </is>
      </c>
      <c r="E8589" t="inlineStr">
        <is>
          <t>VÄNERSBORG</t>
        </is>
      </c>
      <c r="F8589" t="inlineStr">
        <is>
          <t>Sveaskog</t>
        </is>
      </c>
      <c r="G8589" t="n">
        <v>12.5</v>
      </c>
      <c r="H8589" t="n">
        <v>0</v>
      </c>
      <c r="I8589" t="n">
        <v>0</v>
      </c>
      <c r="J8589" t="n">
        <v>0</v>
      </c>
      <c r="K8589" t="n">
        <v>0</v>
      </c>
      <c r="L8589" t="n">
        <v>0</v>
      </c>
      <c r="M8589" t="n">
        <v>0</v>
      </c>
      <c r="N8589" t="n">
        <v>0</v>
      </c>
      <c r="O8589" t="n">
        <v>0</v>
      </c>
      <c r="P8589" t="n">
        <v>0</v>
      </c>
      <c r="Q8589" t="n">
        <v>0</v>
      </c>
      <c r="R8589" s="2" t="inlineStr"/>
    </row>
    <row r="8590" ht="15" customHeight="1">
      <c r="A8590" t="inlineStr">
        <is>
          <t>A 29486-2022</t>
        </is>
      </c>
      <c r="B8590" s="1" t="n">
        <v>44753</v>
      </c>
      <c r="C8590" s="1" t="n">
        <v>45212</v>
      </c>
      <c r="D8590" t="inlineStr">
        <is>
          <t>VÄSTRA GÖTALANDS LÄN</t>
        </is>
      </c>
      <c r="E8590" t="inlineStr">
        <is>
          <t>BORÅS</t>
        </is>
      </c>
      <c r="G8590" t="n">
        <v>1.9</v>
      </c>
      <c r="H8590" t="n">
        <v>0</v>
      </c>
      <c r="I8590" t="n">
        <v>0</v>
      </c>
      <c r="J8590" t="n">
        <v>0</v>
      </c>
      <c r="K8590" t="n">
        <v>0</v>
      </c>
      <c r="L8590" t="n">
        <v>0</v>
      </c>
      <c r="M8590" t="n">
        <v>0</v>
      </c>
      <c r="N8590" t="n">
        <v>0</v>
      </c>
      <c r="O8590" t="n">
        <v>0</v>
      </c>
      <c r="P8590" t="n">
        <v>0</v>
      </c>
      <c r="Q8590" t="n">
        <v>0</v>
      </c>
      <c r="R8590" s="2" t="inlineStr"/>
    </row>
    <row r="8591" ht="15" customHeight="1">
      <c r="A8591" t="inlineStr">
        <is>
          <t>A 29576-2022</t>
        </is>
      </c>
      <c r="B8591" s="1" t="n">
        <v>44754</v>
      </c>
      <c r="C8591" s="1" t="n">
        <v>45212</v>
      </c>
      <c r="D8591" t="inlineStr">
        <is>
          <t>VÄSTRA GÖTALANDS LÄN</t>
        </is>
      </c>
      <c r="E8591" t="inlineStr">
        <is>
          <t>VÄNERSBORG</t>
        </is>
      </c>
      <c r="G8591" t="n">
        <v>4.5</v>
      </c>
      <c r="H8591" t="n">
        <v>0</v>
      </c>
      <c r="I8591" t="n">
        <v>0</v>
      </c>
      <c r="J8591" t="n">
        <v>0</v>
      </c>
      <c r="K8591" t="n">
        <v>0</v>
      </c>
      <c r="L8591" t="n">
        <v>0</v>
      </c>
      <c r="M8591" t="n">
        <v>0</v>
      </c>
      <c r="N8591" t="n">
        <v>0</v>
      </c>
      <c r="O8591" t="n">
        <v>0</v>
      </c>
      <c r="P8591" t="n">
        <v>0</v>
      </c>
      <c r="Q8591" t="n">
        <v>0</v>
      </c>
      <c r="R8591" s="2" t="inlineStr"/>
    </row>
    <row r="8592" ht="15" customHeight="1">
      <c r="A8592" t="inlineStr">
        <is>
          <t>A 29639-2022</t>
        </is>
      </c>
      <c r="B8592" s="1" t="n">
        <v>44754</v>
      </c>
      <c r="C8592" s="1" t="n">
        <v>45212</v>
      </c>
      <c r="D8592" t="inlineStr">
        <is>
          <t>VÄSTRA GÖTALANDS LÄN</t>
        </is>
      </c>
      <c r="E8592" t="inlineStr">
        <is>
          <t>MELLERUD</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29569-2022</t>
        </is>
      </c>
      <c r="B8593" s="1" t="n">
        <v>44754</v>
      </c>
      <c r="C8593" s="1" t="n">
        <v>45212</v>
      </c>
      <c r="D8593" t="inlineStr">
        <is>
          <t>VÄSTRA GÖTALANDS LÄN</t>
        </is>
      </c>
      <c r="E8593" t="inlineStr">
        <is>
          <t>MELLERUD</t>
        </is>
      </c>
      <c r="G8593" t="n">
        <v>0.6</v>
      </c>
      <c r="H8593" t="n">
        <v>0</v>
      </c>
      <c r="I8593" t="n">
        <v>0</v>
      </c>
      <c r="J8593" t="n">
        <v>0</v>
      </c>
      <c r="K8593" t="n">
        <v>0</v>
      </c>
      <c r="L8593" t="n">
        <v>0</v>
      </c>
      <c r="M8593" t="n">
        <v>0</v>
      </c>
      <c r="N8593" t="n">
        <v>0</v>
      </c>
      <c r="O8593" t="n">
        <v>0</v>
      </c>
      <c r="P8593" t="n">
        <v>0</v>
      </c>
      <c r="Q8593" t="n">
        <v>0</v>
      </c>
      <c r="R8593" s="2" t="inlineStr"/>
    </row>
    <row r="8594" ht="15" customHeight="1">
      <c r="A8594" t="inlineStr">
        <is>
          <t>A 29600-2022</t>
        </is>
      </c>
      <c r="B8594" s="1" t="n">
        <v>44754</v>
      </c>
      <c r="C8594" s="1" t="n">
        <v>45212</v>
      </c>
      <c r="D8594" t="inlineStr">
        <is>
          <t>VÄSTRA GÖTALANDS LÄN</t>
        </is>
      </c>
      <c r="E8594" t="inlineStr">
        <is>
          <t>LILLA EDET</t>
        </is>
      </c>
      <c r="G8594" t="n">
        <v>2.4</v>
      </c>
      <c r="H8594" t="n">
        <v>0</v>
      </c>
      <c r="I8594" t="n">
        <v>0</v>
      </c>
      <c r="J8594" t="n">
        <v>0</v>
      </c>
      <c r="K8594" t="n">
        <v>0</v>
      </c>
      <c r="L8594" t="n">
        <v>0</v>
      </c>
      <c r="M8594" t="n">
        <v>0</v>
      </c>
      <c r="N8594" t="n">
        <v>0</v>
      </c>
      <c r="O8594" t="n">
        <v>0</v>
      </c>
      <c r="P8594" t="n">
        <v>0</v>
      </c>
      <c r="Q8594" t="n">
        <v>0</v>
      </c>
      <c r="R8594" s="2" t="inlineStr"/>
    </row>
    <row r="8595" ht="15" customHeight="1">
      <c r="A8595" t="inlineStr">
        <is>
          <t>A 29763-2022</t>
        </is>
      </c>
      <c r="B8595" s="1" t="n">
        <v>44755</v>
      </c>
      <c r="C8595" s="1" t="n">
        <v>45212</v>
      </c>
      <c r="D8595" t="inlineStr">
        <is>
          <t>VÄSTRA GÖTALANDS LÄN</t>
        </is>
      </c>
      <c r="E8595" t="inlineStr">
        <is>
          <t>SKARA</t>
        </is>
      </c>
      <c r="G8595" t="n">
        <v>7.6</v>
      </c>
      <c r="H8595" t="n">
        <v>0</v>
      </c>
      <c r="I8595" t="n">
        <v>0</v>
      </c>
      <c r="J8595" t="n">
        <v>0</v>
      </c>
      <c r="K8595" t="n">
        <v>0</v>
      </c>
      <c r="L8595" t="n">
        <v>0</v>
      </c>
      <c r="M8595" t="n">
        <v>0</v>
      </c>
      <c r="N8595" t="n">
        <v>0</v>
      </c>
      <c r="O8595" t="n">
        <v>0</v>
      </c>
      <c r="P8595" t="n">
        <v>0</v>
      </c>
      <c r="Q8595" t="n">
        <v>0</v>
      </c>
      <c r="R8595" s="2" t="inlineStr"/>
    </row>
    <row r="8596" ht="15" customHeight="1">
      <c r="A8596" t="inlineStr">
        <is>
          <t>A 29696-2022</t>
        </is>
      </c>
      <c r="B8596" s="1" t="n">
        <v>44755</v>
      </c>
      <c r="C8596" s="1" t="n">
        <v>45212</v>
      </c>
      <c r="D8596" t="inlineStr">
        <is>
          <t>VÄSTRA GÖTALANDS LÄN</t>
        </is>
      </c>
      <c r="E8596" t="inlineStr">
        <is>
          <t>BENGTSFORS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29723-2022</t>
        </is>
      </c>
      <c r="B8597" s="1" t="n">
        <v>44755</v>
      </c>
      <c r="C8597" s="1" t="n">
        <v>45212</v>
      </c>
      <c r="D8597" t="inlineStr">
        <is>
          <t>VÄSTRA GÖTALANDS LÄN</t>
        </is>
      </c>
      <c r="E8597" t="inlineStr">
        <is>
          <t>MARK</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30157-2022</t>
        </is>
      </c>
      <c r="B8598" s="1" t="n">
        <v>44757</v>
      </c>
      <c r="C8598" s="1" t="n">
        <v>45212</v>
      </c>
      <c r="D8598" t="inlineStr">
        <is>
          <t>VÄSTRA GÖTALANDS LÄN</t>
        </is>
      </c>
      <c r="E8598" t="inlineStr">
        <is>
          <t>TROLLHÄTTAN</t>
        </is>
      </c>
      <c r="G8598" t="n">
        <v>4.3</v>
      </c>
      <c r="H8598" t="n">
        <v>0</v>
      </c>
      <c r="I8598" t="n">
        <v>0</v>
      </c>
      <c r="J8598" t="n">
        <v>0</v>
      </c>
      <c r="K8598" t="n">
        <v>0</v>
      </c>
      <c r="L8598" t="n">
        <v>0</v>
      </c>
      <c r="M8598" t="n">
        <v>0</v>
      </c>
      <c r="N8598" t="n">
        <v>0</v>
      </c>
      <c r="O8598" t="n">
        <v>0</v>
      </c>
      <c r="P8598" t="n">
        <v>0</v>
      </c>
      <c r="Q8598" t="n">
        <v>0</v>
      </c>
      <c r="R8598" s="2" t="inlineStr"/>
    </row>
    <row r="8599" ht="15" customHeight="1">
      <c r="A8599" t="inlineStr">
        <is>
          <t>A 30170-2022</t>
        </is>
      </c>
      <c r="B8599" s="1" t="n">
        <v>44757</v>
      </c>
      <c r="C8599" s="1" t="n">
        <v>45212</v>
      </c>
      <c r="D8599" t="inlineStr">
        <is>
          <t>VÄSTRA GÖTALANDS LÄN</t>
        </is>
      </c>
      <c r="E8599" t="inlineStr">
        <is>
          <t>KUNGÄLV</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30128-2022</t>
        </is>
      </c>
      <c r="B8600" s="1" t="n">
        <v>44757</v>
      </c>
      <c r="C8600" s="1" t="n">
        <v>45212</v>
      </c>
      <c r="D8600" t="inlineStr">
        <is>
          <t>VÄSTRA GÖTALANDS LÄN</t>
        </is>
      </c>
      <c r="E8600" t="inlineStr">
        <is>
          <t>GÖTENE</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30174-2022</t>
        </is>
      </c>
      <c r="B8601" s="1" t="n">
        <v>44757</v>
      </c>
      <c r="C8601" s="1" t="n">
        <v>45212</v>
      </c>
      <c r="D8601" t="inlineStr">
        <is>
          <t>VÄSTRA GÖTALANDS LÄN</t>
        </is>
      </c>
      <c r="E8601" t="inlineStr">
        <is>
          <t>GÖTENE</t>
        </is>
      </c>
      <c r="G8601" t="n">
        <v>5.1</v>
      </c>
      <c r="H8601" t="n">
        <v>0</v>
      </c>
      <c r="I8601" t="n">
        <v>0</v>
      </c>
      <c r="J8601" t="n">
        <v>0</v>
      </c>
      <c r="K8601" t="n">
        <v>0</v>
      </c>
      <c r="L8601" t="n">
        <v>0</v>
      </c>
      <c r="M8601" t="n">
        <v>0</v>
      </c>
      <c r="N8601" t="n">
        <v>0</v>
      </c>
      <c r="O8601" t="n">
        <v>0</v>
      </c>
      <c r="P8601" t="n">
        <v>0</v>
      </c>
      <c r="Q8601" t="n">
        <v>0</v>
      </c>
      <c r="R8601" s="2" t="inlineStr"/>
    </row>
    <row r="8602" ht="15" customHeight="1">
      <c r="A8602" t="inlineStr">
        <is>
          <t>A 30175-2022</t>
        </is>
      </c>
      <c r="B8602" s="1" t="n">
        <v>44757</v>
      </c>
      <c r="C8602" s="1" t="n">
        <v>45212</v>
      </c>
      <c r="D8602" t="inlineStr">
        <is>
          <t>VÄSTRA GÖTALANDS LÄN</t>
        </is>
      </c>
      <c r="E8602" t="inlineStr">
        <is>
          <t>STENUNGSUND</t>
        </is>
      </c>
      <c r="G8602" t="n">
        <v>2.2</v>
      </c>
      <c r="H8602" t="n">
        <v>0</v>
      </c>
      <c r="I8602" t="n">
        <v>0</v>
      </c>
      <c r="J8602" t="n">
        <v>0</v>
      </c>
      <c r="K8602" t="n">
        <v>0</v>
      </c>
      <c r="L8602" t="n">
        <v>0</v>
      </c>
      <c r="M8602" t="n">
        <v>0</v>
      </c>
      <c r="N8602" t="n">
        <v>0</v>
      </c>
      <c r="O8602" t="n">
        <v>0</v>
      </c>
      <c r="P8602" t="n">
        <v>0</v>
      </c>
      <c r="Q8602" t="n">
        <v>0</v>
      </c>
      <c r="R8602" s="2" t="inlineStr"/>
    </row>
    <row r="8603" ht="15" customHeight="1">
      <c r="A8603" t="inlineStr">
        <is>
          <t>A 30827-2022</t>
        </is>
      </c>
      <c r="B8603" s="1" t="n">
        <v>44758</v>
      </c>
      <c r="C8603" s="1" t="n">
        <v>45212</v>
      </c>
      <c r="D8603" t="inlineStr">
        <is>
          <t>VÄSTRA GÖTALANDS LÄN</t>
        </is>
      </c>
      <c r="E8603" t="inlineStr">
        <is>
          <t>MARIESTAD</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30287-2022</t>
        </is>
      </c>
      <c r="B8604" s="1" t="n">
        <v>44760</v>
      </c>
      <c r="C8604" s="1" t="n">
        <v>45212</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30308-2022</t>
        </is>
      </c>
      <c r="B8605" s="1" t="n">
        <v>44760</v>
      </c>
      <c r="C8605" s="1" t="n">
        <v>45212</v>
      </c>
      <c r="D8605" t="inlineStr">
        <is>
          <t>VÄSTRA GÖTALANDS LÄN</t>
        </is>
      </c>
      <c r="E8605" t="inlineStr">
        <is>
          <t>MUNKEDAL</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30285-2022</t>
        </is>
      </c>
      <c r="B8606" s="1" t="n">
        <v>44760</v>
      </c>
      <c r="C8606" s="1" t="n">
        <v>45212</v>
      </c>
      <c r="D8606" t="inlineStr">
        <is>
          <t>VÄSTRA GÖTALANDS LÄN</t>
        </is>
      </c>
      <c r="E8606" t="inlineStr">
        <is>
          <t>LILLA EDET</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30284-2022</t>
        </is>
      </c>
      <c r="B8607" s="1" t="n">
        <v>44760</v>
      </c>
      <c r="C8607" s="1" t="n">
        <v>45212</v>
      </c>
      <c r="D8607" t="inlineStr">
        <is>
          <t>VÄSTRA GÖTALANDS LÄN</t>
        </is>
      </c>
      <c r="E8607" t="inlineStr">
        <is>
          <t>LILLA EDET</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30373-2022</t>
        </is>
      </c>
      <c r="B8608" s="1" t="n">
        <v>44760</v>
      </c>
      <c r="C8608" s="1" t="n">
        <v>45212</v>
      </c>
      <c r="D8608" t="inlineStr">
        <is>
          <t>VÄSTRA GÖTALANDS LÄN</t>
        </is>
      </c>
      <c r="E8608" t="inlineStr">
        <is>
          <t>KUNGÄLV</t>
        </is>
      </c>
      <c r="G8608" t="n">
        <v>0.8</v>
      </c>
      <c r="H8608" t="n">
        <v>0</v>
      </c>
      <c r="I8608" t="n">
        <v>0</v>
      </c>
      <c r="J8608" t="n">
        <v>0</v>
      </c>
      <c r="K8608" t="n">
        <v>0</v>
      </c>
      <c r="L8608" t="n">
        <v>0</v>
      </c>
      <c r="M8608" t="n">
        <v>0</v>
      </c>
      <c r="N8608" t="n">
        <v>0</v>
      </c>
      <c r="O8608" t="n">
        <v>0</v>
      </c>
      <c r="P8608" t="n">
        <v>0</v>
      </c>
      <c r="Q8608" t="n">
        <v>0</v>
      </c>
      <c r="R8608" s="2" t="inlineStr"/>
    </row>
    <row r="8609" ht="15" customHeight="1">
      <c r="A8609" t="inlineStr">
        <is>
          <t>A 30377-2022</t>
        </is>
      </c>
      <c r="B8609" s="1" t="n">
        <v>44760</v>
      </c>
      <c r="C8609" s="1" t="n">
        <v>45212</v>
      </c>
      <c r="D8609" t="inlineStr">
        <is>
          <t>VÄSTRA GÖTALANDS LÄN</t>
        </is>
      </c>
      <c r="E8609" t="inlineStr">
        <is>
          <t>KUNGÄLV</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30504-2022</t>
        </is>
      </c>
      <c r="B8610" s="1" t="n">
        <v>44762</v>
      </c>
      <c r="C8610" s="1" t="n">
        <v>45212</v>
      </c>
      <c r="D8610" t="inlineStr">
        <is>
          <t>VÄSTRA GÖTALANDS LÄN</t>
        </is>
      </c>
      <c r="E8610" t="inlineStr">
        <is>
          <t>BOLLEBYGD</t>
        </is>
      </c>
      <c r="G8610" t="n">
        <v>2.7</v>
      </c>
      <c r="H8610" t="n">
        <v>0</v>
      </c>
      <c r="I8610" t="n">
        <v>0</v>
      </c>
      <c r="J8610" t="n">
        <v>0</v>
      </c>
      <c r="K8610" t="n">
        <v>0</v>
      </c>
      <c r="L8610" t="n">
        <v>0</v>
      </c>
      <c r="M8610" t="n">
        <v>0</v>
      </c>
      <c r="N8610" t="n">
        <v>0</v>
      </c>
      <c r="O8610" t="n">
        <v>0</v>
      </c>
      <c r="P8610" t="n">
        <v>0</v>
      </c>
      <c r="Q8610" t="n">
        <v>0</v>
      </c>
      <c r="R8610" s="2" t="inlineStr"/>
    </row>
    <row r="8611" ht="15" customHeight="1">
      <c r="A8611" t="inlineStr">
        <is>
          <t>A 30585-2022</t>
        </is>
      </c>
      <c r="B8611" s="1" t="n">
        <v>44762</v>
      </c>
      <c r="C8611" s="1" t="n">
        <v>45212</v>
      </c>
      <c r="D8611" t="inlineStr">
        <is>
          <t>VÄSTRA GÖTALANDS LÄN</t>
        </is>
      </c>
      <c r="E8611" t="inlineStr">
        <is>
          <t>ULRICEHAMN</t>
        </is>
      </c>
      <c r="G8611" t="n">
        <v>6.8</v>
      </c>
      <c r="H8611" t="n">
        <v>0</v>
      </c>
      <c r="I8611" t="n">
        <v>0</v>
      </c>
      <c r="J8611" t="n">
        <v>0</v>
      </c>
      <c r="K8611" t="n">
        <v>0</v>
      </c>
      <c r="L8611" t="n">
        <v>0</v>
      </c>
      <c r="M8611" t="n">
        <v>0</v>
      </c>
      <c r="N8611" t="n">
        <v>0</v>
      </c>
      <c r="O8611" t="n">
        <v>0</v>
      </c>
      <c r="P8611" t="n">
        <v>0</v>
      </c>
      <c r="Q8611" t="n">
        <v>0</v>
      </c>
      <c r="R8611" s="2" t="inlineStr"/>
    </row>
    <row r="8612" ht="15" customHeight="1">
      <c r="A8612" t="inlineStr">
        <is>
          <t>A 30701-2022</t>
        </is>
      </c>
      <c r="B8612" s="1" t="n">
        <v>44763</v>
      </c>
      <c r="C8612" s="1" t="n">
        <v>45212</v>
      </c>
      <c r="D8612" t="inlineStr">
        <is>
          <t>VÄSTRA GÖTALANDS LÄN</t>
        </is>
      </c>
      <c r="E8612" t="inlineStr">
        <is>
          <t>STRÖMSTAD</t>
        </is>
      </c>
      <c r="G8612" t="n">
        <v>0.8</v>
      </c>
      <c r="H8612" t="n">
        <v>0</v>
      </c>
      <c r="I8612" t="n">
        <v>0</v>
      </c>
      <c r="J8612" t="n">
        <v>0</v>
      </c>
      <c r="K8612" t="n">
        <v>0</v>
      </c>
      <c r="L8612" t="n">
        <v>0</v>
      </c>
      <c r="M8612" t="n">
        <v>0</v>
      </c>
      <c r="N8612" t="n">
        <v>0</v>
      </c>
      <c r="O8612" t="n">
        <v>0</v>
      </c>
      <c r="P8612" t="n">
        <v>0</v>
      </c>
      <c r="Q8612" t="n">
        <v>0</v>
      </c>
      <c r="R8612" s="2" t="inlineStr"/>
    </row>
    <row r="8613" ht="15" customHeight="1">
      <c r="A8613" t="inlineStr">
        <is>
          <t>A 30664-2022</t>
        </is>
      </c>
      <c r="B8613" s="1" t="n">
        <v>44763</v>
      </c>
      <c r="C8613" s="1" t="n">
        <v>45212</v>
      </c>
      <c r="D8613" t="inlineStr">
        <is>
          <t>VÄSTRA GÖTALANDS LÄN</t>
        </is>
      </c>
      <c r="E8613" t="inlineStr">
        <is>
          <t>ULRICEHAMN</t>
        </is>
      </c>
      <c r="G8613" t="n">
        <v>6.3</v>
      </c>
      <c r="H8613" t="n">
        <v>0</v>
      </c>
      <c r="I8613" t="n">
        <v>0</v>
      </c>
      <c r="J8613" t="n">
        <v>0</v>
      </c>
      <c r="K8613" t="n">
        <v>0</v>
      </c>
      <c r="L8613" t="n">
        <v>0</v>
      </c>
      <c r="M8613" t="n">
        <v>0</v>
      </c>
      <c r="N8613" t="n">
        <v>0</v>
      </c>
      <c r="O8613" t="n">
        <v>0</v>
      </c>
      <c r="P8613" t="n">
        <v>0</v>
      </c>
      <c r="Q8613" t="n">
        <v>0</v>
      </c>
      <c r="R8613" s="2" t="inlineStr"/>
    </row>
    <row r="8614" ht="15" customHeight="1">
      <c r="A8614" t="inlineStr">
        <is>
          <t>A 30789-2022</t>
        </is>
      </c>
      <c r="B8614" s="1" t="n">
        <v>44764</v>
      </c>
      <c r="C8614" s="1" t="n">
        <v>45212</v>
      </c>
      <c r="D8614" t="inlineStr">
        <is>
          <t>VÄSTRA GÖTALANDS LÄN</t>
        </is>
      </c>
      <c r="E8614" t="inlineStr">
        <is>
          <t>MARK</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30774-2022</t>
        </is>
      </c>
      <c r="B8615" s="1" t="n">
        <v>44764</v>
      </c>
      <c r="C8615" s="1" t="n">
        <v>45212</v>
      </c>
      <c r="D8615" t="inlineStr">
        <is>
          <t>VÄSTRA GÖTALANDS LÄN</t>
        </is>
      </c>
      <c r="E8615" t="inlineStr">
        <is>
          <t>BOLLEBYGD</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30791-2022</t>
        </is>
      </c>
      <c r="B8616" s="1" t="n">
        <v>44764</v>
      </c>
      <c r="C8616" s="1" t="n">
        <v>45212</v>
      </c>
      <c r="D8616" t="inlineStr">
        <is>
          <t>VÄSTRA GÖTALANDS LÄN</t>
        </is>
      </c>
      <c r="E8616" t="inlineStr">
        <is>
          <t>MARK</t>
        </is>
      </c>
      <c r="G8616" t="n">
        <v>0.2</v>
      </c>
      <c r="H8616" t="n">
        <v>0</v>
      </c>
      <c r="I8616" t="n">
        <v>0</v>
      </c>
      <c r="J8616" t="n">
        <v>0</v>
      </c>
      <c r="K8616" t="n">
        <v>0</v>
      </c>
      <c r="L8616" t="n">
        <v>0</v>
      </c>
      <c r="M8616" t="n">
        <v>0</v>
      </c>
      <c r="N8616" t="n">
        <v>0</v>
      </c>
      <c r="O8616" t="n">
        <v>0</v>
      </c>
      <c r="P8616" t="n">
        <v>0</v>
      </c>
      <c r="Q8616" t="n">
        <v>0</v>
      </c>
      <c r="R8616" s="2" t="inlineStr"/>
    </row>
    <row r="8617" ht="15" customHeight="1">
      <c r="A8617" t="inlineStr">
        <is>
          <t>A 30873-2022</t>
        </is>
      </c>
      <c r="B8617" s="1" t="n">
        <v>44767</v>
      </c>
      <c r="C8617" s="1" t="n">
        <v>45212</v>
      </c>
      <c r="D8617" t="inlineStr">
        <is>
          <t>VÄSTRA GÖTALANDS LÄN</t>
        </is>
      </c>
      <c r="E8617" t="inlineStr">
        <is>
          <t>TIDAHOLM</t>
        </is>
      </c>
      <c r="F8617" t="inlineStr">
        <is>
          <t>Allmännings- och besparingsskogar</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30904-2022</t>
        </is>
      </c>
      <c r="B8618" s="1" t="n">
        <v>44767</v>
      </c>
      <c r="C8618" s="1" t="n">
        <v>45212</v>
      </c>
      <c r="D8618" t="inlineStr">
        <is>
          <t>VÄSTRA GÖTALANDS LÄN</t>
        </is>
      </c>
      <c r="E8618" t="inlineStr">
        <is>
          <t>LIDKÖPING</t>
        </is>
      </c>
      <c r="G8618" t="n">
        <v>5</v>
      </c>
      <c r="H8618" t="n">
        <v>0</v>
      </c>
      <c r="I8618" t="n">
        <v>0</v>
      </c>
      <c r="J8618" t="n">
        <v>0</v>
      </c>
      <c r="K8618" t="n">
        <v>0</v>
      </c>
      <c r="L8618" t="n">
        <v>0</v>
      </c>
      <c r="M8618" t="n">
        <v>0</v>
      </c>
      <c r="N8618" t="n">
        <v>0</v>
      </c>
      <c r="O8618" t="n">
        <v>0</v>
      </c>
      <c r="P8618" t="n">
        <v>0</v>
      </c>
      <c r="Q8618" t="n">
        <v>0</v>
      </c>
      <c r="R8618" s="2" t="inlineStr"/>
    </row>
    <row r="8619" ht="15" customHeight="1">
      <c r="A8619" t="inlineStr">
        <is>
          <t>A 30871-2022</t>
        </is>
      </c>
      <c r="B8619" s="1" t="n">
        <v>44767</v>
      </c>
      <c r="C8619" s="1" t="n">
        <v>45212</v>
      </c>
      <c r="D8619" t="inlineStr">
        <is>
          <t>VÄSTRA GÖTALANDS LÄN</t>
        </is>
      </c>
      <c r="E8619" t="inlineStr">
        <is>
          <t>UDDEVALLA</t>
        </is>
      </c>
      <c r="G8619" t="n">
        <v>0.4</v>
      </c>
      <c r="H8619" t="n">
        <v>0</v>
      </c>
      <c r="I8619" t="n">
        <v>0</v>
      </c>
      <c r="J8619" t="n">
        <v>0</v>
      </c>
      <c r="K8619" t="n">
        <v>0</v>
      </c>
      <c r="L8619" t="n">
        <v>0</v>
      </c>
      <c r="M8619" t="n">
        <v>0</v>
      </c>
      <c r="N8619" t="n">
        <v>0</v>
      </c>
      <c r="O8619" t="n">
        <v>0</v>
      </c>
      <c r="P8619" t="n">
        <v>0</v>
      </c>
      <c r="Q8619" t="n">
        <v>0</v>
      </c>
      <c r="R8619" s="2" t="inlineStr"/>
    </row>
    <row r="8620" ht="15" customHeight="1">
      <c r="A8620" t="inlineStr">
        <is>
          <t>A 30954-2022</t>
        </is>
      </c>
      <c r="B8620" s="1" t="n">
        <v>44768</v>
      </c>
      <c r="C8620" s="1" t="n">
        <v>45212</v>
      </c>
      <c r="D8620" t="inlineStr">
        <is>
          <t>VÄSTRA GÖTALANDS LÄN</t>
        </is>
      </c>
      <c r="E8620" t="inlineStr">
        <is>
          <t>ULRICEHAMN</t>
        </is>
      </c>
      <c r="G8620" t="n">
        <v>1.7</v>
      </c>
      <c r="H8620" t="n">
        <v>0</v>
      </c>
      <c r="I8620" t="n">
        <v>0</v>
      </c>
      <c r="J8620" t="n">
        <v>0</v>
      </c>
      <c r="K8620" t="n">
        <v>0</v>
      </c>
      <c r="L8620" t="n">
        <v>0</v>
      </c>
      <c r="M8620" t="n">
        <v>0</v>
      </c>
      <c r="N8620" t="n">
        <v>0</v>
      </c>
      <c r="O8620" t="n">
        <v>0</v>
      </c>
      <c r="P8620" t="n">
        <v>0</v>
      </c>
      <c r="Q8620" t="n">
        <v>0</v>
      </c>
      <c r="R8620" s="2" t="inlineStr"/>
    </row>
    <row r="8621" ht="15" customHeight="1">
      <c r="A8621" t="inlineStr">
        <is>
          <t>A 30993-2022</t>
        </is>
      </c>
      <c r="B8621" s="1" t="n">
        <v>44768</v>
      </c>
      <c r="C8621" s="1" t="n">
        <v>45212</v>
      </c>
      <c r="D8621" t="inlineStr">
        <is>
          <t>VÄSTRA GÖTALANDS LÄN</t>
        </is>
      </c>
      <c r="E8621" t="inlineStr">
        <is>
          <t>FÄRGELANDA</t>
        </is>
      </c>
      <c r="G8621" t="n">
        <v>4.4</v>
      </c>
      <c r="H8621" t="n">
        <v>0</v>
      </c>
      <c r="I8621" t="n">
        <v>0</v>
      </c>
      <c r="J8621" t="n">
        <v>0</v>
      </c>
      <c r="K8621" t="n">
        <v>0</v>
      </c>
      <c r="L8621" t="n">
        <v>0</v>
      </c>
      <c r="M8621" t="n">
        <v>0</v>
      </c>
      <c r="N8621" t="n">
        <v>0</v>
      </c>
      <c r="O8621" t="n">
        <v>0</v>
      </c>
      <c r="P8621" t="n">
        <v>0</v>
      </c>
      <c r="Q8621" t="n">
        <v>0</v>
      </c>
      <c r="R8621" s="2" t="inlineStr"/>
    </row>
    <row r="8622" ht="15" customHeight="1">
      <c r="A8622" t="inlineStr">
        <is>
          <t>A 31001-2022</t>
        </is>
      </c>
      <c r="B8622" s="1" t="n">
        <v>44768</v>
      </c>
      <c r="C8622" s="1" t="n">
        <v>45212</v>
      </c>
      <c r="D8622" t="inlineStr">
        <is>
          <t>VÄSTRA GÖTALANDS LÄN</t>
        </is>
      </c>
      <c r="E8622" t="inlineStr">
        <is>
          <t>MARK</t>
        </is>
      </c>
      <c r="G8622" t="n">
        <v>6.2</v>
      </c>
      <c r="H8622" t="n">
        <v>0</v>
      </c>
      <c r="I8622" t="n">
        <v>0</v>
      </c>
      <c r="J8622" t="n">
        <v>0</v>
      </c>
      <c r="K8622" t="n">
        <v>0</v>
      </c>
      <c r="L8622" t="n">
        <v>0</v>
      </c>
      <c r="M8622" t="n">
        <v>0</v>
      </c>
      <c r="N8622" t="n">
        <v>0</v>
      </c>
      <c r="O8622" t="n">
        <v>0</v>
      </c>
      <c r="P8622" t="n">
        <v>0</v>
      </c>
      <c r="Q8622" t="n">
        <v>0</v>
      </c>
      <c r="R8622" s="2" t="inlineStr"/>
    </row>
    <row r="8623" ht="15" customHeight="1">
      <c r="A8623" t="inlineStr">
        <is>
          <t>A 31044-2022</t>
        </is>
      </c>
      <c r="B8623" s="1" t="n">
        <v>44768</v>
      </c>
      <c r="C8623" s="1" t="n">
        <v>45212</v>
      </c>
      <c r="D8623" t="inlineStr">
        <is>
          <t>VÄSTRA GÖTALANDS LÄN</t>
        </is>
      </c>
      <c r="E8623" t="inlineStr">
        <is>
          <t>MARK</t>
        </is>
      </c>
      <c r="G8623" t="n">
        <v>2</v>
      </c>
      <c r="H8623" t="n">
        <v>0</v>
      </c>
      <c r="I8623" t="n">
        <v>0</v>
      </c>
      <c r="J8623" t="n">
        <v>0</v>
      </c>
      <c r="K8623" t="n">
        <v>0</v>
      </c>
      <c r="L8623" t="n">
        <v>0</v>
      </c>
      <c r="M8623" t="n">
        <v>0</v>
      </c>
      <c r="N8623" t="n">
        <v>0</v>
      </c>
      <c r="O8623" t="n">
        <v>0</v>
      </c>
      <c r="P8623" t="n">
        <v>0</v>
      </c>
      <c r="Q8623" t="n">
        <v>0</v>
      </c>
      <c r="R8623" s="2" t="inlineStr"/>
    </row>
    <row r="8624" ht="15" customHeight="1">
      <c r="A8624" t="inlineStr">
        <is>
          <t>A 31051-2022</t>
        </is>
      </c>
      <c r="B8624" s="1" t="n">
        <v>44769</v>
      </c>
      <c r="C8624" s="1" t="n">
        <v>45212</v>
      </c>
      <c r="D8624" t="inlineStr">
        <is>
          <t>VÄSTRA GÖTALANDS LÄN</t>
        </is>
      </c>
      <c r="E8624" t="inlineStr">
        <is>
          <t>VÄNERSBORG</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31065-2022</t>
        </is>
      </c>
      <c r="B8625" s="1" t="n">
        <v>44769</v>
      </c>
      <c r="C8625" s="1" t="n">
        <v>45212</v>
      </c>
      <c r="D8625" t="inlineStr">
        <is>
          <t>VÄSTRA GÖTALANDS LÄN</t>
        </is>
      </c>
      <c r="E8625" t="inlineStr">
        <is>
          <t>BORÅS</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31130-2022</t>
        </is>
      </c>
      <c r="B8626" s="1" t="n">
        <v>44770</v>
      </c>
      <c r="C8626" s="1" t="n">
        <v>45212</v>
      </c>
      <c r="D8626" t="inlineStr">
        <is>
          <t>VÄSTRA GÖTALANDS LÄN</t>
        </is>
      </c>
      <c r="E8626" t="inlineStr">
        <is>
          <t>TRANEMO</t>
        </is>
      </c>
      <c r="G8626" t="n">
        <v>0.9</v>
      </c>
      <c r="H8626" t="n">
        <v>0</v>
      </c>
      <c r="I8626" t="n">
        <v>0</v>
      </c>
      <c r="J8626" t="n">
        <v>0</v>
      </c>
      <c r="K8626" t="n">
        <v>0</v>
      </c>
      <c r="L8626" t="n">
        <v>0</v>
      </c>
      <c r="M8626" t="n">
        <v>0</v>
      </c>
      <c r="N8626" t="n">
        <v>0</v>
      </c>
      <c r="O8626" t="n">
        <v>0</v>
      </c>
      <c r="P8626" t="n">
        <v>0</v>
      </c>
      <c r="Q8626" t="n">
        <v>0</v>
      </c>
      <c r="R8626" s="2" t="inlineStr"/>
    </row>
    <row r="8627" ht="15" customHeight="1">
      <c r="A8627" t="inlineStr">
        <is>
          <t>A 31213-2022</t>
        </is>
      </c>
      <c r="B8627" s="1" t="n">
        <v>44771</v>
      </c>
      <c r="C8627" s="1" t="n">
        <v>45212</v>
      </c>
      <c r="D8627" t="inlineStr">
        <is>
          <t>VÄSTRA GÖTALANDS LÄN</t>
        </is>
      </c>
      <c r="E8627" t="inlineStr">
        <is>
          <t>BORÅS</t>
        </is>
      </c>
      <c r="F8627" t="inlineStr">
        <is>
          <t>Kyrkan</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31298-2022</t>
        </is>
      </c>
      <c r="B8628" s="1" t="n">
        <v>44772</v>
      </c>
      <c r="C8628" s="1" t="n">
        <v>45212</v>
      </c>
      <c r="D8628" t="inlineStr">
        <is>
          <t>VÄSTRA GÖTALANDS LÄN</t>
        </is>
      </c>
      <c r="E8628" t="inlineStr">
        <is>
          <t>ULRICEHAMN</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31303-2022</t>
        </is>
      </c>
      <c r="B8629" s="1" t="n">
        <v>44773</v>
      </c>
      <c r="C8629" s="1" t="n">
        <v>45212</v>
      </c>
      <c r="D8629" t="inlineStr">
        <is>
          <t>VÄSTRA GÖTALANDS LÄN</t>
        </is>
      </c>
      <c r="E8629" t="inlineStr">
        <is>
          <t>ALINGSÅS</t>
        </is>
      </c>
      <c r="G8629" t="n">
        <v>0.6</v>
      </c>
      <c r="H8629" t="n">
        <v>0</v>
      </c>
      <c r="I8629" t="n">
        <v>0</v>
      </c>
      <c r="J8629" t="n">
        <v>0</v>
      </c>
      <c r="K8629" t="n">
        <v>0</v>
      </c>
      <c r="L8629" t="n">
        <v>0</v>
      </c>
      <c r="M8629" t="n">
        <v>0</v>
      </c>
      <c r="N8629" t="n">
        <v>0</v>
      </c>
      <c r="O8629" t="n">
        <v>0</v>
      </c>
      <c r="P8629" t="n">
        <v>0</v>
      </c>
      <c r="Q8629" t="n">
        <v>0</v>
      </c>
      <c r="R8629" s="2" t="inlineStr"/>
    </row>
    <row r="8630" ht="15" customHeight="1">
      <c r="A8630" t="inlineStr">
        <is>
          <t>A 31384-2022</t>
        </is>
      </c>
      <c r="B8630" s="1" t="n">
        <v>44774</v>
      </c>
      <c r="C8630" s="1" t="n">
        <v>45212</v>
      </c>
      <c r="D8630" t="inlineStr">
        <is>
          <t>VÄSTRA GÖTALANDS LÄN</t>
        </is>
      </c>
      <c r="E8630" t="inlineStr">
        <is>
          <t>MARIESTAD</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31580-2022</t>
        </is>
      </c>
      <c r="B8631" s="1" t="n">
        <v>44775</v>
      </c>
      <c r="C8631" s="1" t="n">
        <v>45212</v>
      </c>
      <c r="D8631" t="inlineStr">
        <is>
          <t>VÄSTRA GÖTALANDS LÄN</t>
        </is>
      </c>
      <c r="E8631" t="inlineStr">
        <is>
          <t>ULRICEHAMN</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31584-2022</t>
        </is>
      </c>
      <c r="B8632" s="1" t="n">
        <v>44775</v>
      </c>
      <c r="C8632" s="1" t="n">
        <v>45212</v>
      </c>
      <c r="D8632" t="inlineStr">
        <is>
          <t>VÄSTRA GÖTALANDS LÄN</t>
        </is>
      </c>
      <c r="E8632" t="inlineStr">
        <is>
          <t>TRANEMO</t>
        </is>
      </c>
      <c r="G8632" t="n">
        <v>2.9</v>
      </c>
      <c r="H8632" t="n">
        <v>0</v>
      </c>
      <c r="I8632" t="n">
        <v>0</v>
      </c>
      <c r="J8632" t="n">
        <v>0</v>
      </c>
      <c r="K8632" t="n">
        <v>0</v>
      </c>
      <c r="L8632" t="n">
        <v>0</v>
      </c>
      <c r="M8632" t="n">
        <v>0</v>
      </c>
      <c r="N8632" t="n">
        <v>0</v>
      </c>
      <c r="O8632" t="n">
        <v>0</v>
      </c>
      <c r="P8632" t="n">
        <v>0</v>
      </c>
      <c r="Q8632" t="n">
        <v>0</v>
      </c>
      <c r="R8632" s="2" t="inlineStr"/>
    </row>
    <row r="8633" ht="15" customHeight="1">
      <c r="A8633" t="inlineStr">
        <is>
          <t>A 31546-2022</t>
        </is>
      </c>
      <c r="B8633" s="1" t="n">
        <v>44775</v>
      </c>
      <c r="C8633" s="1" t="n">
        <v>45212</v>
      </c>
      <c r="D8633" t="inlineStr">
        <is>
          <t>VÄSTRA GÖTALANDS LÄN</t>
        </is>
      </c>
      <c r="E8633" t="inlineStr">
        <is>
          <t>BOLLEBYGD</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31711-2022</t>
        </is>
      </c>
      <c r="B8634" s="1" t="n">
        <v>44776</v>
      </c>
      <c r="C8634" s="1" t="n">
        <v>45212</v>
      </c>
      <c r="D8634" t="inlineStr">
        <is>
          <t>VÄSTRA GÖTALANDS LÄN</t>
        </is>
      </c>
      <c r="E8634" t="inlineStr">
        <is>
          <t>ULRICEHAMN</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31754-2022</t>
        </is>
      </c>
      <c r="B8635" s="1" t="n">
        <v>44776</v>
      </c>
      <c r="C8635" s="1" t="n">
        <v>45212</v>
      </c>
      <c r="D8635" t="inlineStr">
        <is>
          <t>VÄSTRA GÖTALANDS LÄN</t>
        </is>
      </c>
      <c r="E8635" t="inlineStr">
        <is>
          <t>DALS-ED</t>
        </is>
      </c>
      <c r="G8635" t="n">
        <v>4.2</v>
      </c>
      <c r="H8635" t="n">
        <v>0</v>
      </c>
      <c r="I8635" t="n">
        <v>0</v>
      </c>
      <c r="J8635" t="n">
        <v>0</v>
      </c>
      <c r="K8635" t="n">
        <v>0</v>
      </c>
      <c r="L8635" t="n">
        <v>0</v>
      </c>
      <c r="M8635" t="n">
        <v>0</v>
      </c>
      <c r="N8635" t="n">
        <v>0</v>
      </c>
      <c r="O8635" t="n">
        <v>0</v>
      </c>
      <c r="P8635" t="n">
        <v>0</v>
      </c>
      <c r="Q8635" t="n">
        <v>0</v>
      </c>
      <c r="R8635" s="2" t="inlineStr"/>
    </row>
    <row r="8636" ht="15" customHeight="1">
      <c r="A8636" t="inlineStr">
        <is>
          <t>A 31707-2022</t>
        </is>
      </c>
      <c r="B8636" s="1" t="n">
        <v>44776</v>
      </c>
      <c r="C8636" s="1" t="n">
        <v>45212</v>
      </c>
      <c r="D8636" t="inlineStr">
        <is>
          <t>VÄSTRA GÖTALANDS LÄN</t>
        </is>
      </c>
      <c r="E8636" t="inlineStr">
        <is>
          <t>BENGTSFORS</t>
        </is>
      </c>
      <c r="G8636" t="n">
        <v>4.9</v>
      </c>
      <c r="H8636" t="n">
        <v>0</v>
      </c>
      <c r="I8636" t="n">
        <v>0</v>
      </c>
      <c r="J8636" t="n">
        <v>0</v>
      </c>
      <c r="K8636" t="n">
        <v>0</v>
      </c>
      <c r="L8636" t="n">
        <v>0</v>
      </c>
      <c r="M8636" t="n">
        <v>0</v>
      </c>
      <c r="N8636" t="n">
        <v>0</v>
      </c>
      <c r="O8636" t="n">
        <v>0</v>
      </c>
      <c r="P8636" t="n">
        <v>0</v>
      </c>
      <c r="Q8636" t="n">
        <v>0</v>
      </c>
      <c r="R8636" s="2" t="inlineStr"/>
    </row>
    <row r="8637" ht="15" customHeight="1">
      <c r="A8637" t="inlineStr">
        <is>
          <t>A 31715-2022</t>
        </is>
      </c>
      <c r="B8637" s="1" t="n">
        <v>44776</v>
      </c>
      <c r="C8637" s="1" t="n">
        <v>45212</v>
      </c>
      <c r="D8637" t="inlineStr">
        <is>
          <t>VÄSTRA GÖTALANDS LÄN</t>
        </is>
      </c>
      <c r="E8637" t="inlineStr">
        <is>
          <t>BENGTSFORS</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31704-2022</t>
        </is>
      </c>
      <c r="B8638" s="1" t="n">
        <v>44776</v>
      </c>
      <c r="C8638" s="1" t="n">
        <v>45212</v>
      </c>
      <c r="D8638" t="inlineStr">
        <is>
          <t>VÄSTRA GÖTALANDS LÄN</t>
        </is>
      </c>
      <c r="E8638" t="inlineStr">
        <is>
          <t>ULRICEHAMN</t>
        </is>
      </c>
      <c r="G8638" t="n">
        <v>3.2</v>
      </c>
      <c r="H8638" t="n">
        <v>0</v>
      </c>
      <c r="I8638" t="n">
        <v>0</v>
      </c>
      <c r="J8638" t="n">
        <v>0</v>
      </c>
      <c r="K8638" t="n">
        <v>0</v>
      </c>
      <c r="L8638" t="n">
        <v>0</v>
      </c>
      <c r="M8638" t="n">
        <v>0</v>
      </c>
      <c r="N8638" t="n">
        <v>0</v>
      </c>
      <c r="O8638" t="n">
        <v>0</v>
      </c>
      <c r="P8638" t="n">
        <v>0</v>
      </c>
      <c r="Q8638" t="n">
        <v>0</v>
      </c>
      <c r="R8638" s="2" t="inlineStr"/>
    </row>
    <row r="8639" ht="15" customHeight="1">
      <c r="A8639" t="inlineStr">
        <is>
          <t>A 31714-2022</t>
        </is>
      </c>
      <c r="B8639" s="1" t="n">
        <v>44776</v>
      </c>
      <c r="C8639" s="1" t="n">
        <v>45212</v>
      </c>
      <c r="D8639" t="inlineStr">
        <is>
          <t>VÄSTRA GÖTALANDS LÄN</t>
        </is>
      </c>
      <c r="E8639" t="inlineStr">
        <is>
          <t>ULRICEHAMN</t>
        </is>
      </c>
      <c r="G8639" t="n">
        <v>0</v>
      </c>
      <c r="H8639" t="n">
        <v>0</v>
      </c>
      <c r="I8639" t="n">
        <v>0</v>
      </c>
      <c r="J8639" t="n">
        <v>0</v>
      </c>
      <c r="K8639" t="n">
        <v>0</v>
      </c>
      <c r="L8639" t="n">
        <v>0</v>
      </c>
      <c r="M8639" t="n">
        <v>0</v>
      </c>
      <c r="N8639" t="n">
        <v>0</v>
      </c>
      <c r="O8639" t="n">
        <v>0</v>
      </c>
      <c r="P8639" t="n">
        <v>0</v>
      </c>
      <c r="Q8639" t="n">
        <v>0</v>
      </c>
      <c r="R8639" s="2" t="inlineStr"/>
    </row>
    <row r="8640" ht="15" customHeight="1">
      <c r="A8640" t="inlineStr">
        <is>
          <t>A 31710-2022</t>
        </is>
      </c>
      <c r="B8640" s="1" t="n">
        <v>44776</v>
      </c>
      <c r="C8640" s="1" t="n">
        <v>45212</v>
      </c>
      <c r="D8640" t="inlineStr">
        <is>
          <t>VÄSTRA GÖTALANDS LÄN</t>
        </is>
      </c>
      <c r="E8640" t="inlineStr">
        <is>
          <t>BENGTSFORS</t>
        </is>
      </c>
      <c r="G8640" t="n">
        <v>2</v>
      </c>
      <c r="H8640" t="n">
        <v>0</v>
      </c>
      <c r="I8640" t="n">
        <v>0</v>
      </c>
      <c r="J8640" t="n">
        <v>0</v>
      </c>
      <c r="K8640" t="n">
        <v>0</v>
      </c>
      <c r="L8640" t="n">
        <v>0</v>
      </c>
      <c r="M8640" t="n">
        <v>0</v>
      </c>
      <c r="N8640" t="n">
        <v>0</v>
      </c>
      <c r="O8640" t="n">
        <v>0</v>
      </c>
      <c r="P8640" t="n">
        <v>0</v>
      </c>
      <c r="Q8640" t="n">
        <v>0</v>
      </c>
      <c r="R8640" s="2" t="inlineStr"/>
    </row>
    <row r="8641" ht="15" customHeight="1">
      <c r="A8641" t="inlineStr">
        <is>
          <t>A 31764-2022</t>
        </is>
      </c>
      <c r="B8641" s="1" t="n">
        <v>44776</v>
      </c>
      <c r="C8641" s="1" t="n">
        <v>45212</v>
      </c>
      <c r="D8641" t="inlineStr">
        <is>
          <t>VÄSTRA GÖTALANDS LÄN</t>
        </is>
      </c>
      <c r="E8641" t="inlineStr">
        <is>
          <t>DALS-ED</t>
        </is>
      </c>
      <c r="G8641" t="n">
        <v>0.6</v>
      </c>
      <c r="H8641" t="n">
        <v>0</v>
      </c>
      <c r="I8641" t="n">
        <v>0</v>
      </c>
      <c r="J8641" t="n">
        <v>0</v>
      </c>
      <c r="K8641" t="n">
        <v>0</v>
      </c>
      <c r="L8641" t="n">
        <v>0</v>
      </c>
      <c r="M8641" t="n">
        <v>0</v>
      </c>
      <c r="N8641" t="n">
        <v>0</v>
      </c>
      <c r="O8641" t="n">
        <v>0</v>
      </c>
      <c r="P8641" t="n">
        <v>0</v>
      </c>
      <c r="Q8641" t="n">
        <v>0</v>
      </c>
      <c r="R8641" s="2" t="inlineStr"/>
    </row>
    <row r="8642" ht="15" customHeight="1">
      <c r="A8642" t="inlineStr">
        <is>
          <t>A 31952-2022</t>
        </is>
      </c>
      <c r="B8642" s="1" t="n">
        <v>44777</v>
      </c>
      <c r="C8642" s="1" t="n">
        <v>45212</v>
      </c>
      <c r="D8642" t="inlineStr">
        <is>
          <t>VÄSTRA GÖTALANDS LÄN</t>
        </is>
      </c>
      <c r="E8642" t="inlineStr">
        <is>
          <t>BOLLEBYGD</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32168-2022</t>
        </is>
      </c>
      <c r="B8643" s="1" t="n">
        <v>44780</v>
      </c>
      <c r="C8643" s="1" t="n">
        <v>45212</v>
      </c>
      <c r="D8643" t="inlineStr">
        <is>
          <t>VÄSTRA GÖTALANDS LÄN</t>
        </is>
      </c>
      <c r="E8643" t="inlineStr">
        <is>
          <t>ÅMÅL</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32158-2022</t>
        </is>
      </c>
      <c r="B8644" s="1" t="n">
        <v>44781</v>
      </c>
      <c r="C8644" s="1" t="n">
        <v>45212</v>
      </c>
      <c r="D8644" t="inlineStr">
        <is>
          <t>VÄSTRA GÖTALANDS LÄN</t>
        </is>
      </c>
      <c r="E8644" t="inlineStr">
        <is>
          <t>HJO</t>
        </is>
      </c>
      <c r="G8644" t="n">
        <v>1.4</v>
      </c>
      <c r="H8644" t="n">
        <v>0</v>
      </c>
      <c r="I8644" t="n">
        <v>0</v>
      </c>
      <c r="J8644" t="n">
        <v>0</v>
      </c>
      <c r="K8644" t="n">
        <v>0</v>
      </c>
      <c r="L8644" t="n">
        <v>0</v>
      </c>
      <c r="M8644" t="n">
        <v>0</v>
      </c>
      <c r="N8644" t="n">
        <v>0</v>
      </c>
      <c r="O8644" t="n">
        <v>0</v>
      </c>
      <c r="P8644" t="n">
        <v>0</v>
      </c>
      <c r="Q8644" t="n">
        <v>0</v>
      </c>
      <c r="R8644" s="2" t="inlineStr"/>
    </row>
    <row r="8645" ht="15" customHeight="1">
      <c r="A8645" t="inlineStr">
        <is>
          <t>A 32489-2022</t>
        </is>
      </c>
      <c r="B8645" s="1" t="n">
        <v>44782</v>
      </c>
      <c r="C8645" s="1" t="n">
        <v>45212</v>
      </c>
      <c r="D8645" t="inlineStr">
        <is>
          <t>VÄSTRA GÖTALANDS LÄN</t>
        </is>
      </c>
      <c r="E8645" t="inlineStr">
        <is>
          <t>VÅRGÅRDA</t>
        </is>
      </c>
      <c r="G8645" t="n">
        <v>8.800000000000001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32591-2022</t>
        </is>
      </c>
      <c r="B8646" s="1" t="n">
        <v>44783</v>
      </c>
      <c r="C8646" s="1" t="n">
        <v>45212</v>
      </c>
      <c r="D8646" t="inlineStr">
        <is>
          <t>VÄSTRA GÖTALANDS LÄN</t>
        </is>
      </c>
      <c r="E8646" t="inlineStr">
        <is>
          <t>TIDAHOLM</t>
        </is>
      </c>
      <c r="F8646" t="inlineStr">
        <is>
          <t>Sveaskog</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32611-2022</t>
        </is>
      </c>
      <c r="B8647" s="1" t="n">
        <v>44783</v>
      </c>
      <c r="C8647" s="1" t="n">
        <v>45212</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32642-2022</t>
        </is>
      </c>
      <c r="B8648" s="1" t="n">
        <v>44783</v>
      </c>
      <c r="C8648" s="1" t="n">
        <v>45212</v>
      </c>
      <c r="D8648" t="inlineStr">
        <is>
          <t>VÄSTRA GÖTALANDS LÄN</t>
        </is>
      </c>
      <c r="E8648" t="inlineStr">
        <is>
          <t>MELLERUD</t>
        </is>
      </c>
      <c r="G8648" t="n">
        <v>4.2</v>
      </c>
      <c r="H8648" t="n">
        <v>0</v>
      </c>
      <c r="I8648" t="n">
        <v>0</v>
      </c>
      <c r="J8648" t="n">
        <v>0</v>
      </c>
      <c r="K8648" t="n">
        <v>0</v>
      </c>
      <c r="L8648" t="n">
        <v>0</v>
      </c>
      <c r="M8648" t="n">
        <v>0</v>
      </c>
      <c r="N8648" t="n">
        <v>0</v>
      </c>
      <c r="O8648" t="n">
        <v>0</v>
      </c>
      <c r="P8648" t="n">
        <v>0</v>
      </c>
      <c r="Q8648" t="n">
        <v>0</v>
      </c>
      <c r="R8648" s="2" t="inlineStr"/>
    </row>
    <row r="8649" ht="15" customHeight="1">
      <c r="A8649" t="inlineStr">
        <is>
          <t>A 32788-2022</t>
        </is>
      </c>
      <c r="B8649" s="1" t="n">
        <v>44783</v>
      </c>
      <c r="C8649" s="1" t="n">
        <v>45212</v>
      </c>
      <c r="D8649" t="inlineStr">
        <is>
          <t>VÄSTRA GÖTALANDS LÄN</t>
        </is>
      </c>
      <c r="E8649" t="inlineStr">
        <is>
          <t>MELLERUD</t>
        </is>
      </c>
      <c r="G8649" t="n">
        <v>2.5</v>
      </c>
      <c r="H8649" t="n">
        <v>0</v>
      </c>
      <c r="I8649" t="n">
        <v>0</v>
      </c>
      <c r="J8649" t="n">
        <v>0</v>
      </c>
      <c r="K8649" t="n">
        <v>0</v>
      </c>
      <c r="L8649" t="n">
        <v>0</v>
      </c>
      <c r="M8649" t="n">
        <v>0</v>
      </c>
      <c r="N8649" t="n">
        <v>0</v>
      </c>
      <c r="O8649" t="n">
        <v>0</v>
      </c>
      <c r="P8649" t="n">
        <v>0</v>
      </c>
      <c r="Q8649" t="n">
        <v>0</v>
      </c>
      <c r="R8649" s="2" t="inlineStr"/>
    </row>
    <row r="8650" ht="15" customHeight="1">
      <c r="A8650" t="inlineStr">
        <is>
          <t>A 32627-2022</t>
        </is>
      </c>
      <c r="B8650" s="1" t="n">
        <v>44783</v>
      </c>
      <c r="C8650" s="1" t="n">
        <v>45212</v>
      </c>
      <c r="D8650" t="inlineStr">
        <is>
          <t>VÄSTRA GÖTALANDS LÄN</t>
        </is>
      </c>
      <c r="E8650" t="inlineStr">
        <is>
          <t>MELLERUD</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32872-2022</t>
        </is>
      </c>
      <c r="B8651" s="1" t="n">
        <v>44784</v>
      </c>
      <c r="C8651" s="1" t="n">
        <v>45212</v>
      </c>
      <c r="D8651" t="inlineStr">
        <is>
          <t>VÄSTRA GÖTALANDS LÄN</t>
        </is>
      </c>
      <c r="E8651" t="inlineStr">
        <is>
          <t>DALS-ED</t>
        </is>
      </c>
      <c r="G8651" t="n">
        <v>18.3</v>
      </c>
      <c r="H8651" t="n">
        <v>0</v>
      </c>
      <c r="I8651" t="n">
        <v>0</v>
      </c>
      <c r="J8651" t="n">
        <v>0</v>
      </c>
      <c r="K8651" t="n">
        <v>0</v>
      </c>
      <c r="L8651" t="n">
        <v>0</v>
      </c>
      <c r="M8651" t="n">
        <v>0</v>
      </c>
      <c r="N8651" t="n">
        <v>0</v>
      </c>
      <c r="O8651" t="n">
        <v>0</v>
      </c>
      <c r="P8651" t="n">
        <v>0</v>
      </c>
      <c r="Q8651" t="n">
        <v>0</v>
      </c>
      <c r="R8651" s="2" t="inlineStr"/>
    </row>
    <row r="8652" ht="15" customHeight="1">
      <c r="A8652" t="inlineStr">
        <is>
          <t>A 32826-2022</t>
        </is>
      </c>
      <c r="B8652" s="1" t="n">
        <v>44784</v>
      </c>
      <c r="C8652" s="1" t="n">
        <v>45212</v>
      </c>
      <c r="D8652" t="inlineStr">
        <is>
          <t>VÄSTRA GÖTALANDS LÄN</t>
        </is>
      </c>
      <c r="E8652" t="inlineStr">
        <is>
          <t>TROLLHÄTTAN</t>
        </is>
      </c>
      <c r="G8652" t="n">
        <v>4</v>
      </c>
      <c r="H8652" t="n">
        <v>0</v>
      </c>
      <c r="I8652" t="n">
        <v>0</v>
      </c>
      <c r="J8652" t="n">
        <v>0</v>
      </c>
      <c r="K8652" t="n">
        <v>0</v>
      </c>
      <c r="L8652" t="n">
        <v>0</v>
      </c>
      <c r="M8652" t="n">
        <v>0</v>
      </c>
      <c r="N8652" t="n">
        <v>0</v>
      </c>
      <c r="O8652" t="n">
        <v>0</v>
      </c>
      <c r="P8652" t="n">
        <v>0</v>
      </c>
      <c r="Q8652" t="n">
        <v>0</v>
      </c>
      <c r="R8652" s="2" t="inlineStr"/>
    </row>
    <row r="8653" ht="15" customHeight="1">
      <c r="A8653" t="inlineStr">
        <is>
          <t>A 32893-2022</t>
        </is>
      </c>
      <c r="B8653" s="1" t="n">
        <v>44784</v>
      </c>
      <c r="C8653" s="1" t="n">
        <v>45212</v>
      </c>
      <c r="D8653" t="inlineStr">
        <is>
          <t>VÄSTRA GÖTALANDS LÄN</t>
        </is>
      </c>
      <c r="E8653" t="inlineStr">
        <is>
          <t>STENUNGSUND</t>
        </is>
      </c>
      <c r="G8653" t="n">
        <v>1.1</v>
      </c>
      <c r="H8653" t="n">
        <v>0</v>
      </c>
      <c r="I8653" t="n">
        <v>0</v>
      </c>
      <c r="J8653" t="n">
        <v>0</v>
      </c>
      <c r="K8653" t="n">
        <v>0</v>
      </c>
      <c r="L8653" t="n">
        <v>0</v>
      </c>
      <c r="M8653" t="n">
        <v>0</v>
      </c>
      <c r="N8653" t="n">
        <v>0</v>
      </c>
      <c r="O8653" t="n">
        <v>0</v>
      </c>
      <c r="P8653" t="n">
        <v>0</v>
      </c>
      <c r="Q8653" t="n">
        <v>0</v>
      </c>
      <c r="R8653" s="2" t="inlineStr"/>
    </row>
    <row r="8654" ht="15" customHeight="1">
      <c r="A8654" t="inlineStr">
        <is>
          <t>A 33010-2022</t>
        </is>
      </c>
      <c r="B8654" s="1" t="n">
        <v>44785</v>
      </c>
      <c r="C8654" s="1" t="n">
        <v>45212</v>
      </c>
      <c r="D8654" t="inlineStr">
        <is>
          <t>VÄSTRA GÖTALANDS LÄN</t>
        </is>
      </c>
      <c r="E8654" t="inlineStr">
        <is>
          <t>STENUNGSUND</t>
        </is>
      </c>
      <c r="G8654" t="n">
        <v>3.4</v>
      </c>
      <c r="H8654" t="n">
        <v>0</v>
      </c>
      <c r="I8654" t="n">
        <v>0</v>
      </c>
      <c r="J8654" t="n">
        <v>0</v>
      </c>
      <c r="K8654" t="n">
        <v>0</v>
      </c>
      <c r="L8654" t="n">
        <v>0</v>
      </c>
      <c r="M8654" t="n">
        <v>0</v>
      </c>
      <c r="N8654" t="n">
        <v>0</v>
      </c>
      <c r="O8654" t="n">
        <v>0</v>
      </c>
      <c r="P8654" t="n">
        <v>0</v>
      </c>
      <c r="Q8654" t="n">
        <v>0</v>
      </c>
      <c r="R8654" s="2" t="inlineStr"/>
    </row>
    <row r="8655" ht="15" customHeight="1">
      <c r="A8655" t="inlineStr">
        <is>
          <t>A 33048-2022</t>
        </is>
      </c>
      <c r="B8655" s="1" t="n">
        <v>44785</v>
      </c>
      <c r="C8655" s="1" t="n">
        <v>45212</v>
      </c>
      <c r="D8655" t="inlineStr">
        <is>
          <t>VÄSTRA GÖTALANDS LÄN</t>
        </is>
      </c>
      <c r="E8655" t="inlineStr">
        <is>
          <t>ÅMÅL</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33119-2022</t>
        </is>
      </c>
      <c r="B8656" s="1" t="n">
        <v>44785</v>
      </c>
      <c r="C8656" s="1" t="n">
        <v>45212</v>
      </c>
      <c r="D8656" t="inlineStr">
        <is>
          <t>VÄSTRA GÖTALANDS LÄN</t>
        </is>
      </c>
      <c r="E8656" t="inlineStr">
        <is>
          <t>SVENLJUNGA</t>
        </is>
      </c>
      <c r="G8656" t="n">
        <v>4.9</v>
      </c>
      <c r="H8656" t="n">
        <v>0</v>
      </c>
      <c r="I8656" t="n">
        <v>0</v>
      </c>
      <c r="J8656" t="n">
        <v>0</v>
      </c>
      <c r="K8656" t="n">
        <v>0</v>
      </c>
      <c r="L8656" t="n">
        <v>0</v>
      </c>
      <c r="M8656" t="n">
        <v>0</v>
      </c>
      <c r="N8656" t="n">
        <v>0</v>
      </c>
      <c r="O8656" t="n">
        <v>0</v>
      </c>
      <c r="P8656" t="n">
        <v>0</v>
      </c>
      <c r="Q8656" t="n">
        <v>0</v>
      </c>
      <c r="R8656" s="2" t="inlineStr"/>
    </row>
    <row r="8657" ht="15" customHeight="1">
      <c r="A8657" t="inlineStr">
        <is>
          <t>A 33476-2022</t>
        </is>
      </c>
      <c r="B8657" s="1" t="n">
        <v>44788</v>
      </c>
      <c r="C8657" s="1" t="n">
        <v>45212</v>
      </c>
      <c r="D8657" t="inlineStr">
        <is>
          <t>VÄSTRA GÖTALANDS LÄN</t>
        </is>
      </c>
      <c r="E8657" t="inlineStr">
        <is>
          <t>VÄNERSBORG</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33308-2022</t>
        </is>
      </c>
      <c r="B8658" s="1" t="n">
        <v>44788</v>
      </c>
      <c r="C8658" s="1" t="n">
        <v>45212</v>
      </c>
      <c r="D8658" t="inlineStr">
        <is>
          <t>VÄSTRA GÖTALANDS LÄN</t>
        </is>
      </c>
      <c r="E8658" t="inlineStr">
        <is>
          <t>ULRICEHAMN</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33373-2022</t>
        </is>
      </c>
      <c r="B8659" s="1" t="n">
        <v>44788</v>
      </c>
      <c r="C8659" s="1" t="n">
        <v>45212</v>
      </c>
      <c r="D8659" t="inlineStr">
        <is>
          <t>VÄSTRA GÖTALANDS LÄN</t>
        </is>
      </c>
      <c r="E8659" t="inlineStr">
        <is>
          <t>LIDKÖPING</t>
        </is>
      </c>
      <c r="G8659" t="n">
        <v>2.3</v>
      </c>
      <c r="H8659" t="n">
        <v>0</v>
      </c>
      <c r="I8659" t="n">
        <v>0</v>
      </c>
      <c r="J8659" t="n">
        <v>0</v>
      </c>
      <c r="K8659" t="n">
        <v>0</v>
      </c>
      <c r="L8659" t="n">
        <v>0</v>
      </c>
      <c r="M8659" t="n">
        <v>0</v>
      </c>
      <c r="N8659" t="n">
        <v>0</v>
      </c>
      <c r="O8659" t="n">
        <v>0</v>
      </c>
      <c r="P8659" t="n">
        <v>0</v>
      </c>
      <c r="Q8659" t="n">
        <v>0</v>
      </c>
      <c r="R8659" s="2" t="inlineStr"/>
    </row>
    <row r="8660" ht="15" customHeight="1">
      <c r="A8660" t="inlineStr">
        <is>
          <t>A 33388-2022</t>
        </is>
      </c>
      <c r="B8660" s="1" t="n">
        <v>44788</v>
      </c>
      <c r="C8660" s="1" t="n">
        <v>45212</v>
      </c>
      <c r="D8660" t="inlineStr">
        <is>
          <t>VÄSTRA GÖTALANDS LÄN</t>
        </is>
      </c>
      <c r="E8660" t="inlineStr">
        <is>
          <t>MELLERUD</t>
        </is>
      </c>
      <c r="G8660" t="n">
        <v>8.699999999999999</v>
      </c>
      <c r="H8660" t="n">
        <v>0</v>
      </c>
      <c r="I8660" t="n">
        <v>0</v>
      </c>
      <c r="J8660" t="n">
        <v>0</v>
      </c>
      <c r="K8660" t="n">
        <v>0</v>
      </c>
      <c r="L8660" t="n">
        <v>0</v>
      </c>
      <c r="M8660" t="n">
        <v>0</v>
      </c>
      <c r="N8660" t="n">
        <v>0</v>
      </c>
      <c r="O8660" t="n">
        <v>0</v>
      </c>
      <c r="P8660" t="n">
        <v>0</v>
      </c>
      <c r="Q8660" t="n">
        <v>0</v>
      </c>
      <c r="R8660" s="2" t="inlineStr"/>
    </row>
    <row r="8661" ht="15" customHeight="1">
      <c r="A8661" t="inlineStr">
        <is>
          <t>A 33784-2022</t>
        </is>
      </c>
      <c r="B8661" s="1" t="n">
        <v>44789</v>
      </c>
      <c r="C8661" s="1" t="n">
        <v>45212</v>
      </c>
      <c r="D8661" t="inlineStr">
        <is>
          <t>VÄSTRA GÖTALANDS LÄN</t>
        </is>
      </c>
      <c r="E8661" t="inlineStr">
        <is>
          <t>TIBRO</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33654-2022</t>
        </is>
      </c>
      <c r="B8662" s="1" t="n">
        <v>44789</v>
      </c>
      <c r="C8662" s="1" t="n">
        <v>45212</v>
      </c>
      <c r="D8662" t="inlineStr">
        <is>
          <t>VÄSTRA GÖTALANDS LÄN</t>
        </is>
      </c>
      <c r="E8662" t="inlineStr">
        <is>
          <t>LIDKÖPING</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33557-2022</t>
        </is>
      </c>
      <c r="B8663" s="1" t="n">
        <v>44789</v>
      </c>
      <c r="C8663" s="1" t="n">
        <v>45212</v>
      </c>
      <c r="D8663" t="inlineStr">
        <is>
          <t>VÄSTRA GÖTALANDS LÄN</t>
        </is>
      </c>
      <c r="E8663" t="inlineStr">
        <is>
          <t>MELLERUD</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33608-2022</t>
        </is>
      </c>
      <c r="B8664" s="1" t="n">
        <v>44789</v>
      </c>
      <c r="C8664" s="1" t="n">
        <v>45212</v>
      </c>
      <c r="D8664" t="inlineStr">
        <is>
          <t>VÄSTRA GÖTALANDS LÄN</t>
        </is>
      </c>
      <c r="E8664" t="inlineStr">
        <is>
          <t>TANUM</t>
        </is>
      </c>
      <c r="G8664" t="n">
        <v>10.8</v>
      </c>
      <c r="H8664" t="n">
        <v>0</v>
      </c>
      <c r="I8664" t="n">
        <v>0</v>
      </c>
      <c r="J8664" t="n">
        <v>0</v>
      </c>
      <c r="K8664" t="n">
        <v>0</v>
      </c>
      <c r="L8664" t="n">
        <v>0</v>
      </c>
      <c r="M8664" t="n">
        <v>0</v>
      </c>
      <c r="N8664" t="n">
        <v>0</v>
      </c>
      <c r="O8664" t="n">
        <v>0</v>
      </c>
      <c r="P8664" t="n">
        <v>0</v>
      </c>
      <c r="Q8664" t="n">
        <v>0</v>
      </c>
      <c r="R8664" s="2" t="inlineStr"/>
    </row>
    <row r="8665" ht="15" customHeight="1">
      <c r="A8665" t="inlineStr">
        <is>
          <t>A 33653-2022</t>
        </is>
      </c>
      <c r="B8665" s="1" t="n">
        <v>44789</v>
      </c>
      <c r="C8665" s="1" t="n">
        <v>45212</v>
      </c>
      <c r="D8665" t="inlineStr">
        <is>
          <t>VÄSTRA GÖTALANDS LÄN</t>
        </is>
      </c>
      <c r="E8665" t="inlineStr">
        <is>
          <t>LIDKÖPING</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33688-2022</t>
        </is>
      </c>
      <c r="B8666" s="1" t="n">
        <v>44789</v>
      </c>
      <c r="C8666" s="1" t="n">
        <v>45212</v>
      </c>
      <c r="D8666" t="inlineStr">
        <is>
          <t>VÄSTRA GÖTALANDS LÄN</t>
        </is>
      </c>
      <c r="E8666" t="inlineStr">
        <is>
          <t>DALS-ED</t>
        </is>
      </c>
      <c r="G8666" t="n">
        <v>12.9</v>
      </c>
      <c r="H8666" t="n">
        <v>0</v>
      </c>
      <c r="I8666" t="n">
        <v>0</v>
      </c>
      <c r="J8666" t="n">
        <v>0</v>
      </c>
      <c r="K8666" t="n">
        <v>0</v>
      </c>
      <c r="L8666" t="n">
        <v>0</v>
      </c>
      <c r="M8666" t="n">
        <v>0</v>
      </c>
      <c r="N8666" t="n">
        <v>0</v>
      </c>
      <c r="O8666" t="n">
        <v>0</v>
      </c>
      <c r="P8666" t="n">
        <v>0</v>
      </c>
      <c r="Q8666" t="n">
        <v>0</v>
      </c>
      <c r="R8666" s="2" t="inlineStr"/>
    </row>
    <row r="8667" ht="15" customHeight="1">
      <c r="A8667" t="inlineStr">
        <is>
          <t>A 33860-2022</t>
        </is>
      </c>
      <c r="B8667" s="1" t="n">
        <v>44790</v>
      </c>
      <c r="C8667" s="1" t="n">
        <v>45212</v>
      </c>
      <c r="D8667" t="inlineStr">
        <is>
          <t>VÄSTRA GÖTALANDS LÄN</t>
        </is>
      </c>
      <c r="E8667" t="inlineStr">
        <is>
          <t>UDDEVALLA</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33891-2022</t>
        </is>
      </c>
      <c r="B8668" s="1" t="n">
        <v>44790</v>
      </c>
      <c r="C8668" s="1" t="n">
        <v>45212</v>
      </c>
      <c r="D8668" t="inlineStr">
        <is>
          <t>VÄSTRA GÖTALANDS LÄN</t>
        </is>
      </c>
      <c r="E8668" t="inlineStr">
        <is>
          <t>BENGTSFORS</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33921-2022</t>
        </is>
      </c>
      <c r="B8669" s="1" t="n">
        <v>44790</v>
      </c>
      <c r="C8669" s="1" t="n">
        <v>45212</v>
      </c>
      <c r="D8669" t="inlineStr">
        <is>
          <t>VÄSTRA GÖTALANDS LÄN</t>
        </is>
      </c>
      <c r="E8669" t="inlineStr">
        <is>
          <t>HERRLJUNGA</t>
        </is>
      </c>
      <c r="G8669" t="n">
        <v>1.7</v>
      </c>
      <c r="H8669" t="n">
        <v>0</v>
      </c>
      <c r="I8669" t="n">
        <v>0</v>
      </c>
      <c r="J8669" t="n">
        <v>0</v>
      </c>
      <c r="K8669" t="n">
        <v>0</v>
      </c>
      <c r="L8669" t="n">
        <v>0</v>
      </c>
      <c r="M8669" t="n">
        <v>0</v>
      </c>
      <c r="N8669" t="n">
        <v>0</v>
      </c>
      <c r="O8669" t="n">
        <v>0</v>
      </c>
      <c r="P8669" t="n">
        <v>0</v>
      </c>
      <c r="Q8669" t="n">
        <v>0</v>
      </c>
      <c r="R8669" s="2" t="inlineStr"/>
    </row>
    <row r="8670" ht="15" customHeight="1">
      <c r="A8670" t="inlineStr">
        <is>
          <t>A 33787-2022</t>
        </is>
      </c>
      <c r="B8670" s="1" t="n">
        <v>44790</v>
      </c>
      <c r="C8670" s="1" t="n">
        <v>45212</v>
      </c>
      <c r="D8670" t="inlineStr">
        <is>
          <t>VÄSTRA GÖTALANDS LÄN</t>
        </is>
      </c>
      <c r="E8670" t="inlineStr">
        <is>
          <t>BORÅS</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33922-2022</t>
        </is>
      </c>
      <c r="B8671" s="1" t="n">
        <v>44790</v>
      </c>
      <c r="C8671" s="1" t="n">
        <v>45212</v>
      </c>
      <c r="D8671" t="inlineStr">
        <is>
          <t>VÄSTRA GÖTALANDS LÄN</t>
        </is>
      </c>
      <c r="E8671" t="inlineStr">
        <is>
          <t>LERUM</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33950-2022</t>
        </is>
      </c>
      <c r="B8672" s="1" t="n">
        <v>44790</v>
      </c>
      <c r="C8672" s="1" t="n">
        <v>45212</v>
      </c>
      <c r="D8672" t="inlineStr">
        <is>
          <t>VÄSTRA GÖTALANDS LÄN</t>
        </is>
      </c>
      <c r="E8672" t="inlineStr">
        <is>
          <t>BENGTSFORS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33954-2022</t>
        </is>
      </c>
      <c r="B8673" s="1" t="n">
        <v>44790</v>
      </c>
      <c r="C8673" s="1" t="n">
        <v>45212</v>
      </c>
      <c r="D8673" t="inlineStr">
        <is>
          <t>VÄSTRA GÖTALANDS LÄN</t>
        </is>
      </c>
      <c r="E8673" t="inlineStr">
        <is>
          <t>ORUST</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34230-2022</t>
        </is>
      </c>
      <c r="B8674" s="1" t="n">
        <v>44791</v>
      </c>
      <c r="C8674" s="1" t="n">
        <v>45212</v>
      </c>
      <c r="D8674" t="inlineStr">
        <is>
          <t>VÄSTRA GÖTALANDS LÄN</t>
        </is>
      </c>
      <c r="E8674" t="inlineStr">
        <is>
          <t>ÅMÅL</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34217-2022</t>
        </is>
      </c>
      <c r="B8675" s="1" t="n">
        <v>44791</v>
      </c>
      <c r="C8675" s="1" t="n">
        <v>45212</v>
      </c>
      <c r="D8675" t="inlineStr">
        <is>
          <t>VÄSTRA GÖTALANDS LÄN</t>
        </is>
      </c>
      <c r="E8675" t="inlineStr">
        <is>
          <t>ORUST</t>
        </is>
      </c>
      <c r="G8675" t="n">
        <v>1.5</v>
      </c>
      <c r="H8675" t="n">
        <v>0</v>
      </c>
      <c r="I8675" t="n">
        <v>0</v>
      </c>
      <c r="J8675" t="n">
        <v>0</v>
      </c>
      <c r="K8675" t="n">
        <v>0</v>
      </c>
      <c r="L8675" t="n">
        <v>0</v>
      </c>
      <c r="M8675" t="n">
        <v>0</v>
      </c>
      <c r="N8675" t="n">
        <v>0</v>
      </c>
      <c r="O8675" t="n">
        <v>0</v>
      </c>
      <c r="P8675" t="n">
        <v>0</v>
      </c>
      <c r="Q8675" t="n">
        <v>0</v>
      </c>
      <c r="R8675" s="2" t="inlineStr"/>
    </row>
    <row r="8676" ht="15" customHeight="1">
      <c r="A8676" t="inlineStr">
        <is>
          <t>A 34232-2022</t>
        </is>
      </c>
      <c r="B8676" s="1" t="n">
        <v>44791</v>
      </c>
      <c r="C8676" s="1" t="n">
        <v>45212</v>
      </c>
      <c r="D8676" t="inlineStr">
        <is>
          <t>VÄSTRA GÖTALANDS LÄN</t>
        </is>
      </c>
      <c r="E8676" t="inlineStr">
        <is>
          <t>UDDEVALLA</t>
        </is>
      </c>
      <c r="G8676" t="n">
        <v>1</v>
      </c>
      <c r="H8676" t="n">
        <v>0</v>
      </c>
      <c r="I8676" t="n">
        <v>0</v>
      </c>
      <c r="J8676" t="n">
        <v>0</v>
      </c>
      <c r="K8676" t="n">
        <v>0</v>
      </c>
      <c r="L8676" t="n">
        <v>0</v>
      </c>
      <c r="M8676" t="n">
        <v>0</v>
      </c>
      <c r="N8676" t="n">
        <v>0</v>
      </c>
      <c r="O8676" t="n">
        <v>0</v>
      </c>
      <c r="P8676" t="n">
        <v>0</v>
      </c>
      <c r="Q8676" t="n">
        <v>0</v>
      </c>
      <c r="R8676" s="2" t="inlineStr"/>
    </row>
    <row r="8677" ht="15" customHeight="1">
      <c r="A8677" t="inlineStr">
        <is>
          <t>A 34366-2022</t>
        </is>
      </c>
      <c r="B8677" s="1" t="n">
        <v>44792</v>
      </c>
      <c r="C8677" s="1" t="n">
        <v>45212</v>
      </c>
      <c r="D8677" t="inlineStr">
        <is>
          <t>VÄSTRA GÖTALANDS LÄN</t>
        </is>
      </c>
      <c r="E8677" t="inlineStr">
        <is>
          <t>KUNGÄLV</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34380-2022</t>
        </is>
      </c>
      <c r="B8678" s="1" t="n">
        <v>44792</v>
      </c>
      <c r="C8678" s="1" t="n">
        <v>45212</v>
      </c>
      <c r="D8678" t="inlineStr">
        <is>
          <t>VÄSTRA GÖTALANDS LÄN</t>
        </is>
      </c>
      <c r="E8678" t="inlineStr">
        <is>
          <t>ORUST</t>
        </is>
      </c>
      <c r="G8678" t="n">
        <v>1.4</v>
      </c>
      <c r="H8678" t="n">
        <v>0</v>
      </c>
      <c r="I8678" t="n">
        <v>0</v>
      </c>
      <c r="J8678" t="n">
        <v>0</v>
      </c>
      <c r="K8678" t="n">
        <v>0</v>
      </c>
      <c r="L8678" t="n">
        <v>0</v>
      </c>
      <c r="M8678" t="n">
        <v>0</v>
      </c>
      <c r="N8678" t="n">
        <v>0</v>
      </c>
      <c r="O8678" t="n">
        <v>0</v>
      </c>
      <c r="P8678" t="n">
        <v>0</v>
      </c>
      <c r="Q8678" t="n">
        <v>0</v>
      </c>
      <c r="R8678" s="2" t="inlineStr"/>
    </row>
    <row r="8679" ht="15" customHeight="1">
      <c r="A8679" t="inlineStr">
        <is>
          <t>A 34284-2022</t>
        </is>
      </c>
      <c r="B8679" s="1" t="n">
        <v>44792</v>
      </c>
      <c r="C8679" s="1" t="n">
        <v>45212</v>
      </c>
      <c r="D8679" t="inlineStr">
        <is>
          <t>VÄSTRA GÖTALANDS LÄN</t>
        </is>
      </c>
      <c r="E8679" t="inlineStr">
        <is>
          <t>MARK</t>
        </is>
      </c>
      <c r="G8679" t="n">
        <v>3.4</v>
      </c>
      <c r="H8679" t="n">
        <v>0</v>
      </c>
      <c r="I8679" t="n">
        <v>0</v>
      </c>
      <c r="J8679" t="n">
        <v>0</v>
      </c>
      <c r="K8679" t="n">
        <v>0</v>
      </c>
      <c r="L8679" t="n">
        <v>0</v>
      </c>
      <c r="M8679" t="n">
        <v>0</v>
      </c>
      <c r="N8679" t="n">
        <v>0</v>
      </c>
      <c r="O8679" t="n">
        <v>0</v>
      </c>
      <c r="P8679" t="n">
        <v>0</v>
      </c>
      <c r="Q8679" t="n">
        <v>0</v>
      </c>
      <c r="R8679" s="2" t="inlineStr"/>
    </row>
    <row r="8680" ht="15" customHeight="1">
      <c r="A8680" t="inlineStr">
        <is>
          <t>A 34331-2022</t>
        </is>
      </c>
      <c r="B8680" s="1" t="n">
        <v>44792</v>
      </c>
      <c r="C8680" s="1" t="n">
        <v>45212</v>
      </c>
      <c r="D8680" t="inlineStr">
        <is>
          <t>VÄSTRA GÖTALANDS LÄN</t>
        </is>
      </c>
      <c r="E8680" t="inlineStr">
        <is>
          <t>TANUM</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34383-2022</t>
        </is>
      </c>
      <c r="B8681" s="1" t="n">
        <v>44792</v>
      </c>
      <c r="C8681" s="1" t="n">
        <v>45212</v>
      </c>
      <c r="D8681" t="inlineStr">
        <is>
          <t>VÄSTRA GÖTALANDS LÄN</t>
        </is>
      </c>
      <c r="E8681" t="inlineStr">
        <is>
          <t>VÄNERSBORG</t>
        </is>
      </c>
      <c r="G8681" t="n">
        <v>4</v>
      </c>
      <c r="H8681" t="n">
        <v>0</v>
      </c>
      <c r="I8681" t="n">
        <v>0</v>
      </c>
      <c r="J8681" t="n">
        <v>0</v>
      </c>
      <c r="K8681" t="n">
        <v>0</v>
      </c>
      <c r="L8681" t="n">
        <v>0</v>
      </c>
      <c r="M8681" t="n">
        <v>0</v>
      </c>
      <c r="N8681" t="n">
        <v>0</v>
      </c>
      <c r="O8681" t="n">
        <v>0</v>
      </c>
      <c r="P8681" t="n">
        <v>0</v>
      </c>
      <c r="Q8681" t="n">
        <v>0</v>
      </c>
      <c r="R8681" s="2" t="inlineStr"/>
    </row>
    <row r="8682" ht="15" customHeight="1">
      <c r="A8682" t="inlineStr">
        <is>
          <t>A 34436-2022</t>
        </is>
      </c>
      <c r="B8682" s="1" t="n">
        <v>44792</v>
      </c>
      <c r="C8682" s="1" t="n">
        <v>45212</v>
      </c>
      <c r="D8682" t="inlineStr">
        <is>
          <t>VÄSTRA GÖTALANDS LÄN</t>
        </is>
      </c>
      <c r="E8682" t="inlineStr">
        <is>
          <t>TÖREBODA</t>
        </is>
      </c>
      <c r="G8682" t="n">
        <v>4.1</v>
      </c>
      <c r="H8682" t="n">
        <v>0</v>
      </c>
      <c r="I8682" t="n">
        <v>0</v>
      </c>
      <c r="J8682" t="n">
        <v>0</v>
      </c>
      <c r="K8682" t="n">
        <v>0</v>
      </c>
      <c r="L8682" t="n">
        <v>0</v>
      </c>
      <c r="M8682" t="n">
        <v>0</v>
      </c>
      <c r="N8682" t="n">
        <v>0</v>
      </c>
      <c r="O8682" t="n">
        <v>0</v>
      </c>
      <c r="P8682" t="n">
        <v>0</v>
      </c>
      <c r="Q8682" t="n">
        <v>0</v>
      </c>
      <c r="R8682" s="2" t="inlineStr"/>
    </row>
    <row r="8683" ht="15" customHeight="1">
      <c r="A8683" t="inlineStr">
        <is>
          <t>A 34465-2022</t>
        </is>
      </c>
      <c r="B8683" s="1" t="n">
        <v>44792</v>
      </c>
      <c r="C8683" s="1" t="n">
        <v>45212</v>
      </c>
      <c r="D8683" t="inlineStr">
        <is>
          <t>VÄSTRA GÖTALANDS LÄN</t>
        </is>
      </c>
      <c r="E8683" t="inlineStr">
        <is>
          <t>SVENLJUNGA</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34555-2022</t>
        </is>
      </c>
      <c r="B8684" s="1" t="n">
        <v>44794</v>
      </c>
      <c r="C8684" s="1" t="n">
        <v>45212</v>
      </c>
      <c r="D8684" t="inlineStr">
        <is>
          <t>VÄSTRA GÖTALANDS LÄN</t>
        </is>
      </c>
      <c r="E8684" t="inlineStr">
        <is>
          <t>UDDEVALLA</t>
        </is>
      </c>
      <c r="G8684" t="n">
        <v>5.9</v>
      </c>
      <c r="H8684" t="n">
        <v>0</v>
      </c>
      <c r="I8684" t="n">
        <v>0</v>
      </c>
      <c r="J8684" t="n">
        <v>0</v>
      </c>
      <c r="K8684" t="n">
        <v>0</v>
      </c>
      <c r="L8684" t="n">
        <v>0</v>
      </c>
      <c r="M8684" t="n">
        <v>0</v>
      </c>
      <c r="N8684" t="n">
        <v>0</v>
      </c>
      <c r="O8684" t="n">
        <v>0</v>
      </c>
      <c r="P8684" t="n">
        <v>0</v>
      </c>
      <c r="Q8684" t="n">
        <v>0</v>
      </c>
      <c r="R8684" s="2" t="inlineStr"/>
    </row>
    <row r="8685" ht="15" customHeight="1">
      <c r="A8685" t="inlineStr">
        <is>
          <t>A 34717-2022</t>
        </is>
      </c>
      <c r="B8685" s="1" t="n">
        <v>44795</v>
      </c>
      <c r="C8685" s="1" t="n">
        <v>45212</v>
      </c>
      <c r="D8685" t="inlineStr">
        <is>
          <t>VÄSTRA GÖTALANDS LÄN</t>
        </is>
      </c>
      <c r="E8685" t="inlineStr">
        <is>
          <t>VÄNERSBORG</t>
        </is>
      </c>
      <c r="G8685" t="n">
        <v>0.5</v>
      </c>
      <c r="H8685" t="n">
        <v>0</v>
      </c>
      <c r="I8685" t="n">
        <v>0</v>
      </c>
      <c r="J8685" t="n">
        <v>0</v>
      </c>
      <c r="K8685" t="n">
        <v>0</v>
      </c>
      <c r="L8685" t="n">
        <v>0</v>
      </c>
      <c r="M8685" t="n">
        <v>0</v>
      </c>
      <c r="N8685" t="n">
        <v>0</v>
      </c>
      <c r="O8685" t="n">
        <v>0</v>
      </c>
      <c r="P8685" t="n">
        <v>0</v>
      </c>
      <c r="Q8685" t="n">
        <v>0</v>
      </c>
      <c r="R8685" s="2" t="inlineStr"/>
    </row>
    <row r="8686" ht="15" customHeight="1">
      <c r="A8686" t="inlineStr">
        <is>
          <t>A 34689-2022</t>
        </is>
      </c>
      <c r="B8686" s="1" t="n">
        <v>44795</v>
      </c>
      <c r="C8686" s="1" t="n">
        <v>45212</v>
      </c>
      <c r="D8686" t="inlineStr">
        <is>
          <t>VÄSTRA GÖTALANDS LÄN</t>
        </is>
      </c>
      <c r="E8686" t="inlineStr">
        <is>
          <t>ALINGSÅS</t>
        </is>
      </c>
      <c r="G8686" t="n">
        <v>5.3</v>
      </c>
      <c r="H8686" t="n">
        <v>0</v>
      </c>
      <c r="I8686" t="n">
        <v>0</v>
      </c>
      <c r="J8686" t="n">
        <v>0</v>
      </c>
      <c r="K8686" t="n">
        <v>0</v>
      </c>
      <c r="L8686" t="n">
        <v>0</v>
      </c>
      <c r="M8686" t="n">
        <v>0</v>
      </c>
      <c r="N8686" t="n">
        <v>0</v>
      </c>
      <c r="O8686" t="n">
        <v>0</v>
      </c>
      <c r="P8686" t="n">
        <v>0</v>
      </c>
      <c r="Q8686" t="n">
        <v>0</v>
      </c>
      <c r="R8686" s="2" t="inlineStr"/>
    </row>
    <row r="8687" ht="15" customHeight="1">
      <c r="A8687" t="inlineStr">
        <is>
          <t>A 34858-2022</t>
        </is>
      </c>
      <c r="B8687" s="1" t="n">
        <v>44796</v>
      </c>
      <c r="C8687" s="1" t="n">
        <v>45212</v>
      </c>
      <c r="D8687" t="inlineStr">
        <is>
          <t>VÄSTRA GÖTALANDS LÄN</t>
        </is>
      </c>
      <c r="E8687" t="inlineStr">
        <is>
          <t>MELLERUD</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34965-2022</t>
        </is>
      </c>
      <c r="B8688" s="1" t="n">
        <v>44796</v>
      </c>
      <c r="C8688" s="1" t="n">
        <v>45212</v>
      </c>
      <c r="D8688" t="inlineStr">
        <is>
          <t>VÄSTRA GÖTALANDS LÄN</t>
        </is>
      </c>
      <c r="E8688" t="inlineStr">
        <is>
          <t>VARA</t>
        </is>
      </c>
      <c r="G8688" t="n">
        <v>0.9</v>
      </c>
      <c r="H8688" t="n">
        <v>0</v>
      </c>
      <c r="I8688" t="n">
        <v>0</v>
      </c>
      <c r="J8688" t="n">
        <v>0</v>
      </c>
      <c r="K8688" t="n">
        <v>0</v>
      </c>
      <c r="L8688" t="n">
        <v>0</v>
      </c>
      <c r="M8688" t="n">
        <v>0</v>
      </c>
      <c r="N8688" t="n">
        <v>0</v>
      </c>
      <c r="O8688" t="n">
        <v>0</v>
      </c>
      <c r="P8688" t="n">
        <v>0</v>
      </c>
      <c r="Q8688" t="n">
        <v>0</v>
      </c>
      <c r="R8688" s="2" t="inlineStr"/>
    </row>
    <row r="8689" ht="15" customHeight="1">
      <c r="A8689" t="inlineStr">
        <is>
          <t>A 34988-2022</t>
        </is>
      </c>
      <c r="B8689" s="1" t="n">
        <v>44796</v>
      </c>
      <c r="C8689" s="1" t="n">
        <v>45212</v>
      </c>
      <c r="D8689" t="inlineStr">
        <is>
          <t>VÄSTRA GÖTALANDS LÄN</t>
        </is>
      </c>
      <c r="E8689" t="inlineStr">
        <is>
          <t>ULRICEHAMN</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34834-2022</t>
        </is>
      </c>
      <c r="B8690" s="1" t="n">
        <v>44796</v>
      </c>
      <c r="C8690" s="1" t="n">
        <v>45212</v>
      </c>
      <c r="D8690" t="inlineStr">
        <is>
          <t>VÄSTRA GÖTALANDS LÄN</t>
        </is>
      </c>
      <c r="E8690" t="inlineStr">
        <is>
          <t>SKÖVDE</t>
        </is>
      </c>
      <c r="G8690" t="n">
        <v>2.8</v>
      </c>
      <c r="H8690" t="n">
        <v>0</v>
      </c>
      <c r="I8690" t="n">
        <v>0</v>
      </c>
      <c r="J8690" t="n">
        <v>0</v>
      </c>
      <c r="K8690" t="n">
        <v>0</v>
      </c>
      <c r="L8690" t="n">
        <v>0</v>
      </c>
      <c r="M8690" t="n">
        <v>0</v>
      </c>
      <c r="N8690" t="n">
        <v>0</v>
      </c>
      <c r="O8690" t="n">
        <v>0</v>
      </c>
      <c r="P8690" t="n">
        <v>0</v>
      </c>
      <c r="Q8690" t="n">
        <v>0</v>
      </c>
      <c r="R8690" s="2" t="inlineStr"/>
    </row>
    <row r="8691" ht="15" customHeight="1">
      <c r="A8691" t="inlineStr">
        <is>
          <t>A 34938-2022</t>
        </is>
      </c>
      <c r="B8691" s="1" t="n">
        <v>44796</v>
      </c>
      <c r="C8691" s="1" t="n">
        <v>45212</v>
      </c>
      <c r="D8691" t="inlineStr">
        <is>
          <t>VÄSTRA GÖTALANDS LÄN</t>
        </is>
      </c>
      <c r="E8691" t="inlineStr">
        <is>
          <t>HÄRRYDA</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34888-2022</t>
        </is>
      </c>
      <c r="B8692" s="1" t="n">
        <v>44796</v>
      </c>
      <c r="C8692" s="1" t="n">
        <v>45212</v>
      </c>
      <c r="D8692" t="inlineStr">
        <is>
          <t>VÄSTRA GÖTALANDS LÄN</t>
        </is>
      </c>
      <c r="E8692" t="inlineStr">
        <is>
          <t>DALS-ED</t>
        </is>
      </c>
      <c r="G8692" t="n">
        <v>2.7</v>
      </c>
      <c r="H8692" t="n">
        <v>0</v>
      </c>
      <c r="I8692" t="n">
        <v>0</v>
      </c>
      <c r="J8692" t="n">
        <v>0</v>
      </c>
      <c r="K8692" t="n">
        <v>0</v>
      </c>
      <c r="L8692" t="n">
        <v>0</v>
      </c>
      <c r="M8692" t="n">
        <v>0</v>
      </c>
      <c r="N8692" t="n">
        <v>0</v>
      </c>
      <c r="O8692" t="n">
        <v>0</v>
      </c>
      <c r="P8692" t="n">
        <v>0</v>
      </c>
      <c r="Q8692" t="n">
        <v>0</v>
      </c>
      <c r="R8692" s="2" t="inlineStr"/>
    </row>
    <row r="8693" ht="15" customHeight="1">
      <c r="A8693" t="inlineStr">
        <is>
          <t>A 35149-2022</t>
        </is>
      </c>
      <c r="B8693" s="1" t="n">
        <v>44797</v>
      </c>
      <c r="C8693" s="1" t="n">
        <v>45212</v>
      </c>
      <c r="D8693" t="inlineStr">
        <is>
          <t>VÄSTRA GÖTALANDS LÄN</t>
        </is>
      </c>
      <c r="E8693" t="inlineStr">
        <is>
          <t>GULLSPÅNG</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35034-2022</t>
        </is>
      </c>
      <c r="B8694" s="1" t="n">
        <v>44797</v>
      </c>
      <c r="C8694" s="1" t="n">
        <v>45212</v>
      </c>
      <c r="D8694" t="inlineStr">
        <is>
          <t>VÄSTRA GÖTALANDS LÄN</t>
        </is>
      </c>
      <c r="E8694" t="inlineStr">
        <is>
          <t>SVENLJUNGA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35154-2022</t>
        </is>
      </c>
      <c r="B8695" s="1" t="n">
        <v>44797</v>
      </c>
      <c r="C8695" s="1" t="n">
        <v>45212</v>
      </c>
      <c r="D8695" t="inlineStr">
        <is>
          <t>VÄSTRA GÖTALANDS LÄN</t>
        </is>
      </c>
      <c r="E8695" t="inlineStr">
        <is>
          <t>ÅMÅL</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35360-2022</t>
        </is>
      </c>
      <c r="B8696" s="1" t="n">
        <v>44798</v>
      </c>
      <c r="C8696" s="1" t="n">
        <v>45212</v>
      </c>
      <c r="D8696" t="inlineStr">
        <is>
          <t>VÄSTRA GÖTALANDS LÄN</t>
        </is>
      </c>
      <c r="E8696" t="inlineStr">
        <is>
          <t>TÖREBODA</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35431-2022</t>
        </is>
      </c>
      <c r="B8697" s="1" t="n">
        <v>44798</v>
      </c>
      <c r="C8697" s="1" t="n">
        <v>45212</v>
      </c>
      <c r="D8697" t="inlineStr">
        <is>
          <t>VÄSTRA GÖTALANDS LÄN</t>
        </is>
      </c>
      <c r="E8697" t="inlineStr">
        <is>
          <t>MARK</t>
        </is>
      </c>
      <c r="F8697" t="inlineStr">
        <is>
          <t>Sveaskog</t>
        </is>
      </c>
      <c r="G8697" t="n">
        <v>8.5</v>
      </c>
      <c r="H8697" t="n">
        <v>0</v>
      </c>
      <c r="I8697" t="n">
        <v>0</v>
      </c>
      <c r="J8697" t="n">
        <v>0</v>
      </c>
      <c r="K8697" t="n">
        <v>0</v>
      </c>
      <c r="L8697" t="n">
        <v>0</v>
      </c>
      <c r="M8697" t="n">
        <v>0</v>
      </c>
      <c r="N8697" t="n">
        <v>0</v>
      </c>
      <c r="O8697" t="n">
        <v>0</v>
      </c>
      <c r="P8697" t="n">
        <v>0</v>
      </c>
      <c r="Q8697" t="n">
        <v>0</v>
      </c>
      <c r="R8697" s="2" t="inlineStr"/>
    </row>
    <row r="8698" ht="15" customHeight="1">
      <c r="A8698" t="inlineStr">
        <is>
          <t>A 35463-2022</t>
        </is>
      </c>
      <c r="B8698" s="1" t="n">
        <v>44798</v>
      </c>
      <c r="C8698" s="1" t="n">
        <v>45212</v>
      </c>
      <c r="D8698" t="inlineStr">
        <is>
          <t>VÄSTRA GÖTALANDS LÄN</t>
        </is>
      </c>
      <c r="E8698" t="inlineStr">
        <is>
          <t>TROLLHÄTTAN</t>
        </is>
      </c>
      <c r="G8698" t="n">
        <v>3</v>
      </c>
      <c r="H8698" t="n">
        <v>0</v>
      </c>
      <c r="I8698" t="n">
        <v>0</v>
      </c>
      <c r="J8698" t="n">
        <v>0</v>
      </c>
      <c r="K8698" t="n">
        <v>0</v>
      </c>
      <c r="L8698" t="n">
        <v>0</v>
      </c>
      <c r="M8698" t="n">
        <v>0</v>
      </c>
      <c r="N8698" t="n">
        <v>0</v>
      </c>
      <c r="O8698" t="n">
        <v>0</v>
      </c>
      <c r="P8698" t="n">
        <v>0</v>
      </c>
      <c r="Q8698" t="n">
        <v>0</v>
      </c>
      <c r="R8698" s="2" t="inlineStr"/>
    </row>
    <row r="8699" ht="15" customHeight="1">
      <c r="A8699" t="inlineStr">
        <is>
          <t>A 35284-2022</t>
        </is>
      </c>
      <c r="B8699" s="1" t="n">
        <v>44798</v>
      </c>
      <c r="C8699" s="1" t="n">
        <v>45212</v>
      </c>
      <c r="D8699" t="inlineStr">
        <is>
          <t>VÄSTRA GÖTALANDS LÄN</t>
        </is>
      </c>
      <c r="E8699" t="inlineStr">
        <is>
          <t>VÅRGÅRDA</t>
        </is>
      </c>
      <c r="G8699" t="n">
        <v>0.5</v>
      </c>
      <c r="H8699" t="n">
        <v>0</v>
      </c>
      <c r="I8699" t="n">
        <v>0</v>
      </c>
      <c r="J8699" t="n">
        <v>0</v>
      </c>
      <c r="K8699" t="n">
        <v>0</v>
      </c>
      <c r="L8699" t="n">
        <v>0</v>
      </c>
      <c r="M8699" t="n">
        <v>0</v>
      </c>
      <c r="N8699" t="n">
        <v>0</v>
      </c>
      <c r="O8699" t="n">
        <v>0</v>
      </c>
      <c r="P8699" t="n">
        <v>0</v>
      </c>
      <c r="Q8699" t="n">
        <v>0</v>
      </c>
      <c r="R8699" s="2" t="inlineStr"/>
    </row>
    <row r="8700" ht="15" customHeight="1">
      <c r="A8700" t="inlineStr">
        <is>
          <t>A 35465-2022</t>
        </is>
      </c>
      <c r="B8700" s="1" t="n">
        <v>44798</v>
      </c>
      <c r="C8700" s="1" t="n">
        <v>45212</v>
      </c>
      <c r="D8700" t="inlineStr">
        <is>
          <t>VÄSTRA GÖTALANDS LÄN</t>
        </is>
      </c>
      <c r="E8700" t="inlineStr">
        <is>
          <t>TROLLHÄTTAN</t>
        </is>
      </c>
      <c r="G8700" t="n">
        <v>1.1</v>
      </c>
      <c r="H8700" t="n">
        <v>0</v>
      </c>
      <c r="I8700" t="n">
        <v>0</v>
      </c>
      <c r="J8700" t="n">
        <v>0</v>
      </c>
      <c r="K8700" t="n">
        <v>0</v>
      </c>
      <c r="L8700" t="n">
        <v>0</v>
      </c>
      <c r="M8700" t="n">
        <v>0</v>
      </c>
      <c r="N8700" t="n">
        <v>0</v>
      </c>
      <c r="O8700" t="n">
        <v>0</v>
      </c>
      <c r="P8700" t="n">
        <v>0</v>
      </c>
      <c r="Q8700" t="n">
        <v>0</v>
      </c>
      <c r="R8700" s="2" t="inlineStr"/>
    </row>
    <row r="8701" ht="15" customHeight="1">
      <c r="A8701" t="inlineStr">
        <is>
          <t>A 35301-2022</t>
        </is>
      </c>
      <c r="B8701" s="1" t="n">
        <v>44798</v>
      </c>
      <c r="C8701" s="1" t="n">
        <v>45212</v>
      </c>
      <c r="D8701" t="inlineStr">
        <is>
          <t>VÄSTRA GÖTALANDS LÄN</t>
        </is>
      </c>
      <c r="E8701" t="inlineStr">
        <is>
          <t>BENGTSFORS</t>
        </is>
      </c>
      <c r="G8701" t="n">
        <v>5.9</v>
      </c>
      <c r="H8701" t="n">
        <v>0</v>
      </c>
      <c r="I8701" t="n">
        <v>0</v>
      </c>
      <c r="J8701" t="n">
        <v>0</v>
      </c>
      <c r="K8701" t="n">
        <v>0</v>
      </c>
      <c r="L8701" t="n">
        <v>0</v>
      </c>
      <c r="M8701" t="n">
        <v>0</v>
      </c>
      <c r="N8701" t="n">
        <v>0</v>
      </c>
      <c r="O8701" t="n">
        <v>0</v>
      </c>
      <c r="P8701" t="n">
        <v>0</v>
      </c>
      <c r="Q8701" t="n">
        <v>0</v>
      </c>
      <c r="R8701" s="2" t="inlineStr"/>
    </row>
    <row r="8702" ht="15" customHeight="1">
      <c r="A8702" t="inlineStr">
        <is>
          <t>A 35572-2022</t>
        </is>
      </c>
      <c r="B8702" s="1" t="n">
        <v>44799</v>
      </c>
      <c r="C8702" s="1" t="n">
        <v>45212</v>
      </c>
      <c r="D8702" t="inlineStr">
        <is>
          <t>VÄSTRA GÖTALANDS LÄN</t>
        </is>
      </c>
      <c r="E8702" t="inlineStr">
        <is>
          <t>SKARA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35607-2022</t>
        </is>
      </c>
      <c r="B8703" s="1" t="n">
        <v>44799</v>
      </c>
      <c r="C8703" s="1" t="n">
        <v>45212</v>
      </c>
      <c r="D8703" t="inlineStr">
        <is>
          <t>VÄSTRA GÖTALANDS LÄN</t>
        </is>
      </c>
      <c r="E8703" t="inlineStr">
        <is>
          <t>SKARA</t>
        </is>
      </c>
      <c r="G8703" t="n">
        <v>1.9</v>
      </c>
      <c r="H8703" t="n">
        <v>0</v>
      </c>
      <c r="I8703" t="n">
        <v>0</v>
      </c>
      <c r="J8703" t="n">
        <v>0</v>
      </c>
      <c r="K8703" t="n">
        <v>0</v>
      </c>
      <c r="L8703" t="n">
        <v>0</v>
      </c>
      <c r="M8703" t="n">
        <v>0</v>
      </c>
      <c r="N8703" t="n">
        <v>0</v>
      </c>
      <c r="O8703" t="n">
        <v>0</v>
      </c>
      <c r="P8703" t="n">
        <v>0</v>
      </c>
      <c r="Q8703" t="n">
        <v>0</v>
      </c>
      <c r="R8703" s="2" t="inlineStr"/>
    </row>
    <row r="8704" ht="15" customHeight="1">
      <c r="A8704" t="inlineStr">
        <is>
          <t>A 35768-2022</t>
        </is>
      </c>
      <c r="B8704" s="1" t="n">
        <v>44800</v>
      </c>
      <c r="C8704" s="1" t="n">
        <v>45212</v>
      </c>
      <c r="D8704" t="inlineStr">
        <is>
          <t>VÄSTRA GÖTALANDS LÄN</t>
        </is>
      </c>
      <c r="E8704" t="inlineStr">
        <is>
          <t>SVENLJUNGA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35915-2022</t>
        </is>
      </c>
      <c r="B8705" s="1" t="n">
        <v>44802</v>
      </c>
      <c r="C8705" s="1" t="n">
        <v>45212</v>
      </c>
      <c r="D8705" t="inlineStr">
        <is>
          <t>VÄSTRA GÖTALANDS LÄN</t>
        </is>
      </c>
      <c r="E8705" t="inlineStr">
        <is>
          <t>TANUM</t>
        </is>
      </c>
      <c r="G8705" t="n">
        <v>2.8</v>
      </c>
      <c r="H8705" t="n">
        <v>0</v>
      </c>
      <c r="I8705" t="n">
        <v>0</v>
      </c>
      <c r="J8705" t="n">
        <v>0</v>
      </c>
      <c r="K8705" t="n">
        <v>0</v>
      </c>
      <c r="L8705" t="n">
        <v>0</v>
      </c>
      <c r="M8705" t="n">
        <v>0</v>
      </c>
      <c r="N8705" t="n">
        <v>0</v>
      </c>
      <c r="O8705" t="n">
        <v>0</v>
      </c>
      <c r="P8705" t="n">
        <v>0</v>
      </c>
      <c r="Q8705" t="n">
        <v>0</v>
      </c>
      <c r="R8705" s="2" t="inlineStr"/>
    </row>
    <row r="8706" ht="15" customHeight="1">
      <c r="A8706" t="inlineStr">
        <is>
          <t>A 35939-2022</t>
        </is>
      </c>
      <c r="B8706" s="1" t="n">
        <v>44802</v>
      </c>
      <c r="C8706" s="1" t="n">
        <v>45212</v>
      </c>
      <c r="D8706" t="inlineStr">
        <is>
          <t>VÄSTRA GÖTALANDS LÄN</t>
        </is>
      </c>
      <c r="E8706" t="inlineStr">
        <is>
          <t>FALKÖPING</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35848-2022</t>
        </is>
      </c>
      <c r="B8707" s="1" t="n">
        <v>44802</v>
      </c>
      <c r="C8707" s="1" t="n">
        <v>45212</v>
      </c>
      <c r="D8707" t="inlineStr">
        <is>
          <t>VÄSTRA GÖTALANDS LÄN</t>
        </is>
      </c>
      <c r="E8707" t="inlineStr">
        <is>
          <t>ESSUNGA</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35934-2022</t>
        </is>
      </c>
      <c r="B8708" s="1" t="n">
        <v>44802</v>
      </c>
      <c r="C8708" s="1" t="n">
        <v>45212</v>
      </c>
      <c r="D8708" t="inlineStr">
        <is>
          <t>VÄSTRA GÖTALANDS LÄN</t>
        </is>
      </c>
      <c r="E8708" t="inlineStr">
        <is>
          <t>FALKÖPING</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36024-2022</t>
        </is>
      </c>
      <c r="B8709" s="1" t="n">
        <v>44802</v>
      </c>
      <c r="C8709" s="1" t="n">
        <v>45212</v>
      </c>
      <c r="D8709" t="inlineStr">
        <is>
          <t>VÄSTRA GÖTALANDS LÄN</t>
        </is>
      </c>
      <c r="E8709" t="inlineStr">
        <is>
          <t>GÖTENE</t>
        </is>
      </c>
      <c r="F8709" t="inlineStr">
        <is>
          <t>Övriga Aktiebolag</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35828-2022</t>
        </is>
      </c>
      <c r="B8710" s="1" t="n">
        <v>44802</v>
      </c>
      <c r="C8710" s="1" t="n">
        <v>45212</v>
      </c>
      <c r="D8710" t="inlineStr">
        <is>
          <t>VÄSTRA GÖTALANDS LÄN</t>
        </is>
      </c>
      <c r="E8710" t="inlineStr">
        <is>
          <t>VARA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35841-2022</t>
        </is>
      </c>
      <c r="B8711" s="1" t="n">
        <v>44802</v>
      </c>
      <c r="C8711" s="1" t="n">
        <v>45212</v>
      </c>
      <c r="D8711" t="inlineStr">
        <is>
          <t>VÄSTRA GÖTALANDS LÄN</t>
        </is>
      </c>
      <c r="E8711" t="inlineStr">
        <is>
          <t>TANUM</t>
        </is>
      </c>
      <c r="G8711" t="n">
        <v>5.1</v>
      </c>
      <c r="H8711" t="n">
        <v>0</v>
      </c>
      <c r="I8711" t="n">
        <v>0</v>
      </c>
      <c r="J8711" t="n">
        <v>0</v>
      </c>
      <c r="K8711" t="n">
        <v>0</v>
      </c>
      <c r="L8711" t="n">
        <v>0</v>
      </c>
      <c r="M8711" t="n">
        <v>0</v>
      </c>
      <c r="N8711" t="n">
        <v>0</v>
      </c>
      <c r="O8711" t="n">
        <v>0</v>
      </c>
      <c r="P8711" t="n">
        <v>0</v>
      </c>
      <c r="Q8711" t="n">
        <v>0</v>
      </c>
      <c r="R8711" s="2" t="inlineStr"/>
    </row>
    <row r="8712" ht="15" customHeight="1">
      <c r="A8712" t="inlineStr">
        <is>
          <t>A 35886-2022</t>
        </is>
      </c>
      <c r="B8712" s="1" t="n">
        <v>44802</v>
      </c>
      <c r="C8712" s="1" t="n">
        <v>45212</v>
      </c>
      <c r="D8712" t="inlineStr">
        <is>
          <t>VÄSTRA GÖTALANDS LÄN</t>
        </is>
      </c>
      <c r="E8712" t="inlineStr">
        <is>
          <t>TÖREBODA</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36283-2022</t>
        </is>
      </c>
      <c r="B8713" s="1" t="n">
        <v>44803</v>
      </c>
      <c r="C8713" s="1" t="n">
        <v>45212</v>
      </c>
      <c r="D8713" t="inlineStr">
        <is>
          <t>VÄSTRA GÖTALANDS LÄN</t>
        </is>
      </c>
      <c r="E8713" t="inlineStr">
        <is>
          <t>MARK</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36352-2022</t>
        </is>
      </c>
      <c r="B8714" s="1" t="n">
        <v>44803</v>
      </c>
      <c r="C8714" s="1" t="n">
        <v>45212</v>
      </c>
      <c r="D8714" t="inlineStr">
        <is>
          <t>VÄSTRA GÖTALANDS LÄN</t>
        </is>
      </c>
      <c r="E8714" t="inlineStr">
        <is>
          <t>FALKÖPING</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36287-2022</t>
        </is>
      </c>
      <c r="B8715" s="1" t="n">
        <v>44803</v>
      </c>
      <c r="C8715" s="1" t="n">
        <v>45212</v>
      </c>
      <c r="D8715" t="inlineStr">
        <is>
          <t>VÄSTRA GÖTALANDS LÄN</t>
        </is>
      </c>
      <c r="E8715" t="inlineStr">
        <is>
          <t>MARK</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36191-2022</t>
        </is>
      </c>
      <c r="B8716" s="1" t="n">
        <v>44803</v>
      </c>
      <c r="C8716" s="1" t="n">
        <v>45212</v>
      </c>
      <c r="D8716" t="inlineStr">
        <is>
          <t>VÄSTRA GÖTALANDS LÄN</t>
        </is>
      </c>
      <c r="E8716" t="inlineStr">
        <is>
          <t>KARLSBORG</t>
        </is>
      </c>
      <c r="G8716" t="n">
        <v>4.6</v>
      </c>
      <c r="H8716" t="n">
        <v>0</v>
      </c>
      <c r="I8716" t="n">
        <v>0</v>
      </c>
      <c r="J8716" t="n">
        <v>0</v>
      </c>
      <c r="K8716" t="n">
        <v>0</v>
      </c>
      <c r="L8716" t="n">
        <v>0</v>
      </c>
      <c r="M8716" t="n">
        <v>0</v>
      </c>
      <c r="N8716" t="n">
        <v>0</v>
      </c>
      <c r="O8716" t="n">
        <v>0</v>
      </c>
      <c r="P8716" t="n">
        <v>0</v>
      </c>
      <c r="Q8716" t="n">
        <v>0</v>
      </c>
      <c r="R8716" s="2" t="inlineStr"/>
    </row>
    <row r="8717" ht="15" customHeight="1">
      <c r="A8717" t="inlineStr">
        <is>
          <t>A 36244-2022</t>
        </is>
      </c>
      <c r="B8717" s="1" t="n">
        <v>44803</v>
      </c>
      <c r="C8717" s="1" t="n">
        <v>45212</v>
      </c>
      <c r="D8717" t="inlineStr">
        <is>
          <t>VÄSTRA GÖTALANDS LÄN</t>
        </is>
      </c>
      <c r="E8717" t="inlineStr">
        <is>
          <t>GÖTENE</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36404-2022</t>
        </is>
      </c>
      <c r="B8718" s="1" t="n">
        <v>44804</v>
      </c>
      <c r="C8718" s="1" t="n">
        <v>45212</v>
      </c>
      <c r="D8718" t="inlineStr">
        <is>
          <t>VÄSTRA GÖTALANDS LÄN</t>
        </is>
      </c>
      <c r="E8718" t="inlineStr">
        <is>
          <t>TIBRO</t>
        </is>
      </c>
      <c r="F8718" t="inlineStr">
        <is>
          <t>Sveaskog</t>
        </is>
      </c>
      <c r="G8718" t="n">
        <v>0.8</v>
      </c>
      <c r="H8718" t="n">
        <v>0</v>
      </c>
      <c r="I8718" t="n">
        <v>0</v>
      </c>
      <c r="J8718" t="n">
        <v>0</v>
      </c>
      <c r="K8718" t="n">
        <v>0</v>
      </c>
      <c r="L8718" t="n">
        <v>0</v>
      </c>
      <c r="M8718" t="n">
        <v>0</v>
      </c>
      <c r="N8718" t="n">
        <v>0</v>
      </c>
      <c r="O8718" t="n">
        <v>0</v>
      </c>
      <c r="P8718" t="n">
        <v>0</v>
      </c>
      <c r="Q8718" t="n">
        <v>0</v>
      </c>
      <c r="R8718" s="2" t="inlineStr"/>
    </row>
    <row r="8719" ht="15" customHeight="1">
      <c r="A8719" t="inlineStr">
        <is>
          <t>A 36556-2022</t>
        </is>
      </c>
      <c r="B8719" s="1" t="n">
        <v>44804</v>
      </c>
      <c r="C8719" s="1" t="n">
        <v>45212</v>
      </c>
      <c r="D8719" t="inlineStr">
        <is>
          <t>VÄSTRA GÖTALANDS LÄN</t>
        </is>
      </c>
      <c r="E8719" t="inlineStr">
        <is>
          <t>SKÖVDE</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36659-2022</t>
        </is>
      </c>
      <c r="B8720" s="1" t="n">
        <v>44804</v>
      </c>
      <c r="C8720" s="1" t="n">
        <v>45212</v>
      </c>
      <c r="D8720" t="inlineStr">
        <is>
          <t>VÄSTRA GÖTALANDS LÄN</t>
        </is>
      </c>
      <c r="E8720" t="inlineStr">
        <is>
          <t>MARK</t>
        </is>
      </c>
      <c r="G8720" t="n">
        <v>4.9</v>
      </c>
      <c r="H8720" t="n">
        <v>0</v>
      </c>
      <c r="I8720" t="n">
        <v>0</v>
      </c>
      <c r="J8720" t="n">
        <v>0</v>
      </c>
      <c r="K8720" t="n">
        <v>0</v>
      </c>
      <c r="L8720" t="n">
        <v>0</v>
      </c>
      <c r="M8720" t="n">
        <v>0</v>
      </c>
      <c r="N8720" t="n">
        <v>0</v>
      </c>
      <c r="O8720" t="n">
        <v>0</v>
      </c>
      <c r="P8720" t="n">
        <v>0</v>
      </c>
      <c r="Q8720" t="n">
        <v>0</v>
      </c>
      <c r="R8720" s="2" t="inlineStr"/>
    </row>
    <row r="8721" ht="15" customHeight="1">
      <c r="A8721" t="inlineStr">
        <is>
          <t>A 36402-2022</t>
        </is>
      </c>
      <c r="B8721" s="1" t="n">
        <v>44804</v>
      </c>
      <c r="C8721" s="1" t="n">
        <v>45212</v>
      </c>
      <c r="D8721" t="inlineStr">
        <is>
          <t>VÄSTRA GÖTALANDS LÄN</t>
        </is>
      </c>
      <c r="E8721" t="inlineStr">
        <is>
          <t>TIBRO</t>
        </is>
      </c>
      <c r="F8721" t="inlineStr">
        <is>
          <t>Sveaskog</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36412-2022</t>
        </is>
      </c>
      <c r="B8722" s="1" t="n">
        <v>44804</v>
      </c>
      <c r="C8722" s="1" t="n">
        <v>45212</v>
      </c>
      <c r="D8722" t="inlineStr">
        <is>
          <t>VÄSTRA GÖTALANDS LÄN</t>
        </is>
      </c>
      <c r="E8722" t="inlineStr">
        <is>
          <t>BORÅS</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36451-2022</t>
        </is>
      </c>
      <c r="B8723" s="1" t="n">
        <v>44804</v>
      </c>
      <c r="C8723" s="1" t="n">
        <v>45212</v>
      </c>
      <c r="D8723" t="inlineStr">
        <is>
          <t>VÄSTRA GÖTALANDS LÄN</t>
        </is>
      </c>
      <c r="E8723" t="inlineStr">
        <is>
          <t>MELLERUD</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36805-2022</t>
        </is>
      </c>
      <c r="B8724" s="1" t="n">
        <v>44805</v>
      </c>
      <c r="C8724" s="1" t="n">
        <v>45212</v>
      </c>
      <c r="D8724" t="inlineStr">
        <is>
          <t>VÄSTRA GÖTALANDS LÄN</t>
        </is>
      </c>
      <c r="E8724" t="inlineStr">
        <is>
          <t>TÖREBODA</t>
        </is>
      </c>
      <c r="G8724" t="n">
        <v>1.6</v>
      </c>
      <c r="H8724" t="n">
        <v>0</v>
      </c>
      <c r="I8724" t="n">
        <v>0</v>
      </c>
      <c r="J8724" t="n">
        <v>0</v>
      </c>
      <c r="K8724" t="n">
        <v>0</v>
      </c>
      <c r="L8724" t="n">
        <v>0</v>
      </c>
      <c r="M8724" t="n">
        <v>0</v>
      </c>
      <c r="N8724" t="n">
        <v>0</v>
      </c>
      <c r="O8724" t="n">
        <v>0</v>
      </c>
      <c r="P8724" t="n">
        <v>0</v>
      </c>
      <c r="Q8724" t="n">
        <v>0</v>
      </c>
      <c r="R8724" s="2" t="inlineStr"/>
    </row>
    <row r="8725" ht="15" customHeight="1">
      <c r="A8725" t="inlineStr">
        <is>
          <t>A 36744-2022</t>
        </is>
      </c>
      <c r="B8725" s="1" t="n">
        <v>44805</v>
      </c>
      <c r="C8725" s="1" t="n">
        <v>45212</v>
      </c>
      <c r="D8725" t="inlineStr">
        <is>
          <t>VÄSTRA GÖTALANDS LÄN</t>
        </is>
      </c>
      <c r="E8725" t="inlineStr">
        <is>
          <t>LIDKÖPING</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36888-2022</t>
        </is>
      </c>
      <c r="B8726" s="1" t="n">
        <v>44805</v>
      </c>
      <c r="C8726" s="1" t="n">
        <v>45212</v>
      </c>
      <c r="D8726" t="inlineStr">
        <is>
          <t>VÄSTRA GÖTALANDS LÄN</t>
        </is>
      </c>
      <c r="E8726" t="inlineStr">
        <is>
          <t>GULLSPÅNG</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36911-2022</t>
        </is>
      </c>
      <c r="B8727" s="1" t="n">
        <v>44805</v>
      </c>
      <c r="C8727" s="1" t="n">
        <v>45212</v>
      </c>
      <c r="D8727" t="inlineStr">
        <is>
          <t>VÄSTRA GÖTALANDS LÄN</t>
        </is>
      </c>
      <c r="E8727" t="inlineStr">
        <is>
          <t>FALKÖPING</t>
        </is>
      </c>
      <c r="G8727" t="n">
        <v>6.6</v>
      </c>
      <c r="H8727" t="n">
        <v>0</v>
      </c>
      <c r="I8727" t="n">
        <v>0</v>
      </c>
      <c r="J8727" t="n">
        <v>0</v>
      </c>
      <c r="K8727" t="n">
        <v>0</v>
      </c>
      <c r="L8727" t="n">
        <v>0</v>
      </c>
      <c r="M8727" t="n">
        <v>0</v>
      </c>
      <c r="N8727" t="n">
        <v>0</v>
      </c>
      <c r="O8727" t="n">
        <v>0</v>
      </c>
      <c r="P8727" t="n">
        <v>0</v>
      </c>
      <c r="Q8727" t="n">
        <v>0</v>
      </c>
      <c r="R8727" s="2" t="inlineStr"/>
    </row>
    <row r="8728" ht="15" customHeight="1">
      <c r="A8728" t="inlineStr">
        <is>
          <t>A 36763-2022</t>
        </is>
      </c>
      <c r="B8728" s="1" t="n">
        <v>44805</v>
      </c>
      <c r="C8728" s="1" t="n">
        <v>45212</v>
      </c>
      <c r="D8728" t="inlineStr">
        <is>
          <t>VÄSTRA GÖTALANDS LÄN</t>
        </is>
      </c>
      <c r="E8728" t="inlineStr">
        <is>
          <t>ALE</t>
        </is>
      </c>
      <c r="G8728" t="n">
        <v>6.1</v>
      </c>
      <c r="H8728" t="n">
        <v>0</v>
      </c>
      <c r="I8728" t="n">
        <v>0</v>
      </c>
      <c r="J8728" t="n">
        <v>0</v>
      </c>
      <c r="K8728" t="n">
        <v>0</v>
      </c>
      <c r="L8728" t="n">
        <v>0</v>
      </c>
      <c r="M8728" t="n">
        <v>0</v>
      </c>
      <c r="N8728" t="n">
        <v>0</v>
      </c>
      <c r="O8728" t="n">
        <v>0</v>
      </c>
      <c r="P8728" t="n">
        <v>0</v>
      </c>
      <c r="Q8728" t="n">
        <v>0</v>
      </c>
      <c r="R8728" s="2" t="inlineStr"/>
    </row>
    <row r="8729" ht="15" customHeight="1">
      <c r="A8729" t="inlineStr">
        <is>
          <t>A 36772-2022</t>
        </is>
      </c>
      <c r="B8729" s="1" t="n">
        <v>44805</v>
      </c>
      <c r="C8729" s="1" t="n">
        <v>45212</v>
      </c>
      <c r="D8729" t="inlineStr">
        <is>
          <t>VÄSTRA GÖTALANDS LÄN</t>
        </is>
      </c>
      <c r="E8729" t="inlineStr">
        <is>
          <t>TÖREBODA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36756-2022</t>
        </is>
      </c>
      <c r="B8730" s="1" t="n">
        <v>44805</v>
      </c>
      <c r="C8730" s="1" t="n">
        <v>45212</v>
      </c>
      <c r="D8730" t="inlineStr">
        <is>
          <t>VÄSTRA GÖTALANDS LÄN</t>
        </is>
      </c>
      <c r="E8730" t="inlineStr">
        <is>
          <t>LERUM</t>
        </is>
      </c>
      <c r="G8730" t="n">
        <v>5</v>
      </c>
      <c r="H8730" t="n">
        <v>0</v>
      </c>
      <c r="I8730" t="n">
        <v>0</v>
      </c>
      <c r="J8730" t="n">
        <v>0</v>
      </c>
      <c r="K8730" t="n">
        <v>0</v>
      </c>
      <c r="L8730" t="n">
        <v>0</v>
      </c>
      <c r="M8730" t="n">
        <v>0</v>
      </c>
      <c r="N8730" t="n">
        <v>0</v>
      </c>
      <c r="O8730" t="n">
        <v>0</v>
      </c>
      <c r="P8730" t="n">
        <v>0</v>
      </c>
      <c r="Q8730" t="n">
        <v>0</v>
      </c>
      <c r="R8730" s="2" t="inlineStr"/>
    </row>
    <row r="8731" ht="15" customHeight="1">
      <c r="A8731" t="inlineStr">
        <is>
          <t>A 36765-2022</t>
        </is>
      </c>
      <c r="B8731" s="1" t="n">
        <v>44805</v>
      </c>
      <c r="C8731" s="1" t="n">
        <v>45212</v>
      </c>
      <c r="D8731" t="inlineStr">
        <is>
          <t>VÄSTRA GÖTALANDS LÄN</t>
        </is>
      </c>
      <c r="E8731" t="inlineStr">
        <is>
          <t>ALINGSÅS</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37115-2022</t>
        </is>
      </c>
      <c r="B8732" s="1" t="n">
        <v>44806</v>
      </c>
      <c r="C8732" s="1" t="n">
        <v>45212</v>
      </c>
      <c r="D8732" t="inlineStr">
        <is>
          <t>VÄSTRA GÖTALANDS LÄN</t>
        </is>
      </c>
      <c r="E8732" t="inlineStr">
        <is>
          <t>TANUM</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37070-2022</t>
        </is>
      </c>
      <c r="B8733" s="1" t="n">
        <v>44806</v>
      </c>
      <c r="C8733" s="1" t="n">
        <v>45212</v>
      </c>
      <c r="D8733" t="inlineStr">
        <is>
          <t>VÄSTRA GÖTALANDS LÄN</t>
        </is>
      </c>
      <c r="E8733" t="inlineStr">
        <is>
          <t>TIDAHOLM</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37327-2022</t>
        </is>
      </c>
      <c r="B8734" s="1" t="n">
        <v>44806</v>
      </c>
      <c r="C8734" s="1" t="n">
        <v>45212</v>
      </c>
      <c r="D8734" t="inlineStr">
        <is>
          <t>VÄSTRA GÖTALANDS LÄN</t>
        </is>
      </c>
      <c r="E8734" t="inlineStr">
        <is>
          <t>MUNKEDAL</t>
        </is>
      </c>
      <c r="F8734" t="inlineStr">
        <is>
          <t>Övriga Aktiebolag</t>
        </is>
      </c>
      <c r="G8734" t="n">
        <v>25.2</v>
      </c>
      <c r="H8734" t="n">
        <v>0</v>
      </c>
      <c r="I8734" t="n">
        <v>0</v>
      </c>
      <c r="J8734" t="n">
        <v>0</v>
      </c>
      <c r="K8734" t="n">
        <v>0</v>
      </c>
      <c r="L8734" t="n">
        <v>0</v>
      </c>
      <c r="M8734" t="n">
        <v>0</v>
      </c>
      <c r="N8734" t="n">
        <v>0</v>
      </c>
      <c r="O8734" t="n">
        <v>0</v>
      </c>
      <c r="P8734" t="n">
        <v>0</v>
      </c>
      <c r="Q8734" t="n">
        <v>0</v>
      </c>
      <c r="R8734" s="2" t="inlineStr"/>
    </row>
    <row r="8735" ht="15" customHeight="1">
      <c r="A8735" t="inlineStr">
        <is>
          <t>A 37011-2022</t>
        </is>
      </c>
      <c r="B8735" s="1" t="n">
        <v>44806</v>
      </c>
      <c r="C8735" s="1" t="n">
        <v>45212</v>
      </c>
      <c r="D8735" t="inlineStr">
        <is>
          <t>VÄSTRA GÖTALANDS LÄN</t>
        </is>
      </c>
      <c r="E8735" t="inlineStr">
        <is>
          <t>GÖTEBORG</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37191-2022</t>
        </is>
      </c>
      <c r="B8736" s="1" t="n">
        <v>44806</v>
      </c>
      <c r="C8736" s="1" t="n">
        <v>45212</v>
      </c>
      <c r="D8736" t="inlineStr">
        <is>
          <t>VÄSTRA GÖTALANDS LÄN</t>
        </is>
      </c>
      <c r="E8736" t="inlineStr">
        <is>
          <t>ÅMÅL</t>
        </is>
      </c>
      <c r="G8736" t="n">
        <v>5.8</v>
      </c>
      <c r="H8736" t="n">
        <v>0</v>
      </c>
      <c r="I8736" t="n">
        <v>0</v>
      </c>
      <c r="J8736" t="n">
        <v>0</v>
      </c>
      <c r="K8736" t="n">
        <v>0</v>
      </c>
      <c r="L8736" t="n">
        <v>0</v>
      </c>
      <c r="M8736" t="n">
        <v>0</v>
      </c>
      <c r="N8736" t="n">
        <v>0</v>
      </c>
      <c r="O8736" t="n">
        <v>0</v>
      </c>
      <c r="P8736" t="n">
        <v>0</v>
      </c>
      <c r="Q8736" t="n">
        <v>0</v>
      </c>
      <c r="R8736" s="2" t="inlineStr"/>
    </row>
    <row r="8737" ht="15" customHeight="1">
      <c r="A8737" t="inlineStr">
        <is>
          <t>A 37214-2022</t>
        </is>
      </c>
      <c r="B8737" s="1" t="n">
        <v>44806</v>
      </c>
      <c r="C8737" s="1" t="n">
        <v>45212</v>
      </c>
      <c r="D8737" t="inlineStr">
        <is>
          <t>VÄSTRA GÖTALANDS LÄN</t>
        </is>
      </c>
      <c r="E8737" t="inlineStr">
        <is>
          <t>GRÄSTORP</t>
        </is>
      </c>
      <c r="G8737" t="n">
        <v>4.8</v>
      </c>
      <c r="H8737" t="n">
        <v>0</v>
      </c>
      <c r="I8737" t="n">
        <v>0</v>
      </c>
      <c r="J8737" t="n">
        <v>0</v>
      </c>
      <c r="K8737" t="n">
        <v>0</v>
      </c>
      <c r="L8737" t="n">
        <v>0</v>
      </c>
      <c r="M8737" t="n">
        <v>0</v>
      </c>
      <c r="N8737" t="n">
        <v>0</v>
      </c>
      <c r="O8737" t="n">
        <v>0</v>
      </c>
      <c r="P8737" t="n">
        <v>0</v>
      </c>
      <c r="Q8737" t="n">
        <v>0</v>
      </c>
      <c r="R8737" s="2" t="inlineStr"/>
    </row>
    <row r="8738" ht="15" customHeight="1">
      <c r="A8738" t="inlineStr">
        <is>
          <t>A 37330-2022</t>
        </is>
      </c>
      <c r="B8738" s="1" t="n">
        <v>44806</v>
      </c>
      <c r="C8738" s="1" t="n">
        <v>45212</v>
      </c>
      <c r="D8738" t="inlineStr">
        <is>
          <t>VÄSTRA GÖTALANDS LÄN</t>
        </is>
      </c>
      <c r="E8738" t="inlineStr">
        <is>
          <t>MUNKEDAL</t>
        </is>
      </c>
      <c r="F8738" t="inlineStr">
        <is>
          <t>Övriga Aktiebolag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37099-2022</t>
        </is>
      </c>
      <c r="B8739" s="1" t="n">
        <v>44806</v>
      </c>
      <c r="C8739" s="1" t="n">
        <v>45212</v>
      </c>
      <c r="D8739" t="inlineStr">
        <is>
          <t>VÄSTRA GÖTALANDS LÄN</t>
        </is>
      </c>
      <c r="E8739" t="inlineStr">
        <is>
          <t>TANUM</t>
        </is>
      </c>
      <c r="G8739" t="n">
        <v>7</v>
      </c>
      <c r="H8739" t="n">
        <v>0</v>
      </c>
      <c r="I8739" t="n">
        <v>0</v>
      </c>
      <c r="J8739" t="n">
        <v>0</v>
      </c>
      <c r="K8739" t="n">
        <v>0</v>
      </c>
      <c r="L8739" t="n">
        <v>0</v>
      </c>
      <c r="M8739" t="n">
        <v>0</v>
      </c>
      <c r="N8739" t="n">
        <v>0</v>
      </c>
      <c r="O8739" t="n">
        <v>0</v>
      </c>
      <c r="P8739" t="n">
        <v>0</v>
      </c>
      <c r="Q8739" t="n">
        <v>0</v>
      </c>
      <c r="R8739" s="2" t="inlineStr"/>
    </row>
    <row r="8740" ht="15" customHeight="1">
      <c r="A8740" t="inlineStr">
        <is>
          <t>A 37286-2022</t>
        </is>
      </c>
      <c r="B8740" s="1" t="n">
        <v>44808</v>
      </c>
      <c r="C8740" s="1" t="n">
        <v>45212</v>
      </c>
      <c r="D8740" t="inlineStr">
        <is>
          <t>VÄSTRA GÖTALANDS LÄN</t>
        </is>
      </c>
      <c r="E8740" t="inlineStr">
        <is>
          <t>GRÄSTORP</t>
        </is>
      </c>
      <c r="G8740" t="n">
        <v>5.1</v>
      </c>
      <c r="H8740" t="n">
        <v>0</v>
      </c>
      <c r="I8740" t="n">
        <v>0</v>
      </c>
      <c r="J8740" t="n">
        <v>0</v>
      </c>
      <c r="K8740" t="n">
        <v>0</v>
      </c>
      <c r="L8740" t="n">
        <v>0</v>
      </c>
      <c r="M8740" t="n">
        <v>0</v>
      </c>
      <c r="N8740" t="n">
        <v>0</v>
      </c>
      <c r="O8740" t="n">
        <v>0</v>
      </c>
      <c r="P8740" t="n">
        <v>0</v>
      </c>
      <c r="Q8740" t="n">
        <v>0</v>
      </c>
      <c r="R8740" s="2" t="inlineStr"/>
    </row>
    <row r="8741" ht="15" customHeight="1">
      <c r="A8741" t="inlineStr">
        <is>
          <t>A 37312-2022</t>
        </is>
      </c>
      <c r="B8741" s="1" t="n">
        <v>44808</v>
      </c>
      <c r="C8741" s="1" t="n">
        <v>45212</v>
      </c>
      <c r="D8741" t="inlineStr">
        <is>
          <t>VÄSTRA GÖTALANDS LÄN</t>
        </is>
      </c>
      <c r="E8741" t="inlineStr">
        <is>
          <t>TROLLHÄTTAN</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37363-2022</t>
        </is>
      </c>
      <c r="B8742" s="1" t="n">
        <v>44809</v>
      </c>
      <c r="C8742" s="1" t="n">
        <v>45212</v>
      </c>
      <c r="D8742" t="inlineStr">
        <is>
          <t>VÄSTRA GÖTALANDS LÄN</t>
        </is>
      </c>
      <c r="E8742" t="inlineStr">
        <is>
          <t>KARLSBORG</t>
        </is>
      </c>
      <c r="F8742" t="inlineStr">
        <is>
          <t>Sveaskog</t>
        </is>
      </c>
      <c r="G8742" t="n">
        <v>4.4</v>
      </c>
      <c r="H8742" t="n">
        <v>0</v>
      </c>
      <c r="I8742" t="n">
        <v>0</v>
      </c>
      <c r="J8742" t="n">
        <v>0</v>
      </c>
      <c r="K8742" t="n">
        <v>0</v>
      </c>
      <c r="L8742" t="n">
        <v>0</v>
      </c>
      <c r="M8742" t="n">
        <v>0</v>
      </c>
      <c r="N8742" t="n">
        <v>0</v>
      </c>
      <c r="O8742" t="n">
        <v>0</v>
      </c>
      <c r="P8742" t="n">
        <v>0</v>
      </c>
      <c r="Q8742" t="n">
        <v>0</v>
      </c>
      <c r="R8742" s="2" t="inlineStr"/>
    </row>
    <row r="8743" ht="15" customHeight="1">
      <c r="A8743" t="inlineStr">
        <is>
          <t>A 37451-2022</t>
        </is>
      </c>
      <c r="B8743" s="1" t="n">
        <v>44809</v>
      </c>
      <c r="C8743" s="1" t="n">
        <v>45212</v>
      </c>
      <c r="D8743" t="inlineStr">
        <is>
          <t>VÄSTRA GÖTALANDS LÄN</t>
        </is>
      </c>
      <c r="E8743" t="inlineStr">
        <is>
          <t>SKÖVDE</t>
        </is>
      </c>
      <c r="G8743" t="n">
        <v>3.7</v>
      </c>
      <c r="H8743" t="n">
        <v>0</v>
      </c>
      <c r="I8743" t="n">
        <v>0</v>
      </c>
      <c r="J8743" t="n">
        <v>0</v>
      </c>
      <c r="K8743" t="n">
        <v>0</v>
      </c>
      <c r="L8743" t="n">
        <v>0</v>
      </c>
      <c r="M8743" t="n">
        <v>0</v>
      </c>
      <c r="N8743" t="n">
        <v>0</v>
      </c>
      <c r="O8743" t="n">
        <v>0</v>
      </c>
      <c r="P8743" t="n">
        <v>0</v>
      </c>
      <c r="Q8743" t="n">
        <v>0</v>
      </c>
      <c r="R8743" s="2" t="inlineStr"/>
    </row>
    <row r="8744" ht="15" customHeight="1">
      <c r="A8744" t="inlineStr">
        <is>
          <t>A 37388-2022</t>
        </is>
      </c>
      <c r="B8744" s="1" t="n">
        <v>44809</v>
      </c>
      <c r="C8744" s="1" t="n">
        <v>45212</v>
      </c>
      <c r="D8744" t="inlineStr">
        <is>
          <t>VÄSTRA GÖTALANDS LÄN</t>
        </is>
      </c>
      <c r="E8744" t="inlineStr">
        <is>
          <t>ULRICEHAMN</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37403-2022</t>
        </is>
      </c>
      <c r="B8745" s="1" t="n">
        <v>44809</v>
      </c>
      <c r="C8745" s="1" t="n">
        <v>45212</v>
      </c>
      <c r="D8745" t="inlineStr">
        <is>
          <t>VÄSTRA GÖTALANDS LÄN</t>
        </is>
      </c>
      <c r="E8745" t="inlineStr">
        <is>
          <t>KUNGÄLV</t>
        </is>
      </c>
      <c r="G8745" t="n">
        <v>2.1</v>
      </c>
      <c r="H8745" t="n">
        <v>0</v>
      </c>
      <c r="I8745" t="n">
        <v>0</v>
      </c>
      <c r="J8745" t="n">
        <v>0</v>
      </c>
      <c r="K8745" t="n">
        <v>0</v>
      </c>
      <c r="L8745" t="n">
        <v>0</v>
      </c>
      <c r="M8745" t="n">
        <v>0</v>
      </c>
      <c r="N8745" t="n">
        <v>0</v>
      </c>
      <c r="O8745" t="n">
        <v>0</v>
      </c>
      <c r="P8745" t="n">
        <v>0</v>
      </c>
      <c r="Q8745" t="n">
        <v>0</v>
      </c>
      <c r="R8745" s="2" t="inlineStr"/>
    </row>
    <row r="8746" ht="15" customHeight="1">
      <c r="A8746" t="inlineStr">
        <is>
          <t>A 37512-2022</t>
        </is>
      </c>
      <c r="B8746" s="1" t="n">
        <v>44809</v>
      </c>
      <c r="C8746" s="1" t="n">
        <v>45212</v>
      </c>
      <c r="D8746" t="inlineStr">
        <is>
          <t>VÄSTRA GÖTALANDS LÄN</t>
        </is>
      </c>
      <c r="E8746" t="inlineStr">
        <is>
          <t>ALINGSÅS</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37425-2022</t>
        </is>
      </c>
      <c r="B8747" s="1" t="n">
        <v>44809</v>
      </c>
      <c r="C8747" s="1" t="n">
        <v>45212</v>
      </c>
      <c r="D8747" t="inlineStr">
        <is>
          <t>VÄSTRA GÖTALANDS LÄN</t>
        </is>
      </c>
      <c r="E8747" t="inlineStr">
        <is>
          <t>ÅMÅL</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37509-2022</t>
        </is>
      </c>
      <c r="B8748" s="1" t="n">
        <v>44809</v>
      </c>
      <c r="C8748" s="1" t="n">
        <v>45212</v>
      </c>
      <c r="D8748" t="inlineStr">
        <is>
          <t>VÄSTRA GÖTALANDS LÄN</t>
        </is>
      </c>
      <c r="E8748" t="inlineStr">
        <is>
          <t>ALINGSÅS</t>
        </is>
      </c>
      <c r="G8748" t="n">
        <v>1.5</v>
      </c>
      <c r="H8748" t="n">
        <v>0</v>
      </c>
      <c r="I8748" t="n">
        <v>0</v>
      </c>
      <c r="J8748" t="n">
        <v>0</v>
      </c>
      <c r="K8748" t="n">
        <v>0</v>
      </c>
      <c r="L8748" t="n">
        <v>0</v>
      </c>
      <c r="M8748" t="n">
        <v>0</v>
      </c>
      <c r="N8748" t="n">
        <v>0</v>
      </c>
      <c r="O8748" t="n">
        <v>0</v>
      </c>
      <c r="P8748" t="n">
        <v>0</v>
      </c>
      <c r="Q8748" t="n">
        <v>0</v>
      </c>
      <c r="R8748" s="2" t="inlineStr"/>
    </row>
    <row r="8749" ht="15" customHeight="1">
      <c r="A8749" t="inlineStr">
        <is>
          <t>A 37778-2022</t>
        </is>
      </c>
      <c r="B8749" s="1" t="n">
        <v>44810</v>
      </c>
      <c r="C8749" s="1" t="n">
        <v>45212</v>
      </c>
      <c r="D8749" t="inlineStr">
        <is>
          <t>VÄSTRA GÖTALANDS LÄN</t>
        </is>
      </c>
      <c r="E8749" t="inlineStr">
        <is>
          <t>FÄRGELANDA</t>
        </is>
      </c>
      <c r="G8749" t="n">
        <v>2</v>
      </c>
      <c r="H8749" t="n">
        <v>0</v>
      </c>
      <c r="I8749" t="n">
        <v>0</v>
      </c>
      <c r="J8749" t="n">
        <v>0</v>
      </c>
      <c r="K8749" t="n">
        <v>0</v>
      </c>
      <c r="L8749" t="n">
        <v>0</v>
      </c>
      <c r="M8749" t="n">
        <v>0</v>
      </c>
      <c r="N8749" t="n">
        <v>0</v>
      </c>
      <c r="O8749" t="n">
        <v>0</v>
      </c>
      <c r="P8749" t="n">
        <v>0</v>
      </c>
      <c r="Q8749" t="n">
        <v>0</v>
      </c>
      <c r="R8749" s="2" t="inlineStr"/>
    </row>
    <row r="8750" ht="15" customHeight="1">
      <c r="A8750" t="inlineStr">
        <is>
          <t>A 37687-2022</t>
        </is>
      </c>
      <c r="B8750" s="1" t="n">
        <v>44810</v>
      </c>
      <c r="C8750" s="1" t="n">
        <v>45212</v>
      </c>
      <c r="D8750" t="inlineStr">
        <is>
          <t>VÄSTRA GÖTALANDS LÄN</t>
        </is>
      </c>
      <c r="E8750" t="inlineStr">
        <is>
          <t>ULRICEHAMN</t>
        </is>
      </c>
      <c r="G8750" t="n">
        <v>1.9</v>
      </c>
      <c r="H8750" t="n">
        <v>0</v>
      </c>
      <c r="I8750" t="n">
        <v>0</v>
      </c>
      <c r="J8750" t="n">
        <v>0</v>
      </c>
      <c r="K8750" t="n">
        <v>0</v>
      </c>
      <c r="L8750" t="n">
        <v>0</v>
      </c>
      <c r="M8750" t="n">
        <v>0</v>
      </c>
      <c r="N8750" t="n">
        <v>0</v>
      </c>
      <c r="O8750" t="n">
        <v>0</v>
      </c>
      <c r="P8750" t="n">
        <v>0</v>
      </c>
      <c r="Q8750" t="n">
        <v>0</v>
      </c>
      <c r="R8750" s="2" t="inlineStr"/>
    </row>
    <row r="8751" ht="15" customHeight="1">
      <c r="A8751" t="inlineStr">
        <is>
          <t>A 37789-2022</t>
        </is>
      </c>
      <c r="B8751" s="1" t="n">
        <v>44810</v>
      </c>
      <c r="C8751" s="1" t="n">
        <v>45212</v>
      </c>
      <c r="D8751" t="inlineStr">
        <is>
          <t>VÄSTRA GÖTALANDS LÄN</t>
        </is>
      </c>
      <c r="E8751" t="inlineStr">
        <is>
          <t>HJO</t>
        </is>
      </c>
      <c r="G8751" t="n">
        <v>2.6</v>
      </c>
      <c r="H8751" t="n">
        <v>0</v>
      </c>
      <c r="I8751" t="n">
        <v>0</v>
      </c>
      <c r="J8751" t="n">
        <v>0</v>
      </c>
      <c r="K8751" t="n">
        <v>0</v>
      </c>
      <c r="L8751" t="n">
        <v>0</v>
      </c>
      <c r="M8751" t="n">
        <v>0</v>
      </c>
      <c r="N8751" t="n">
        <v>0</v>
      </c>
      <c r="O8751" t="n">
        <v>0</v>
      </c>
      <c r="P8751" t="n">
        <v>0</v>
      </c>
      <c r="Q8751" t="n">
        <v>0</v>
      </c>
      <c r="R8751" s="2" t="inlineStr"/>
    </row>
    <row r="8752" ht="15" customHeight="1">
      <c r="A8752" t="inlineStr">
        <is>
          <t>A 37707-2022</t>
        </is>
      </c>
      <c r="B8752" s="1" t="n">
        <v>44810</v>
      </c>
      <c r="C8752" s="1" t="n">
        <v>45212</v>
      </c>
      <c r="D8752" t="inlineStr">
        <is>
          <t>VÄSTRA GÖTALANDS LÄN</t>
        </is>
      </c>
      <c r="E8752" t="inlineStr">
        <is>
          <t>BENGTSFORS</t>
        </is>
      </c>
      <c r="G8752" t="n">
        <v>5.9</v>
      </c>
      <c r="H8752" t="n">
        <v>0</v>
      </c>
      <c r="I8752" t="n">
        <v>0</v>
      </c>
      <c r="J8752" t="n">
        <v>0</v>
      </c>
      <c r="K8752" t="n">
        <v>0</v>
      </c>
      <c r="L8752" t="n">
        <v>0</v>
      </c>
      <c r="M8752" t="n">
        <v>0</v>
      </c>
      <c r="N8752" t="n">
        <v>0</v>
      </c>
      <c r="O8752" t="n">
        <v>0</v>
      </c>
      <c r="P8752" t="n">
        <v>0</v>
      </c>
      <c r="Q8752" t="n">
        <v>0</v>
      </c>
      <c r="R8752" s="2" t="inlineStr"/>
    </row>
    <row r="8753" ht="15" customHeight="1">
      <c r="A8753" t="inlineStr">
        <is>
          <t>A 37737-2022</t>
        </is>
      </c>
      <c r="B8753" s="1" t="n">
        <v>44810</v>
      </c>
      <c r="C8753" s="1" t="n">
        <v>45212</v>
      </c>
      <c r="D8753" t="inlineStr">
        <is>
          <t>VÄSTRA GÖTALANDS LÄN</t>
        </is>
      </c>
      <c r="E8753" t="inlineStr">
        <is>
          <t>MARK</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37777-2022</t>
        </is>
      </c>
      <c r="B8754" s="1" t="n">
        <v>44810</v>
      </c>
      <c r="C8754" s="1" t="n">
        <v>45212</v>
      </c>
      <c r="D8754" t="inlineStr">
        <is>
          <t>VÄSTRA GÖTALANDS LÄN</t>
        </is>
      </c>
      <c r="E8754" t="inlineStr">
        <is>
          <t>FÄRGELANDA</t>
        </is>
      </c>
      <c r="G8754" t="n">
        <v>19.4</v>
      </c>
      <c r="H8754" t="n">
        <v>0</v>
      </c>
      <c r="I8754" t="n">
        <v>0</v>
      </c>
      <c r="J8754" t="n">
        <v>0</v>
      </c>
      <c r="K8754" t="n">
        <v>0</v>
      </c>
      <c r="L8754" t="n">
        <v>0</v>
      </c>
      <c r="M8754" t="n">
        <v>0</v>
      </c>
      <c r="N8754" t="n">
        <v>0</v>
      </c>
      <c r="O8754" t="n">
        <v>0</v>
      </c>
      <c r="P8754" t="n">
        <v>0</v>
      </c>
      <c r="Q8754" t="n">
        <v>0</v>
      </c>
      <c r="R8754" s="2" t="inlineStr"/>
    </row>
    <row r="8755" ht="15" customHeight="1">
      <c r="A8755" t="inlineStr">
        <is>
          <t>A 37910-2022</t>
        </is>
      </c>
      <c r="B8755" s="1" t="n">
        <v>44811</v>
      </c>
      <c r="C8755" s="1" t="n">
        <v>45212</v>
      </c>
      <c r="D8755" t="inlineStr">
        <is>
          <t>VÄSTRA GÖTALANDS LÄN</t>
        </is>
      </c>
      <c r="E8755" t="inlineStr">
        <is>
          <t>HERRLJUNGA</t>
        </is>
      </c>
      <c r="G8755" t="n">
        <v>4.9</v>
      </c>
      <c r="H8755" t="n">
        <v>0</v>
      </c>
      <c r="I8755" t="n">
        <v>0</v>
      </c>
      <c r="J8755" t="n">
        <v>0</v>
      </c>
      <c r="K8755" t="n">
        <v>0</v>
      </c>
      <c r="L8755" t="n">
        <v>0</v>
      </c>
      <c r="M8755" t="n">
        <v>0</v>
      </c>
      <c r="N8755" t="n">
        <v>0</v>
      </c>
      <c r="O8755" t="n">
        <v>0</v>
      </c>
      <c r="P8755" t="n">
        <v>0</v>
      </c>
      <c r="Q8755" t="n">
        <v>0</v>
      </c>
      <c r="R8755" s="2" t="inlineStr"/>
    </row>
    <row r="8756" ht="15" customHeight="1">
      <c r="A8756" t="inlineStr">
        <is>
          <t>A 38061-2022</t>
        </is>
      </c>
      <c r="B8756" s="1" t="n">
        <v>44811</v>
      </c>
      <c r="C8756" s="1" t="n">
        <v>45212</v>
      </c>
      <c r="D8756" t="inlineStr">
        <is>
          <t>VÄSTRA GÖTALANDS LÄN</t>
        </is>
      </c>
      <c r="E8756" t="inlineStr">
        <is>
          <t>GRÄSTORP</t>
        </is>
      </c>
      <c r="G8756" t="n">
        <v>6.7</v>
      </c>
      <c r="H8756" t="n">
        <v>0</v>
      </c>
      <c r="I8756" t="n">
        <v>0</v>
      </c>
      <c r="J8756" t="n">
        <v>0</v>
      </c>
      <c r="K8756" t="n">
        <v>0</v>
      </c>
      <c r="L8756" t="n">
        <v>0</v>
      </c>
      <c r="M8756" t="n">
        <v>0</v>
      </c>
      <c r="N8756" t="n">
        <v>0</v>
      </c>
      <c r="O8756" t="n">
        <v>0</v>
      </c>
      <c r="P8756" t="n">
        <v>0</v>
      </c>
      <c r="Q8756" t="n">
        <v>0</v>
      </c>
      <c r="R8756" s="2" t="inlineStr"/>
    </row>
    <row r="8757" ht="15" customHeight="1">
      <c r="A8757" t="inlineStr">
        <is>
          <t>A 38048-2022</t>
        </is>
      </c>
      <c r="B8757" s="1" t="n">
        <v>44811</v>
      </c>
      <c r="C8757" s="1" t="n">
        <v>45212</v>
      </c>
      <c r="D8757" t="inlineStr">
        <is>
          <t>VÄSTRA GÖTALANDS LÄN</t>
        </is>
      </c>
      <c r="E8757" t="inlineStr">
        <is>
          <t>SKÖVDE</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38067-2022</t>
        </is>
      </c>
      <c r="B8758" s="1" t="n">
        <v>44811</v>
      </c>
      <c r="C8758" s="1" t="n">
        <v>45212</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37868-2022</t>
        </is>
      </c>
      <c r="B8759" s="1" t="n">
        <v>44811</v>
      </c>
      <c r="C8759" s="1" t="n">
        <v>45212</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38384-2022</t>
        </is>
      </c>
      <c r="B8760" s="1" t="n">
        <v>44812</v>
      </c>
      <c r="C8760" s="1" t="n">
        <v>45212</v>
      </c>
      <c r="D8760" t="inlineStr">
        <is>
          <t>VÄSTRA GÖTALANDS LÄN</t>
        </is>
      </c>
      <c r="E8760" t="inlineStr">
        <is>
          <t>LILLA EDET</t>
        </is>
      </c>
      <c r="G8760" t="n">
        <v>0.3</v>
      </c>
      <c r="H8760" t="n">
        <v>0</v>
      </c>
      <c r="I8760" t="n">
        <v>0</v>
      </c>
      <c r="J8760" t="n">
        <v>0</v>
      </c>
      <c r="K8760" t="n">
        <v>0</v>
      </c>
      <c r="L8760" t="n">
        <v>0</v>
      </c>
      <c r="M8760" t="n">
        <v>0</v>
      </c>
      <c r="N8760" t="n">
        <v>0</v>
      </c>
      <c r="O8760" t="n">
        <v>0</v>
      </c>
      <c r="P8760" t="n">
        <v>0</v>
      </c>
      <c r="Q8760" t="n">
        <v>0</v>
      </c>
      <c r="R8760" s="2" t="inlineStr"/>
    </row>
    <row r="8761" ht="15" customHeight="1">
      <c r="A8761" t="inlineStr">
        <is>
          <t>A 38134-2022</t>
        </is>
      </c>
      <c r="B8761" s="1" t="n">
        <v>44812</v>
      </c>
      <c r="C8761" s="1" t="n">
        <v>45212</v>
      </c>
      <c r="D8761" t="inlineStr">
        <is>
          <t>VÄSTRA GÖTALANDS LÄN</t>
        </is>
      </c>
      <c r="E8761" t="inlineStr">
        <is>
          <t>TIDAHOLM</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38160-2022</t>
        </is>
      </c>
      <c r="B8762" s="1" t="n">
        <v>44812</v>
      </c>
      <c r="C8762" s="1" t="n">
        <v>45212</v>
      </c>
      <c r="D8762" t="inlineStr">
        <is>
          <t>VÄSTRA GÖTALANDS LÄN</t>
        </is>
      </c>
      <c r="E8762" t="inlineStr">
        <is>
          <t>VARA</t>
        </is>
      </c>
      <c r="G8762" t="n">
        <v>7.2</v>
      </c>
      <c r="H8762" t="n">
        <v>0</v>
      </c>
      <c r="I8762" t="n">
        <v>0</v>
      </c>
      <c r="J8762" t="n">
        <v>0</v>
      </c>
      <c r="K8762" t="n">
        <v>0</v>
      </c>
      <c r="L8762" t="n">
        <v>0</v>
      </c>
      <c r="M8762" t="n">
        <v>0</v>
      </c>
      <c r="N8762" t="n">
        <v>0</v>
      </c>
      <c r="O8762" t="n">
        <v>0</v>
      </c>
      <c r="P8762" t="n">
        <v>0</v>
      </c>
      <c r="Q8762" t="n">
        <v>0</v>
      </c>
      <c r="R8762" s="2" t="inlineStr"/>
    </row>
    <row r="8763" ht="15" customHeight="1">
      <c r="A8763" t="inlineStr">
        <is>
          <t>A 38210-2022</t>
        </is>
      </c>
      <c r="B8763" s="1" t="n">
        <v>44812</v>
      </c>
      <c r="C8763" s="1" t="n">
        <v>45212</v>
      </c>
      <c r="D8763" t="inlineStr">
        <is>
          <t>VÄSTRA GÖTALANDS LÄN</t>
        </is>
      </c>
      <c r="E8763" t="inlineStr">
        <is>
          <t>SKARA</t>
        </is>
      </c>
      <c r="G8763" t="n">
        <v>3.4</v>
      </c>
      <c r="H8763" t="n">
        <v>0</v>
      </c>
      <c r="I8763" t="n">
        <v>0</v>
      </c>
      <c r="J8763" t="n">
        <v>0</v>
      </c>
      <c r="K8763" t="n">
        <v>0</v>
      </c>
      <c r="L8763" t="n">
        <v>0</v>
      </c>
      <c r="M8763" t="n">
        <v>0</v>
      </c>
      <c r="N8763" t="n">
        <v>0</v>
      </c>
      <c r="O8763" t="n">
        <v>0</v>
      </c>
      <c r="P8763" t="n">
        <v>0</v>
      </c>
      <c r="Q8763" t="n">
        <v>0</v>
      </c>
      <c r="R8763" s="2" t="inlineStr"/>
    </row>
    <row r="8764" ht="15" customHeight="1">
      <c r="A8764" t="inlineStr">
        <is>
          <t>A 38340-2022</t>
        </is>
      </c>
      <c r="B8764" s="1" t="n">
        <v>44812</v>
      </c>
      <c r="C8764" s="1" t="n">
        <v>45212</v>
      </c>
      <c r="D8764" t="inlineStr">
        <is>
          <t>VÄSTRA GÖTALANDS LÄN</t>
        </is>
      </c>
      <c r="E8764" t="inlineStr">
        <is>
          <t>ULRICEHAMN</t>
        </is>
      </c>
      <c r="G8764" t="n">
        <v>5.4</v>
      </c>
      <c r="H8764" t="n">
        <v>0</v>
      </c>
      <c r="I8764" t="n">
        <v>0</v>
      </c>
      <c r="J8764" t="n">
        <v>0</v>
      </c>
      <c r="K8764" t="n">
        <v>0</v>
      </c>
      <c r="L8764" t="n">
        <v>0</v>
      </c>
      <c r="M8764" t="n">
        <v>0</v>
      </c>
      <c r="N8764" t="n">
        <v>0</v>
      </c>
      <c r="O8764" t="n">
        <v>0</v>
      </c>
      <c r="P8764" t="n">
        <v>0</v>
      </c>
      <c r="Q8764" t="n">
        <v>0</v>
      </c>
      <c r="R8764" s="2" t="inlineStr"/>
    </row>
    <row r="8765" ht="15" customHeight="1">
      <c r="A8765" t="inlineStr">
        <is>
          <t>A 38383-2022</t>
        </is>
      </c>
      <c r="B8765" s="1" t="n">
        <v>44812</v>
      </c>
      <c r="C8765" s="1" t="n">
        <v>45212</v>
      </c>
      <c r="D8765" t="inlineStr">
        <is>
          <t>VÄSTRA GÖTALANDS LÄN</t>
        </is>
      </c>
      <c r="E8765" t="inlineStr">
        <is>
          <t>LILLA EDET</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38392-2022</t>
        </is>
      </c>
      <c r="B8766" s="1" t="n">
        <v>44812</v>
      </c>
      <c r="C8766" s="1" t="n">
        <v>45212</v>
      </c>
      <c r="D8766" t="inlineStr">
        <is>
          <t>VÄSTRA GÖTALANDS LÄN</t>
        </is>
      </c>
      <c r="E8766" t="inlineStr">
        <is>
          <t>DALS-ED</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38205-2022</t>
        </is>
      </c>
      <c r="B8767" s="1" t="n">
        <v>44812</v>
      </c>
      <c r="C8767" s="1" t="n">
        <v>45212</v>
      </c>
      <c r="D8767" t="inlineStr">
        <is>
          <t>VÄSTRA GÖTALANDS LÄN</t>
        </is>
      </c>
      <c r="E8767" t="inlineStr">
        <is>
          <t>SKARA</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38247-2022</t>
        </is>
      </c>
      <c r="B8768" s="1" t="n">
        <v>44812</v>
      </c>
      <c r="C8768" s="1" t="n">
        <v>45212</v>
      </c>
      <c r="D8768" t="inlineStr">
        <is>
          <t>VÄSTRA GÖTALANDS LÄN</t>
        </is>
      </c>
      <c r="E8768" t="inlineStr">
        <is>
          <t>BENGTSFORS</t>
        </is>
      </c>
      <c r="F8768" t="inlineStr">
        <is>
          <t>Övriga Aktiebolag</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39070-2022</t>
        </is>
      </c>
      <c r="B8769" s="1" t="n">
        <v>44812</v>
      </c>
      <c r="C8769" s="1" t="n">
        <v>45212</v>
      </c>
      <c r="D8769" t="inlineStr">
        <is>
          <t>VÄSTRA GÖTALANDS LÄN</t>
        </is>
      </c>
      <c r="E8769" t="inlineStr">
        <is>
          <t>UDDEVALLA</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38476-2022</t>
        </is>
      </c>
      <c r="B8770" s="1" t="n">
        <v>44813</v>
      </c>
      <c r="C8770" s="1" t="n">
        <v>45212</v>
      </c>
      <c r="D8770" t="inlineStr">
        <is>
          <t>VÄSTRA GÖTALANDS LÄN</t>
        </is>
      </c>
      <c r="E8770" t="inlineStr">
        <is>
          <t>SVENLJUNGA</t>
        </is>
      </c>
      <c r="G8770" t="n">
        <v>3.7</v>
      </c>
      <c r="H8770" t="n">
        <v>0</v>
      </c>
      <c r="I8770" t="n">
        <v>0</v>
      </c>
      <c r="J8770" t="n">
        <v>0</v>
      </c>
      <c r="K8770" t="n">
        <v>0</v>
      </c>
      <c r="L8770" t="n">
        <v>0</v>
      </c>
      <c r="M8770" t="n">
        <v>0</v>
      </c>
      <c r="N8770" t="n">
        <v>0</v>
      </c>
      <c r="O8770" t="n">
        <v>0</v>
      </c>
      <c r="P8770" t="n">
        <v>0</v>
      </c>
      <c r="Q8770" t="n">
        <v>0</v>
      </c>
      <c r="R8770" s="2" t="inlineStr"/>
    </row>
    <row r="8771" ht="15" customHeight="1">
      <c r="A8771" t="inlineStr">
        <is>
          <t>A 38484-2022</t>
        </is>
      </c>
      <c r="B8771" s="1" t="n">
        <v>44813</v>
      </c>
      <c r="C8771" s="1" t="n">
        <v>45212</v>
      </c>
      <c r="D8771" t="inlineStr">
        <is>
          <t>VÄSTRA GÖTALANDS LÄN</t>
        </is>
      </c>
      <c r="E8771" t="inlineStr">
        <is>
          <t>MARK</t>
        </is>
      </c>
      <c r="G8771" t="n">
        <v>1.4</v>
      </c>
      <c r="H8771" t="n">
        <v>0</v>
      </c>
      <c r="I8771" t="n">
        <v>0</v>
      </c>
      <c r="J8771" t="n">
        <v>0</v>
      </c>
      <c r="K8771" t="n">
        <v>0</v>
      </c>
      <c r="L8771" t="n">
        <v>0</v>
      </c>
      <c r="M8771" t="n">
        <v>0</v>
      </c>
      <c r="N8771" t="n">
        <v>0</v>
      </c>
      <c r="O8771" t="n">
        <v>0</v>
      </c>
      <c r="P8771" t="n">
        <v>0</v>
      </c>
      <c r="Q8771" t="n">
        <v>0</v>
      </c>
      <c r="R8771" s="2" t="inlineStr"/>
    </row>
    <row r="8772" ht="15" customHeight="1">
      <c r="A8772" t="inlineStr">
        <is>
          <t>A 38780-2022</t>
        </is>
      </c>
      <c r="B8772" s="1" t="n">
        <v>44813</v>
      </c>
      <c r="C8772" s="1" t="n">
        <v>45212</v>
      </c>
      <c r="D8772" t="inlineStr">
        <is>
          <t>VÄSTRA GÖTALANDS LÄN</t>
        </is>
      </c>
      <c r="E8772" t="inlineStr">
        <is>
          <t>MARK</t>
        </is>
      </c>
      <c r="G8772" t="n">
        <v>3.5</v>
      </c>
      <c r="H8772" t="n">
        <v>0</v>
      </c>
      <c r="I8772" t="n">
        <v>0</v>
      </c>
      <c r="J8772" t="n">
        <v>0</v>
      </c>
      <c r="K8772" t="n">
        <v>0</v>
      </c>
      <c r="L8772" t="n">
        <v>0</v>
      </c>
      <c r="M8772" t="n">
        <v>0</v>
      </c>
      <c r="N8772" t="n">
        <v>0</v>
      </c>
      <c r="O8772" t="n">
        <v>0</v>
      </c>
      <c r="P8772" t="n">
        <v>0</v>
      </c>
      <c r="Q8772" t="n">
        <v>0</v>
      </c>
      <c r="R8772" s="2" t="inlineStr"/>
    </row>
    <row r="8773" ht="15" customHeight="1">
      <c r="A8773" t="inlineStr">
        <is>
          <t>A 38466-2022</t>
        </is>
      </c>
      <c r="B8773" s="1" t="n">
        <v>44813</v>
      </c>
      <c r="C8773" s="1" t="n">
        <v>45212</v>
      </c>
      <c r="D8773" t="inlineStr">
        <is>
          <t>VÄSTRA GÖTALANDS LÄN</t>
        </is>
      </c>
      <c r="E8773" t="inlineStr">
        <is>
          <t>TANUM</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38557-2022</t>
        </is>
      </c>
      <c r="B8774" s="1" t="n">
        <v>44813</v>
      </c>
      <c r="C8774" s="1" t="n">
        <v>45212</v>
      </c>
      <c r="D8774" t="inlineStr">
        <is>
          <t>VÄSTRA GÖTALANDS LÄN</t>
        </is>
      </c>
      <c r="E8774" t="inlineStr">
        <is>
          <t>UDDEVALLA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38799-2022</t>
        </is>
      </c>
      <c r="B8775" s="1" t="n">
        <v>44813</v>
      </c>
      <c r="C8775" s="1" t="n">
        <v>45212</v>
      </c>
      <c r="D8775" t="inlineStr">
        <is>
          <t>VÄSTRA GÖTALANDS LÄN</t>
        </is>
      </c>
      <c r="E8775" t="inlineStr">
        <is>
          <t>MARK</t>
        </is>
      </c>
      <c r="G8775" t="n">
        <v>3.8</v>
      </c>
      <c r="H8775" t="n">
        <v>0</v>
      </c>
      <c r="I8775" t="n">
        <v>0</v>
      </c>
      <c r="J8775" t="n">
        <v>0</v>
      </c>
      <c r="K8775" t="n">
        <v>0</v>
      </c>
      <c r="L8775" t="n">
        <v>0</v>
      </c>
      <c r="M8775" t="n">
        <v>0</v>
      </c>
      <c r="N8775" t="n">
        <v>0</v>
      </c>
      <c r="O8775" t="n">
        <v>0</v>
      </c>
      <c r="P8775" t="n">
        <v>0</v>
      </c>
      <c r="Q8775" t="n">
        <v>0</v>
      </c>
      <c r="R8775" s="2" t="inlineStr"/>
    </row>
    <row r="8776" ht="15" customHeight="1">
      <c r="A8776" t="inlineStr">
        <is>
          <t>A 38715-2022</t>
        </is>
      </c>
      <c r="B8776" s="1" t="n">
        <v>44815</v>
      </c>
      <c r="C8776" s="1" t="n">
        <v>45212</v>
      </c>
      <c r="D8776" t="inlineStr">
        <is>
          <t>VÄSTRA GÖTALANDS LÄN</t>
        </is>
      </c>
      <c r="E8776" t="inlineStr">
        <is>
          <t>ESSUNGA</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38841-2022</t>
        </is>
      </c>
      <c r="B8777" s="1" t="n">
        <v>44816</v>
      </c>
      <c r="C8777" s="1" t="n">
        <v>45212</v>
      </c>
      <c r="D8777" t="inlineStr">
        <is>
          <t>VÄSTRA GÖTALANDS LÄN</t>
        </is>
      </c>
      <c r="E8777" t="inlineStr">
        <is>
          <t>TÖREBODA</t>
        </is>
      </c>
      <c r="F8777" t="inlineStr">
        <is>
          <t>Kyrkan</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38920-2022</t>
        </is>
      </c>
      <c r="B8778" s="1" t="n">
        <v>44816</v>
      </c>
      <c r="C8778" s="1" t="n">
        <v>45212</v>
      </c>
      <c r="D8778" t="inlineStr">
        <is>
          <t>VÄSTRA GÖTALANDS LÄN</t>
        </is>
      </c>
      <c r="E8778" t="inlineStr">
        <is>
          <t>VARA</t>
        </is>
      </c>
      <c r="G8778" t="n">
        <v>1.3</v>
      </c>
      <c r="H8778" t="n">
        <v>0</v>
      </c>
      <c r="I8778" t="n">
        <v>0</v>
      </c>
      <c r="J8778" t="n">
        <v>0</v>
      </c>
      <c r="K8778" t="n">
        <v>0</v>
      </c>
      <c r="L8778" t="n">
        <v>0</v>
      </c>
      <c r="M8778" t="n">
        <v>0</v>
      </c>
      <c r="N8778" t="n">
        <v>0</v>
      </c>
      <c r="O8778" t="n">
        <v>0</v>
      </c>
      <c r="P8778" t="n">
        <v>0</v>
      </c>
      <c r="Q8778" t="n">
        <v>0</v>
      </c>
      <c r="R8778" s="2" t="inlineStr"/>
    </row>
    <row r="8779" ht="15" customHeight="1">
      <c r="A8779" t="inlineStr">
        <is>
          <t>A 38945-2022</t>
        </is>
      </c>
      <c r="B8779" s="1" t="n">
        <v>44816</v>
      </c>
      <c r="C8779" s="1" t="n">
        <v>45212</v>
      </c>
      <c r="D8779" t="inlineStr">
        <is>
          <t>VÄSTRA GÖTALANDS LÄN</t>
        </is>
      </c>
      <c r="E8779" t="inlineStr">
        <is>
          <t>GÖTENE</t>
        </is>
      </c>
      <c r="G8779" t="n">
        <v>2.6</v>
      </c>
      <c r="H8779" t="n">
        <v>0</v>
      </c>
      <c r="I8779" t="n">
        <v>0</v>
      </c>
      <c r="J8779" t="n">
        <v>0</v>
      </c>
      <c r="K8779" t="n">
        <v>0</v>
      </c>
      <c r="L8779" t="n">
        <v>0</v>
      </c>
      <c r="M8779" t="n">
        <v>0</v>
      </c>
      <c r="N8779" t="n">
        <v>0</v>
      </c>
      <c r="O8779" t="n">
        <v>0</v>
      </c>
      <c r="P8779" t="n">
        <v>0</v>
      </c>
      <c r="Q8779" t="n">
        <v>0</v>
      </c>
      <c r="R8779" s="2" t="inlineStr"/>
    </row>
    <row r="8780" ht="15" customHeight="1">
      <c r="A8780" t="inlineStr">
        <is>
          <t>A 39171-2022</t>
        </is>
      </c>
      <c r="B8780" s="1" t="n">
        <v>44817</v>
      </c>
      <c r="C8780" s="1" t="n">
        <v>45212</v>
      </c>
      <c r="D8780" t="inlineStr">
        <is>
          <t>VÄSTRA GÖTALANDS LÄN</t>
        </is>
      </c>
      <c r="E8780" t="inlineStr">
        <is>
          <t>MELLERUD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39184-2022</t>
        </is>
      </c>
      <c r="B8781" s="1" t="n">
        <v>44817</v>
      </c>
      <c r="C8781" s="1" t="n">
        <v>45212</v>
      </c>
      <c r="D8781" t="inlineStr">
        <is>
          <t>VÄSTRA GÖTALANDS LÄN</t>
        </is>
      </c>
      <c r="E8781" t="inlineStr">
        <is>
          <t>TANUM</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39329-2022</t>
        </is>
      </c>
      <c r="B8782" s="1" t="n">
        <v>44817</v>
      </c>
      <c r="C8782" s="1" t="n">
        <v>45212</v>
      </c>
      <c r="D8782" t="inlineStr">
        <is>
          <t>VÄSTRA GÖTALANDS LÄN</t>
        </is>
      </c>
      <c r="E8782" t="inlineStr">
        <is>
          <t>BORÅS</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39299-2022</t>
        </is>
      </c>
      <c r="B8783" s="1" t="n">
        <v>44817</v>
      </c>
      <c r="C8783" s="1" t="n">
        <v>45212</v>
      </c>
      <c r="D8783" t="inlineStr">
        <is>
          <t>VÄSTRA GÖTALANDS LÄN</t>
        </is>
      </c>
      <c r="E8783" t="inlineStr">
        <is>
          <t>ALINGSÅS</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39343-2022</t>
        </is>
      </c>
      <c r="B8784" s="1" t="n">
        <v>44817</v>
      </c>
      <c r="C8784" s="1" t="n">
        <v>45212</v>
      </c>
      <c r="D8784" t="inlineStr">
        <is>
          <t>VÄSTRA GÖTALANDS LÄN</t>
        </is>
      </c>
      <c r="E8784" t="inlineStr">
        <is>
          <t>ULRICEHAMN</t>
        </is>
      </c>
      <c r="G8784" t="n">
        <v>4.9</v>
      </c>
      <c r="H8784" t="n">
        <v>0</v>
      </c>
      <c r="I8784" t="n">
        <v>0</v>
      </c>
      <c r="J8784" t="n">
        <v>0</v>
      </c>
      <c r="K8784" t="n">
        <v>0</v>
      </c>
      <c r="L8784" t="n">
        <v>0</v>
      </c>
      <c r="M8784" t="n">
        <v>0</v>
      </c>
      <c r="N8784" t="n">
        <v>0</v>
      </c>
      <c r="O8784" t="n">
        <v>0</v>
      </c>
      <c r="P8784" t="n">
        <v>0</v>
      </c>
      <c r="Q8784" t="n">
        <v>0</v>
      </c>
      <c r="R8784" s="2" t="inlineStr"/>
    </row>
    <row r="8785" ht="15" customHeight="1">
      <c r="A8785" t="inlineStr">
        <is>
          <t>A 39159-2022</t>
        </is>
      </c>
      <c r="B8785" s="1" t="n">
        <v>44817</v>
      </c>
      <c r="C8785" s="1" t="n">
        <v>45212</v>
      </c>
      <c r="D8785" t="inlineStr">
        <is>
          <t>VÄSTRA GÖTALANDS LÄN</t>
        </is>
      </c>
      <c r="E8785" t="inlineStr">
        <is>
          <t>MELLERUD</t>
        </is>
      </c>
      <c r="G8785" t="n">
        <v>0.8</v>
      </c>
      <c r="H8785" t="n">
        <v>0</v>
      </c>
      <c r="I8785" t="n">
        <v>0</v>
      </c>
      <c r="J8785" t="n">
        <v>0</v>
      </c>
      <c r="K8785" t="n">
        <v>0</v>
      </c>
      <c r="L8785" t="n">
        <v>0</v>
      </c>
      <c r="M8785" t="n">
        <v>0</v>
      </c>
      <c r="N8785" t="n">
        <v>0</v>
      </c>
      <c r="O8785" t="n">
        <v>0</v>
      </c>
      <c r="P8785" t="n">
        <v>0</v>
      </c>
      <c r="Q8785" t="n">
        <v>0</v>
      </c>
      <c r="R8785" s="2" t="inlineStr"/>
    </row>
    <row r="8786" ht="15" customHeight="1">
      <c r="A8786" t="inlineStr">
        <is>
          <t>A 39181-2022</t>
        </is>
      </c>
      <c r="B8786" s="1" t="n">
        <v>44817</v>
      </c>
      <c r="C8786" s="1" t="n">
        <v>45212</v>
      </c>
      <c r="D8786" t="inlineStr">
        <is>
          <t>VÄSTRA GÖTALANDS LÄN</t>
        </is>
      </c>
      <c r="E8786" t="inlineStr">
        <is>
          <t>TANUM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39182-2022</t>
        </is>
      </c>
      <c r="B8787" s="1" t="n">
        <v>44817</v>
      </c>
      <c r="C8787" s="1" t="n">
        <v>45212</v>
      </c>
      <c r="D8787" t="inlineStr">
        <is>
          <t>VÄSTRA GÖTALANDS LÄN</t>
        </is>
      </c>
      <c r="E8787" t="inlineStr">
        <is>
          <t>KUNGÄLV</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39328-2022</t>
        </is>
      </c>
      <c r="B8788" s="1" t="n">
        <v>44817</v>
      </c>
      <c r="C8788" s="1" t="n">
        <v>45212</v>
      </c>
      <c r="D8788" t="inlineStr">
        <is>
          <t>VÄSTRA GÖTALANDS LÄN</t>
        </is>
      </c>
      <c r="E8788" t="inlineStr">
        <is>
          <t>BORÅS</t>
        </is>
      </c>
      <c r="G8788" t="n">
        <v>1</v>
      </c>
      <c r="H8788" t="n">
        <v>0</v>
      </c>
      <c r="I8788" t="n">
        <v>0</v>
      </c>
      <c r="J8788" t="n">
        <v>0</v>
      </c>
      <c r="K8788" t="n">
        <v>0</v>
      </c>
      <c r="L8788" t="n">
        <v>0</v>
      </c>
      <c r="M8788" t="n">
        <v>0</v>
      </c>
      <c r="N8788" t="n">
        <v>0</v>
      </c>
      <c r="O8788" t="n">
        <v>0</v>
      </c>
      <c r="P8788" t="n">
        <v>0</v>
      </c>
      <c r="Q8788" t="n">
        <v>0</v>
      </c>
      <c r="R8788" s="2" t="inlineStr"/>
    </row>
    <row r="8789" ht="15" customHeight="1">
      <c r="A8789" t="inlineStr">
        <is>
          <t>A 39484-2022</t>
        </is>
      </c>
      <c r="B8789" s="1" t="n">
        <v>44817</v>
      </c>
      <c r="C8789" s="1" t="n">
        <v>45212</v>
      </c>
      <c r="D8789" t="inlineStr">
        <is>
          <t>VÄSTRA GÖTALANDS LÄN</t>
        </is>
      </c>
      <c r="E8789" t="inlineStr">
        <is>
          <t>MUNKEDAL</t>
        </is>
      </c>
      <c r="F8789" t="inlineStr">
        <is>
          <t>Övriga Aktiebolag</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39542-2022</t>
        </is>
      </c>
      <c r="B8790" s="1" t="n">
        <v>44818</v>
      </c>
      <c r="C8790" s="1" t="n">
        <v>45212</v>
      </c>
      <c r="D8790" t="inlineStr">
        <is>
          <t>VÄSTRA GÖTALANDS LÄN</t>
        </is>
      </c>
      <c r="E8790" t="inlineStr">
        <is>
          <t>TÖREBODA</t>
        </is>
      </c>
      <c r="F8790" t="inlineStr">
        <is>
          <t>Kommuner</t>
        </is>
      </c>
      <c r="G8790" t="n">
        <v>2.6</v>
      </c>
      <c r="H8790" t="n">
        <v>0</v>
      </c>
      <c r="I8790" t="n">
        <v>0</v>
      </c>
      <c r="J8790" t="n">
        <v>0</v>
      </c>
      <c r="K8790" t="n">
        <v>0</v>
      </c>
      <c r="L8790" t="n">
        <v>0</v>
      </c>
      <c r="M8790" t="n">
        <v>0</v>
      </c>
      <c r="N8790" t="n">
        <v>0</v>
      </c>
      <c r="O8790" t="n">
        <v>0</v>
      </c>
      <c r="P8790" t="n">
        <v>0</v>
      </c>
      <c r="Q8790" t="n">
        <v>0</v>
      </c>
      <c r="R8790" s="2" t="inlineStr"/>
    </row>
    <row r="8791" ht="15" customHeight="1">
      <c r="A8791" t="inlineStr">
        <is>
          <t>A 39634-2022</t>
        </is>
      </c>
      <c r="B8791" s="1" t="n">
        <v>44818</v>
      </c>
      <c r="C8791" s="1" t="n">
        <v>45212</v>
      </c>
      <c r="D8791" t="inlineStr">
        <is>
          <t>VÄSTRA GÖTALANDS LÄN</t>
        </is>
      </c>
      <c r="E8791" t="inlineStr">
        <is>
          <t>TÖREBODA</t>
        </is>
      </c>
      <c r="F8791" t="inlineStr">
        <is>
          <t>Kommuner</t>
        </is>
      </c>
      <c r="G8791" t="n">
        <v>3.9</v>
      </c>
      <c r="H8791" t="n">
        <v>0</v>
      </c>
      <c r="I8791" t="n">
        <v>0</v>
      </c>
      <c r="J8791" t="n">
        <v>0</v>
      </c>
      <c r="K8791" t="n">
        <v>0</v>
      </c>
      <c r="L8791" t="n">
        <v>0</v>
      </c>
      <c r="M8791" t="n">
        <v>0</v>
      </c>
      <c r="N8791" t="n">
        <v>0</v>
      </c>
      <c r="O8791" t="n">
        <v>0</v>
      </c>
      <c r="P8791" t="n">
        <v>0</v>
      </c>
      <c r="Q8791" t="n">
        <v>0</v>
      </c>
      <c r="R8791" s="2" t="inlineStr"/>
    </row>
    <row r="8792" ht="15" customHeight="1">
      <c r="A8792" t="inlineStr">
        <is>
          <t>A 40164-2022</t>
        </is>
      </c>
      <c r="B8792" s="1" t="n">
        <v>44818</v>
      </c>
      <c r="C8792" s="1" t="n">
        <v>45212</v>
      </c>
      <c r="D8792" t="inlineStr">
        <is>
          <t>VÄSTRA GÖTALANDS LÄN</t>
        </is>
      </c>
      <c r="E8792" t="inlineStr">
        <is>
          <t>SKARA</t>
        </is>
      </c>
      <c r="G8792" t="n">
        <v>1.3</v>
      </c>
      <c r="H8792" t="n">
        <v>0</v>
      </c>
      <c r="I8792" t="n">
        <v>0</v>
      </c>
      <c r="J8792" t="n">
        <v>0</v>
      </c>
      <c r="K8792" t="n">
        <v>0</v>
      </c>
      <c r="L8792" t="n">
        <v>0</v>
      </c>
      <c r="M8792" t="n">
        <v>0</v>
      </c>
      <c r="N8792" t="n">
        <v>0</v>
      </c>
      <c r="O8792" t="n">
        <v>0</v>
      </c>
      <c r="P8792" t="n">
        <v>0</v>
      </c>
      <c r="Q8792" t="n">
        <v>0</v>
      </c>
      <c r="R8792" s="2" t="inlineStr"/>
    </row>
    <row r="8793" ht="15" customHeight="1">
      <c r="A8793" t="inlineStr">
        <is>
          <t>A 39499-2022</t>
        </is>
      </c>
      <c r="B8793" s="1" t="n">
        <v>44818</v>
      </c>
      <c r="C8793" s="1" t="n">
        <v>45212</v>
      </c>
      <c r="D8793" t="inlineStr">
        <is>
          <t>VÄSTRA GÖTALANDS LÄN</t>
        </is>
      </c>
      <c r="E8793" t="inlineStr">
        <is>
          <t>VÅRGÅRDA</t>
        </is>
      </c>
      <c r="G8793" t="n">
        <v>8.300000000000001</v>
      </c>
      <c r="H8793" t="n">
        <v>0</v>
      </c>
      <c r="I8793" t="n">
        <v>0</v>
      </c>
      <c r="J8793" t="n">
        <v>0</v>
      </c>
      <c r="K8793" t="n">
        <v>0</v>
      </c>
      <c r="L8793" t="n">
        <v>0</v>
      </c>
      <c r="M8793" t="n">
        <v>0</v>
      </c>
      <c r="N8793" t="n">
        <v>0</v>
      </c>
      <c r="O8793" t="n">
        <v>0</v>
      </c>
      <c r="P8793" t="n">
        <v>0</v>
      </c>
      <c r="Q8793" t="n">
        <v>0</v>
      </c>
      <c r="R8793" s="2" t="inlineStr"/>
    </row>
    <row r="8794" ht="15" customHeight="1">
      <c r="A8794" t="inlineStr">
        <is>
          <t>A 40185-2022</t>
        </is>
      </c>
      <c r="B8794" s="1" t="n">
        <v>44818</v>
      </c>
      <c r="C8794" s="1" t="n">
        <v>45212</v>
      </c>
      <c r="D8794" t="inlineStr">
        <is>
          <t>VÄSTRA GÖTALANDS LÄN</t>
        </is>
      </c>
      <c r="E8794" t="inlineStr">
        <is>
          <t>MUNKEDAL</t>
        </is>
      </c>
      <c r="F8794" t="inlineStr">
        <is>
          <t>Övriga Aktiebolag</t>
        </is>
      </c>
      <c r="G8794" t="n">
        <v>3.4</v>
      </c>
      <c r="H8794" t="n">
        <v>0</v>
      </c>
      <c r="I8794" t="n">
        <v>0</v>
      </c>
      <c r="J8794" t="n">
        <v>0</v>
      </c>
      <c r="K8794" t="n">
        <v>0</v>
      </c>
      <c r="L8794" t="n">
        <v>0</v>
      </c>
      <c r="M8794" t="n">
        <v>0</v>
      </c>
      <c r="N8794" t="n">
        <v>0</v>
      </c>
      <c r="O8794" t="n">
        <v>0</v>
      </c>
      <c r="P8794" t="n">
        <v>0</v>
      </c>
      <c r="Q8794" t="n">
        <v>0</v>
      </c>
      <c r="R8794" s="2" t="inlineStr"/>
    </row>
    <row r="8795" ht="15" customHeight="1">
      <c r="A8795" t="inlineStr">
        <is>
          <t>A 40493-2022</t>
        </is>
      </c>
      <c r="B8795" s="1" t="n">
        <v>44819</v>
      </c>
      <c r="C8795" s="1" t="n">
        <v>45212</v>
      </c>
      <c r="D8795" t="inlineStr">
        <is>
          <t>VÄSTRA GÖTALANDS LÄN</t>
        </is>
      </c>
      <c r="E8795" t="inlineStr">
        <is>
          <t>ÅMÅL</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39720-2022</t>
        </is>
      </c>
      <c r="B8796" s="1" t="n">
        <v>44819</v>
      </c>
      <c r="C8796" s="1" t="n">
        <v>45212</v>
      </c>
      <c r="D8796" t="inlineStr">
        <is>
          <t>VÄSTRA GÖTALANDS LÄN</t>
        </is>
      </c>
      <c r="E8796" t="inlineStr">
        <is>
          <t>FALKÖPING</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39979-2022</t>
        </is>
      </c>
      <c r="B8797" s="1" t="n">
        <v>44820</v>
      </c>
      <c r="C8797" s="1" t="n">
        <v>45212</v>
      </c>
      <c r="D8797" t="inlineStr">
        <is>
          <t>VÄSTRA GÖTALANDS LÄN</t>
        </is>
      </c>
      <c r="E8797" t="inlineStr">
        <is>
          <t>ESSUNGA</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40205-2022</t>
        </is>
      </c>
      <c r="B8798" s="1" t="n">
        <v>44820</v>
      </c>
      <c r="C8798" s="1" t="n">
        <v>45212</v>
      </c>
      <c r="D8798" t="inlineStr">
        <is>
          <t>VÄSTRA GÖTALANDS LÄN</t>
        </is>
      </c>
      <c r="E8798" t="inlineStr">
        <is>
          <t>SKÖVDE</t>
        </is>
      </c>
      <c r="G8798" t="n">
        <v>5.3</v>
      </c>
      <c r="H8798" t="n">
        <v>0</v>
      </c>
      <c r="I8798" t="n">
        <v>0</v>
      </c>
      <c r="J8798" t="n">
        <v>0</v>
      </c>
      <c r="K8798" t="n">
        <v>0</v>
      </c>
      <c r="L8798" t="n">
        <v>0</v>
      </c>
      <c r="M8798" t="n">
        <v>0</v>
      </c>
      <c r="N8798" t="n">
        <v>0</v>
      </c>
      <c r="O8798" t="n">
        <v>0</v>
      </c>
      <c r="P8798" t="n">
        <v>0</v>
      </c>
      <c r="Q8798" t="n">
        <v>0</v>
      </c>
      <c r="R8798" s="2" t="inlineStr"/>
    </row>
    <row r="8799" ht="15" customHeight="1">
      <c r="A8799" t="inlineStr">
        <is>
          <t>A 40944-2022</t>
        </is>
      </c>
      <c r="B8799" s="1" t="n">
        <v>44820</v>
      </c>
      <c r="C8799" s="1" t="n">
        <v>45212</v>
      </c>
      <c r="D8799" t="inlineStr">
        <is>
          <t>VÄSTRA GÖTALANDS LÄN</t>
        </is>
      </c>
      <c r="E8799" t="inlineStr">
        <is>
          <t>FÄRGELANDA</t>
        </is>
      </c>
      <c r="G8799" t="n">
        <v>1.8</v>
      </c>
      <c r="H8799" t="n">
        <v>0</v>
      </c>
      <c r="I8799" t="n">
        <v>0</v>
      </c>
      <c r="J8799" t="n">
        <v>0</v>
      </c>
      <c r="K8799" t="n">
        <v>0</v>
      </c>
      <c r="L8799" t="n">
        <v>0</v>
      </c>
      <c r="M8799" t="n">
        <v>0</v>
      </c>
      <c r="N8799" t="n">
        <v>0</v>
      </c>
      <c r="O8799" t="n">
        <v>0</v>
      </c>
      <c r="P8799" t="n">
        <v>0</v>
      </c>
      <c r="Q8799" t="n">
        <v>0</v>
      </c>
      <c r="R8799" s="2" t="inlineStr"/>
    </row>
    <row r="8800" ht="15" customHeight="1">
      <c r="A8800" t="inlineStr">
        <is>
          <t>A 40293-2022</t>
        </is>
      </c>
      <c r="B8800" s="1" t="n">
        <v>44821</v>
      </c>
      <c r="C8800" s="1" t="n">
        <v>45212</v>
      </c>
      <c r="D8800" t="inlineStr">
        <is>
          <t>VÄSTRA GÖTALANDS LÄN</t>
        </is>
      </c>
      <c r="E8800" t="inlineStr">
        <is>
          <t>ALINGSÅS</t>
        </is>
      </c>
      <c r="G8800" t="n">
        <v>5.4</v>
      </c>
      <c r="H8800" t="n">
        <v>0</v>
      </c>
      <c r="I8800" t="n">
        <v>0</v>
      </c>
      <c r="J8800" t="n">
        <v>0</v>
      </c>
      <c r="K8800" t="n">
        <v>0</v>
      </c>
      <c r="L8800" t="n">
        <v>0</v>
      </c>
      <c r="M8800" t="n">
        <v>0</v>
      </c>
      <c r="N8800" t="n">
        <v>0</v>
      </c>
      <c r="O8800" t="n">
        <v>0</v>
      </c>
      <c r="P8800" t="n">
        <v>0</v>
      </c>
      <c r="Q8800" t="n">
        <v>0</v>
      </c>
      <c r="R8800" s="2" t="inlineStr"/>
    </row>
    <row r="8801" ht="15" customHeight="1">
      <c r="A8801" t="inlineStr">
        <is>
          <t>A 40295-2022</t>
        </is>
      </c>
      <c r="B8801" s="1" t="n">
        <v>44821</v>
      </c>
      <c r="C8801" s="1" t="n">
        <v>45212</v>
      </c>
      <c r="D8801" t="inlineStr">
        <is>
          <t>VÄSTRA GÖTALANDS LÄN</t>
        </is>
      </c>
      <c r="E8801" t="inlineStr">
        <is>
          <t>BENGTSFORS</t>
        </is>
      </c>
      <c r="G8801" t="n">
        <v>1.1</v>
      </c>
      <c r="H8801" t="n">
        <v>0</v>
      </c>
      <c r="I8801" t="n">
        <v>0</v>
      </c>
      <c r="J8801" t="n">
        <v>0</v>
      </c>
      <c r="K8801" t="n">
        <v>0</v>
      </c>
      <c r="L8801" t="n">
        <v>0</v>
      </c>
      <c r="M8801" t="n">
        <v>0</v>
      </c>
      <c r="N8801" t="n">
        <v>0</v>
      </c>
      <c r="O8801" t="n">
        <v>0</v>
      </c>
      <c r="P8801" t="n">
        <v>0</v>
      </c>
      <c r="Q8801" t="n">
        <v>0</v>
      </c>
      <c r="R8801" s="2" t="inlineStr"/>
    </row>
    <row r="8802" ht="15" customHeight="1">
      <c r="A8802" t="inlineStr">
        <is>
          <t>A 40465-2022</t>
        </is>
      </c>
      <c r="B8802" s="1" t="n">
        <v>44823</v>
      </c>
      <c r="C8802" s="1" t="n">
        <v>45212</v>
      </c>
      <c r="D8802" t="inlineStr">
        <is>
          <t>VÄSTRA GÖTALANDS LÄN</t>
        </is>
      </c>
      <c r="E8802" t="inlineStr">
        <is>
          <t>TANUM</t>
        </is>
      </c>
      <c r="G8802" t="n">
        <v>5.1</v>
      </c>
      <c r="H8802" t="n">
        <v>0</v>
      </c>
      <c r="I8802" t="n">
        <v>0</v>
      </c>
      <c r="J8802" t="n">
        <v>0</v>
      </c>
      <c r="K8802" t="n">
        <v>0</v>
      </c>
      <c r="L8802" t="n">
        <v>0</v>
      </c>
      <c r="M8802" t="n">
        <v>0</v>
      </c>
      <c r="N8802" t="n">
        <v>0</v>
      </c>
      <c r="O8802" t="n">
        <v>0</v>
      </c>
      <c r="P8802" t="n">
        <v>0</v>
      </c>
      <c r="Q8802" t="n">
        <v>0</v>
      </c>
      <c r="R8802" s="2" t="inlineStr"/>
    </row>
    <row r="8803" ht="15" customHeight="1">
      <c r="A8803" t="inlineStr">
        <is>
          <t>A 40488-2022</t>
        </is>
      </c>
      <c r="B8803" s="1" t="n">
        <v>44823</v>
      </c>
      <c r="C8803" s="1" t="n">
        <v>45212</v>
      </c>
      <c r="D8803" t="inlineStr">
        <is>
          <t>VÄSTRA GÖTALANDS LÄN</t>
        </is>
      </c>
      <c r="E8803" t="inlineStr">
        <is>
          <t>DALS-ED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40592-2022</t>
        </is>
      </c>
      <c r="B8804" s="1" t="n">
        <v>44823</v>
      </c>
      <c r="C8804" s="1" t="n">
        <v>45212</v>
      </c>
      <c r="D8804" t="inlineStr">
        <is>
          <t>VÄSTRA GÖTALANDS LÄN</t>
        </is>
      </c>
      <c r="E8804" t="inlineStr">
        <is>
          <t>SKÖVDE</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40940-2022</t>
        </is>
      </c>
      <c r="B8805" s="1" t="n">
        <v>44823</v>
      </c>
      <c r="C8805" s="1" t="n">
        <v>45212</v>
      </c>
      <c r="D8805" t="inlineStr">
        <is>
          <t>VÄSTRA GÖTALANDS LÄN</t>
        </is>
      </c>
      <c r="E8805" t="inlineStr">
        <is>
          <t>MUNKEDAL</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40372-2022</t>
        </is>
      </c>
      <c r="B8806" s="1" t="n">
        <v>44823</v>
      </c>
      <c r="C8806" s="1" t="n">
        <v>45212</v>
      </c>
      <c r="D8806" t="inlineStr">
        <is>
          <t>VÄSTRA GÖTALANDS LÄN</t>
        </is>
      </c>
      <c r="E8806" t="inlineStr">
        <is>
          <t>DALS-ED</t>
        </is>
      </c>
      <c r="G8806" t="n">
        <v>4.1</v>
      </c>
      <c r="H8806" t="n">
        <v>0</v>
      </c>
      <c r="I8806" t="n">
        <v>0</v>
      </c>
      <c r="J8806" t="n">
        <v>0</v>
      </c>
      <c r="K8806" t="n">
        <v>0</v>
      </c>
      <c r="L8806" t="n">
        <v>0</v>
      </c>
      <c r="M8806" t="n">
        <v>0</v>
      </c>
      <c r="N8806" t="n">
        <v>0</v>
      </c>
      <c r="O8806" t="n">
        <v>0</v>
      </c>
      <c r="P8806" t="n">
        <v>0</v>
      </c>
      <c r="Q8806" t="n">
        <v>0</v>
      </c>
      <c r="R8806" s="2" t="inlineStr"/>
    </row>
    <row r="8807" ht="15" customHeight="1">
      <c r="A8807" t="inlineStr">
        <is>
          <t>A 40467-2022</t>
        </is>
      </c>
      <c r="B8807" s="1" t="n">
        <v>44823</v>
      </c>
      <c r="C8807" s="1" t="n">
        <v>45212</v>
      </c>
      <c r="D8807" t="inlineStr">
        <is>
          <t>VÄSTRA GÖTALANDS LÄN</t>
        </is>
      </c>
      <c r="E8807" t="inlineStr">
        <is>
          <t>TANUM</t>
        </is>
      </c>
      <c r="G8807" t="n">
        <v>5</v>
      </c>
      <c r="H8807" t="n">
        <v>0</v>
      </c>
      <c r="I8807" t="n">
        <v>0</v>
      </c>
      <c r="J8807" t="n">
        <v>0</v>
      </c>
      <c r="K8807" t="n">
        <v>0</v>
      </c>
      <c r="L8807" t="n">
        <v>0</v>
      </c>
      <c r="M8807" t="n">
        <v>0</v>
      </c>
      <c r="N8807" t="n">
        <v>0</v>
      </c>
      <c r="O8807" t="n">
        <v>0</v>
      </c>
      <c r="P8807" t="n">
        <v>0</v>
      </c>
      <c r="Q8807" t="n">
        <v>0</v>
      </c>
      <c r="R8807" s="2" t="inlineStr"/>
    </row>
    <row r="8808" ht="15" customHeight="1">
      <c r="A8808" t="inlineStr">
        <is>
          <t>A 40932-2022</t>
        </is>
      </c>
      <c r="B8808" s="1" t="n">
        <v>44823</v>
      </c>
      <c r="C8808" s="1" t="n">
        <v>45212</v>
      </c>
      <c r="D8808" t="inlineStr">
        <is>
          <t>VÄSTRA GÖTALANDS LÄN</t>
        </is>
      </c>
      <c r="E8808" t="inlineStr">
        <is>
          <t>ULRICEHAMN</t>
        </is>
      </c>
      <c r="G8808" t="n">
        <v>3.9</v>
      </c>
      <c r="H8808" t="n">
        <v>0</v>
      </c>
      <c r="I8808" t="n">
        <v>0</v>
      </c>
      <c r="J8808" t="n">
        <v>0</v>
      </c>
      <c r="K8808" t="n">
        <v>0</v>
      </c>
      <c r="L8808" t="n">
        <v>0</v>
      </c>
      <c r="M8808" t="n">
        <v>0</v>
      </c>
      <c r="N8808" t="n">
        <v>0</v>
      </c>
      <c r="O8808" t="n">
        <v>0</v>
      </c>
      <c r="P8808" t="n">
        <v>0</v>
      </c>
      <c r="Q8808" t="n">
        <v>0</v>
      </c>
      <c r="R8808" s="2" t="inlineStr"/>
    </row>
    <row r="8809" ht="15" customHeight="1">
      <c r="A8809" t="inlineStr">
        <is>
          <t>A 40378-2022</t>
        </is>
      </c>
      <c r="B8809" s="1" t="n">
        <v>44823</v>
      </c>
      <c r="C8809" s="1" t="n">
        <v>45212</v>
      </c>
      <c r="D8809" t="inlineStr">
        <is>
          <t>VÄSTRA GÖTALANDS LÄN</t>
        </is>
      </c>
      <c r="E8809" t="inlineStr">
        <is>
          <t>DALS-ED</t>
        </is>
      </c>
      <c r="F8809" t="inlineStr">
        <is>
          <t>Kyrkan</t>
        </is>
      </c>
      <c r="G8809" t="n">
        <v>2.9</v>
      </c>
      <c r="H8809" t="n">
        <v>0</v>
      </c>
      <c r="I8809" t="n">
        <v>0</v>
      </c>
      <c r="J8809" t="n">
        <v>0</v>
      </c>
      <c r="K8809" t="n">
        <v>0</v>
      </c>
      <c r="L8809" t="n">
        <v>0</v>
      </c>
      <c r="M8809" t="n">
        <v>0</v>
      </c>
      <c r="N8809" t="n">
        <v>0</v>
      </c>
      <c r="O8809" t="n">
        <v>0</v>
      </c>
      <c r="P8809" t="n">
        <v>0</v>
      </c>
      <c r="Q8809" t="n">
        <v>0</v>
      </c>
      <c r="R8809" s="2" t="inlineStr"/>
    </row>
    <row r="8810" ht="15" customHeight="1">
      <c r="A8810" t="inlineStr">
        <is>
          <t>A 40430-2022</t>
        </is>
      </c>
      <c r="B8810" s="1" t="n">
        <v>44823</v>
      </c>
      <c r="C8810" s="1" t="n">
        <v>45212</v>
      </c>
      <c r="D8810" t="inlineStr">
        <is>
          <t>VÄSTRA GÖTALANDS LÄN</t>
        </is>
      </c>
      <c r="E8810" t="inlineStr">
        <is>
          <t>FALKÖPING</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40390-2022</t>
        </is>
      </c>
      <c r="B8811" s="1" t="n">
        <v>44823</v>
      </c>
      <c r="C8811" s="1" t="n">
        <v>45212</v>
      </c>
      <c r="D8811" t="inlineStr">
        <is>
          <t>VÄSTRA GÖTALANDS LÄN</t>
        </is>
      </c>
      <c r="E8811" t="inlineStr">
        <is>
          <t>DALS-ED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40571-2022</t>
        </is>
      </c>
      <c r="B8812" s="1" t="n">
        <v>44823</v>
      </c>
      <c r="C8812" s="1" t="n">
        <v>45212</v>
      </c>
      <c r="D8812" t="inlineStr">
        <is>
          <t>VÄSTRA GÖTALANDS LÄN</t>
        </is>
      </c>
      <c r="E8812" t="inlineStr">
        <is>
          <t>UDDEVALLA</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40589-2022</t>
        </is>
      </c>
      <c r="B8813" s="1" t="n">
        <v>44823</v>
      </c>
      <c r="C8813" s="1" t="n">
        <v>45212</v>
      </c>
      <c r="D8813" t="inlineStr">
        <is>
          <t>VÄSTRA GÖTALANDS LÄN</t>
        </is>
      </c>
      <c r="E8813" t="inlineStr">
        <is>
          <t>FALKÖPING</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40659-2022</t>
        </is>
      </c>
      <c r="B8814" s="1" t="n">
        <v>44824</v>
      </c>
      <c r="C8814" s="1" t="n">
        <v>45212</v>
      </c>
      <c r="D8814" t="inlineStr">
        <is>
          <t>VÄSTRA GÖTALANDS LÄN</t>
        </is>
      </c>
      <c r="E8814" t="inlineStr">
        <is>
          <t>VARA</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41024-2022</t>
        </is>
      </c>
      <c r="B8815" s="1" t="n">
        <v>44824</v>
      </c>
      <c r="C8815" s="1" t="n">
        <v>45212</v>
      </c>
      <c r="D8815" t="inlineStr">
        <is>
          <t>VÄSTRA GÖTALANDS LÄN</t>
        </is>
      </c>
      <c r="E8815" t="inlineStr">
        <is>
          <t>TANUM</t>
        </is>
      </c>
      <c r="F8815" t="inlineStr">
        <is>
          <t>Kyrkan</t>
        </is>
      </c>
      <c r="G8815" t="n">
        <v>5.9</v>
      </c>
      <c r="H8815" t="n">
        <v>0</v>
      </c>
      <c r="I8815" t="n">
        <v>0</v>
      </c>
      <c r="J8815" t="n">
        <v>0</v>
      </c>
      <c r="K8815" t="n">
        <v>0</v>
      </c>
      <c r="L8815" t="n">
        <v>0</v>
      </c>
      <c r="M8815" t="n">
        <v>0</v>
      </c>
      <c r="N8815" t="n">
        <v>0</v>
      </c>
      <c r="O8815" t="n">
        <v>0</v>
      </c>
      <c r="P8815" t="n">
        <v>0</v>
      </c>
      <c r="Q8815" t="n">
        <v>0</v>
      </c>
      <c r="R8815" s="2" t="inlineStr"/>
    </row>
    <row r="8816" ht="15" customHeight="1">
      <c r="A8816" t="inlineStr">
        <is>
          <t>A 40797-2022</t>
        </is>
      </c>
      <c r="B8816" s="1" t="n">
        <v>44824</v>
      </c>
      <c r="C8816" s="1" t="n">
        <v>45212</v>
      </c>
      <c r="D8816" t="inlineStr">
        <is>
          <t>VÄSTRA GÖTALANDS LÄN</t>
        </is>
      </c>
      <c r="E8816" t="inlineStr">
        <is>
          <t>TRANEMO</t>
        </is>
      </c>
      <c r="G8816" t="n">
        <v>10</v>
      </c>
      <c r="H8816" t="n">
        <v>0</v>
      </c>
      <c r="I8816" t="n">
        <v>0</v>
      </c>
      <c r="J8816" t="n">
        <v>0</v>
      </c>
      <c r="K8816" t="n">
        <v>0</v>
      </c>
      <c r="L8816" t="n">
        <v>0</v>
      </c>
      <c r="M8816" t="n">
        <v>0</v>
      </c>
      <c r="N8816" t="n">
        <v>0</v>
      </c>
      <c r="O8816" t="n">
        <v>0</v>
      </c>
      <c r="P8816" t="n">
        <v>0</v>
      </c>
      <c r="Q8816" t="n">
        <v>0</v>
      </c>
      <c r="R8816" s="2" t="inlineStr"/>
    </row>
    <row r="8817" ht="15" customHeight="1">
      <c r="A8817" t="inlineStr">
        <is>
          <t>A 41296-2022</t>
        </is>
      </c>
      <c r="B8817" s="1" t="n">
        <v>44824</v>
      </c>
      <c r="C8817" s="1" t="n">
        <v>45212</v>
      </c>
      <c r="D8817" t="inlineStr">
        <is>
          <t>VÄSTRA GÖTALANDS LÄN</t>
        </is>
      </c>
      <c r="E8817" t="inlineStr">
        <is>
          <t>TANUM</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41331-2022</t>
        </is>
      </c>
      <c r="B8818" s="1" t="n">
        <v>44824</v>
      </c>
      <c r="C8818" s="1" t="n">
        <v>45212</v>
      </c>
      <c r="D8818" t="inlineStr">
        <is>
          <t>VÄSTRA GÖTALANDS LÄN</t>
        </is>
      </c>
      <c r="E8818" t="inlineStr">
        <is>
          <t>SVENLJUNGA</t>
        </is>
      </c>
      <c r="G8818" t="n">
        <v>0.9</v>
      </c>
      <c r="H8818" t="n">
        <v>0</v>
      </c>
      <c r="I8818" t="n">
        <v>0</v>
      </c>
      <c r="J8818" t="n">
        <v>0</v>
      </c>
      <c r="K8818" t="n">
        <v>0</v>
      </c>
      <c r="L8818" t="n">
        <v>0</v>
      </c>
      <c r="M8818" t="n">
        <v>0</v>
      </c>
      <c r="N8818" t="n">
        <v>0</v>
      </c>
      <c r="O8818" t="n">
        <v>0</v>
      </c>
      <c r="P8818" t="n">
        <v>0</v>
      </c>
      <c r="Q8818" t="n">
        <v>0</v>
      </c>
      <c r="R8818" s="2" t="inlineStr"/>
    </row>
    <row r="8819" ht="15" customHeight="1">
      <c r="A8819" t="inlineStr">
        <is>
          <t>A 40896-2022</t>
        </is>
      </c>
      <c r="B8819" s="1" t="n">
        <v>44825</v>
      </c>
      <c r="C8819" s="1" t="n">
        <v>45212</v>
      </c>
      <c r="D8819" t="inlineStr">
        <is>
          <t>VÄSTRA GÖTALANDS LÄN</t>
        </is>
      </c>
      <c r="E8819" t="inlineStr">
        <is>
          <t>TROLLHÄTTAN</t>
        </is>
      </c>
      <c r="G8819" t="n">
        <v>11.3</v>
      </c>
      <c r="H8819" t="n">
        <v>0</v>
      </c>
      <c r="I8819" t="n">
        <v>0</v>
      </c>
      <c r="J8819" t="n">
        <v>0</v>
      </c>
      <c r="K8819" t="n">
        <v>0</v>
      </c>
      <c r="L8819" t="n">
        <v>0</v>
      </c>
      <c r="M8819" t="n">
        <v>0</v>
      </c>
      <c r="N8819" t="n">
        <v>0</v>
      </c>
      <c r="O8819" t="n">
        <v>0</v>
      </c>
      <c r="P8819" t="n">
        <v>0</v>
      </c>
      <c r="Q8819" t="n">
        <v>0</v>
      </c>
      <c r="R8819" s="2" t="inlineStr"/>
    </row>
    <row r="8820" ht="15" customHeight="1">
      <c r="A8820" t="inlineStr">
        <is>
          <t>A 41086-2022</t>
        </is>
      </c>
      <c r="B8820" s="1" t="n">
        <v>44825</v>
      </c>
      <c r="C8820" s="1" t="n">
        <v>45212</v>
      </c>
      <c r="D8820" t="inlineStr">
        <is>
          <t>VÄSTRA GÖTALANDS LÄN</t>
        </is>
      </c>
      <c r="E8820" t="inlineStr">
        <is>
          <t>BOLLEBYGD</t>
        </is>
      </c>
      <c r="G8820" t="n">
        <v>2.2</v>
      </c>
      <c r="H8820" t="n">
        <v>0</v>
      </c>
      <c r="I8820" t="n">
        <v>0</v>
      </c>
      <c r="J8820" t="n">
        <v>0</v>
      </c>
      <c r="K8820" t="n">
        <v>0</v>
      </c>
      <c r="L8820" t="n">
        <v>0</v>
      </c>
      <c r="M8820" t="n">
        <v>0</v>
      </c>
      <c r="N8820" t="n">
        <v>0</v>
      </c>
      <c r="O8820" t="n">
        <v>0</v>
      </c>
      <c r="P8820" t="n">
        <v>0</v>
      </c>
      <c r="Q8820" t="n">
        <v>0</v>
      </c>
      <c r="R8820" s="2" t="inlineStr"/>
    </row>
    <row r="8821" ht="15" customHeight="1">
      <c r="A8821" t="inlineStr">
        <is>
          <t>A 41283-2022</t>
        </is>
      </c>
      <c r="B8821" s="1" t="n">
        <v>44825</v>
      </c>
      <c r="C8821" s="1" t="n">
        <v>45212</v>
      </c>
      <c r="D8821" t="inlineStr">
        <is>
          <t>VÄSTRA GÖTALANDS LÄN</t>
        </is>
      </c>
      <c r="E8821" t="inlineStr">
        <is>
          <t>TANUM</t>
        </is>
      </c>
      <c r="F8821" t="inlineStr">
        <is>
          <t>Kyrkan</t>
        </is>
      </c>
      <c r="G8821" t="n">
        <v>6.7</v>
      </c>
      <c r="H8821" t="n">
        <v>0</v>
      </c>
      <c r="I8821" t="n">
        <v>0</v>
      </c>
      <c r="J8821" t="n">
        <v>0</v>
      </c>
      <c r="K8821" t="n">
        <v>0</v>
      </c>
      <c r="L8821" t="n">
        <v>0</v>
      </c>
      <c r="M8821" t="n">
        <v>0</v>
      </c>
      <c r="N8821" t="n">
        <v>0</v>
      </c>
      <c r="O8821" t="n">
        <v>0</v>
      </c>
      <c r="P8821" t="n">
        <v>0</v>
      </c>
      <c r="Q8821" t="n">
        <v>0</v>
      </c>
      <c r="R8821" s="2" t="inlineStr"/>
    </row>
    <row r="8822" ht="15" customHeight="1">
      <c r="A8822" t="inlineStr">
        <is>
          <t>A 41292-2022</t>
        </is>
      </c>
      <c r="B8822" s="1" t="n">
        <v>44825</v>
      </c>
      <c r="C8822" s="1" t="n">
        <v>45212</v>
      </c>
      <c r="D8822" t="inlineStr">
        <is>
          <t>VÄSTRA GÖTALANDS LÄN</t>
        </is>
      </c>
      <c r="E8822" t="inlineStr">
        <is>
          <t>UDDEVALLA</t>
        </is>
      </c>
      <c r="F8822" t="inlineStr">
        <is>
          <t>Kyrkan</t>
        </is>
      </c>
      <c r="G8822" t="n">
        <v>9.699999999999999</v>
      </c>
      <c r="H8822" t="n">
        <v>0</v>
      </c>
      <c r="I8822" t="n">
        <v>0</v>
      </c>
      <c r="J8822" t="n">
        <v>0</v>
      </c>
      <c r="K8822" t="n">
        <v>0</v>
      </c>
      <c r="L8822" t="n">
        <v>0</v>
      </c>
      <c r="M8822" t="n">
        <v>0</v>
      </c>
      <c r="N8822" t="n">
        <v>0</v>
      </c>
      <c r="O8822" t="n">
        <v>0</v>
      </c>
      <c r="P8822" t="n">
        <v>0</v>
      </c>
      <c r="Q8822" t="n">
        <v>0</v>
      </c>
      <c r="R8822" s="2" t="inlineStr"/>
    </row>
    <row r="8823" ht="15" customHeight="1">
      <c r="A8823" t="inlineStr">
        <is>
          <t>A 41211-2022</t>
        </is>
      </c>
      <c r="B8823" s="1" t="n">
        <v>44825</v>
      </c>
      <c r="C8823" s="1" t="n">
        <v>45212</v>
      </c>
      <c r="D8823" t="inlineStr">
        <is>
          <t>VÄSTRA GÖTALANDS LÄN</t>
        </is>
      </c>
      <c r="E8823" t="inlineStr">
        <is>
          <t>TIDAHOLM</t>
        </is>
      </c>
      <c r="G8823" t="n">
        <v>3.5</v>
      </c>
      <c r="H8823" t="n">
        <v>0</v>
      </c>
      <c r="I8823" t="n">
        <v>0</v>
      </c>
      <c r="J8823" t="n">
        <v>0</v>
      </c>
      <c r="K8823" t="n">
        <v>0</v>
      </c>
      <c r="L8823" t="n">
        <v>0</v>
      </c>
      <c r="M8823" t="n">
        <v>0</v>
      </c>
      <c r="N8823" t="n">
        <v>0</v>
      </c>
      <c r="O8823" t="n">
        <v>0</v>
      </c>
      <c r="P8823" t="n">
        <v>0</v>
      </c>
      <c r="Q8823" t="n">
        <v>0</v>
      </c>
      <c r="R8823" s="2" t="inlineStr"/>
    </row>
    <row r="8824" ht="15" customHeight="1">
      <c r="A8824" t="inlineStr">
        <is>
          <t>A 40880-2022</t>
        </is>
      </c>
      <c r="B8824" s="1" t="n">
        <v>44825</v>
      </c>
      <c r="C8824" s="1" t="n">
        <v>45212</v>
      </c>
      <c r="D8824" t="inlineStr">
        <is>
          <t>VÄSTRA GÖTALANDS LÄN</t>
        </is>
      </c>
      <c r="E8824" t="inlineStr">
        <is>
          <t>MARIESTAD</t>
        </is>
      </c>
      <c r="F8824" t="inlineStr">
        <is>
          <t>Sveaskog</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41372-2022</t>
        </is>
      </c>
      <c r="B8825" s="1" t="n">
        <v>44826</v>
      </c>
      <c r="C8825" s="1" t="n">
        <v>45212</v>
      </c>
      <c r="D8825" t="inlineStr">
        <is>
          <t>VÄSTRA GÖTALANDS LÄN</t>
        </is>
      </c>
      <c r="E8825" t="inlineStr">
        <is>
          <t>ALINGSÅS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41255-2022</t>
        </is>
      </c>
      <c r="B8826" s="1" t="n">
        <v>44826</v>
      </c>
      <c r="C8826" s="1" t="n">
        <v>45212</v>
      </c>
      <c r="D8826" t="inlineStr">
        <is>
          <t>VÄSTRA GÖTALANDS LÄN</t>
        </is>
      </c>
      <c r="E8826" t="inlineStr">
        <is>
          <t>DALS-ED</t>
        </is>
      </c>
      <c r="G8826" t="n">
        <v>10.8</v>
      </c>
      <c r="H8826" t="n">
        <v>0</v>
      </c>
      <c r="I8826" t="n">
        <v>0</v>
      </c>
      <c r="J8826" t="n">
        <v>0</v>
      </c>
      <c r="K8826" t="n">
        <v>0</v>
      </c>
      <c r="L8826" t="n">
        <v>0</v>
      </c>
      <c r="M8826" t="n">
        <v>0</v>
      </c>
      <c r="N8826" t="n">
        <v>0</v>
      </c>
      <c r="O8826" t="n">
        <v>0</v>
      </c>
      <c r="P8826" t="n">
        <v>0</v>
      </c>
      <c r="Q8826" t="n">
        <v>0</v>
      </c>
      <c r="R8826" s="2" t="inlineStr"/>
    </row>
    <row r="8827" ht="15" customHeight="1">
      <c r="A8827" t="inlineStr">
        <is>
          <t>A 41370-2022</t>
        </is>
      </c>
      <c r="B8827" s="1" t="n">
        <v>44826</v>
      </c>
      <c r="C8827" s="1" t="n">
        <v>45212</v>
      </c>
      <c r="D8827" t="inlineStr">
        <is>
          <t>VÄSTRA GÖTALANDS LÄN</t>
        </is>
      </c>
      <c r="E8827" t="inlineStr">
        <is>
          <t>ALINGSÅS</t>
        </is>
      </c>
      <c r="G8827" t="n">
        <v>0.5</v>
      </c>
      <c r="H8827" t="n">
        <v>0</v>
      </c>
      <c r="I8827" t="n">
        <v>0</v>
      </c>
      <c r="J8827" t="n">
        <v>0</v>
      </c>
      <c r="K8827" t="n">
        <v>0</v>
      </c>
      <c r="L8827" t="n">
        <v>0</v>
      </c>
      <c r="M8827" t="n">
        <v>0</v>
      </c>
      <c r="N8827" t="n">
        <v>0</v>
      </c>
      <c r="O8827" t="n">
        <v>0</v>
      </c>
      <c r="P8827" t="n">
        <v>0</v>
      </c>
      <c r="Q8827" t="n">
        <v>0</v>
      </c>
      <c r="R8827" s="2" t="inlineStr"/>
    </row>
    <row r="8828" ht="15" customHeight="1">
      <c r="A8828" t="inlineStr">
        <is>
          <t>A 41314-2022</t>
        </is>
      </c>
      <c r="B8828" s="1" t="n">
        <v>44826</v>
      </c>
      <c r="C8828" s="1" t="n">
        <v>45212</v>
      </c>
      <c r="D8828" t="inlineStr">
        <is>
          <t>VÄSTRA GÖTALANDS LÄN</t>
        </is>
      </c>
      <c r="E8828" t="inlineStr">
        <is>
          <t>BENGTSFORS</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41440-2022</t>
        </is>
      </c>
      <c r="B8829" s="1" t="n">
        <v>44826</v>
      </c>
      <c r="C8829" s="1" t="n">
        <v>45212</v>
      </c>
      <c r="D8829" t="inlineStr">
        <is>
          <t>VÄSTRA GÖTALANDS LÄN</t>
        </is>
      </c>
      <c r="E8829" t="inlineStr">
        <is>
          <t>VÅRGÅRDA</t>
        </is>
      </c>
      <c r="G8829" t="n">
        <v>5.6</v>
      </c>
      <c r="H8829" t="n">
        <v>0</v>
      </c>
      <c r="I8829" t="n">
        <v>0</v>
      </c>
      <c r="J8829" t="n">
        <v>0</v>
      </c>
      <c r="K8829" t="n">
        <v>0</v>
      </c>
      <c r="L8829" t="n">
        <v>0</v>
      </c>
      <c r="M8829" t="n">
        <v>0</v>
      </c>
      <c r="N8829" t="n">
        <v>0</v>
      </c>
      <c r="O8829" t="n">
        <v>0</v>
      </c>
      <c r="P8829" t="n">
        <v>0</v>
      </c>
      <c r="Q8829" t="n">
        <v>0</v>
      </c>
      <c r="R8829" s="2" t="inlineStr"/>
    </row>
    <row r="8830" ht="15" customHeight="1">
      <c r="A8830" t="inlineStr">
        <is>
          <t>A 41318-2022</t>
        </is>
      </c>
      <c r="B8830" s="1" t="n">
        <v>44826</v>
      </c>
      <c r="C8830" s="1" t="n">
        <v>45212</v>
      </c>
      <c r="D8830" t="inlineStr">
        <is>
          <t>VÄSTRA GÖTALANDS LÄN</t>
        </is>
      </c>
      <c r="E8830" t="inlineStr">
        <is>
          <t>HÄRRYDA</t>
        </is>
      </c>
      <c r="G8830" t="n">
        <v>11.5</v>
      </c>
      <c r="H8830" t="n">
        <v>0</v>
      </c>
      <c r="I8830" t="n">
        <v>0</v>
      </c>
      <c r="J8830" t="n">
        <v>0</v>
      </c>
      <c r="K8830" t="n">
        <v>0</v>
      </c>
      <c r="L8830" t="n">
        <v>0</v>
      </c>
      <c r="M8830" t="n">
        <v>0</v>
      </c>
      <c r="N8830" t="n">
        <v>0</v>
      </c>
      <c r="O8830" t="n">
        <v>0</v>
      </c>
      <c r="P8830" t="n">
        <v>0</v>
      </c>
      <c r="Q8830" t="n">
        <v>0</v>
      </c>
      <c r="R8830" s="2" t="inlineStr"/>
    </row>
    <row r="8831" ht="15" customHeight="1">
      <c r="A8831" t="inlineStr">
        <is>
          <t>A 41592-2022</t>
        </is>
      </c>
      <c r="B8831" s="1" t="n">
        <v>44827</v>
      </c>
      <c r="C8831" s="1" t="n">
        <v>45212</v>
      </c>
      <c r="D8831" t="inlineStr">
        <is>
          <t>VÄSTRA GÖTALANDS LÄN</t>
        </is>
      </c>
      <c r="E8831" t="inlineStr">
        <is>
          <t>ORUST</t>
        </is>
      </c>
      <c r="G8831" t="n">
        <v>3</v>
      </c>
      <c r="H8831" t="n">
        <v>0</v>
      </c>
      <c r="I8831" t="n">
        <v>0</v>
      </c>
      <c r="J8831" t="n">
        <v>0</v>
      </c>
      <c r="K8831" t="n">
        <v>0</v>
      </c>
      <c r="L8831" t="n">
        <v>0</v>
      </c>
      <c r="M8831" t="n">
        <v>0</v>
      </c>
      <c r="N8831" t="n">
        <v>0</v>
      </c>
      <c r="O8831" t="n">
        <v>0</v>
      </c>
      <c r="P8831" t="n">
        <v>0</v>
      </c>
      <c r="Q8831" t="n">
        <v>0</v>
      </c>
      <c r="R8831" s="2" t="inlineStr"/>
    </row>
    <row r="8832" ht="15" customHeight="1">
      <c r="A8832" t="inlineStr">
        <is>
          <t>A 41627-2022</t>
        </is>
      </c>
      <c r="B8832" s="1" t="n">
        <v>44827</v>
      </c>
      <c r="C8832" s="1" t="n">
        <v>45212</v>
      </c>
      <c r="D8832" t="inlineStr">
        <is>
          <t>VÄSTRA GÖTALANDS LÄN</t>
        </is>
      </c>
      <c r="E8832" t="inlineStr">
        <is>
          <t>TÖREBODA</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41721-2022</t>
        </is>
      </c>
      <c r="B8833" s="1" t="n">
        <v>44827</v>
      </c>
      <c r="C8833" s="1" t="n">
        <v>45212</v>
      </c>
      <c r="D8833" t="inlineStr">
        <is>
          <t>VÄSTRA GÖTALANDS LÄN</t>
        </is>
      </c>
      <c r="E8833" t="inlineStr">
        <is>
          <t>GÖTENE</t>
        </is>
      </c>
      <c r="G8833" t="n">
        <v>4.1</v>
      </c>
      <c r="H8833" t="n">
        <v>0</v>
      </c>
      <c r="I8833" t="n">
        <v>0</v>
      </c>
      <c r="J8833" t="n">
        <v>0</v>
      </c>
      <c r="K8833" t="n">
        <v>0</v>
      </c>
      <c r="L8833" t="n">
        <v>0</v>
      </c>
      <c r="M8833" t="n">
        <v>0</v>
      </c>
      <c r="N8833" t="n">
        <v>0</v>
      </c>
      <c r="O8833" t="n">
        <v>0</v>
      </c>
      <c r="P8833" t="n">
        <v>0</v>
      </c>
      <c r="Q8833" t="n">
        <v>0</v>
      </c>
      <c r="R8833" s="2" t="inlineStr"/>
    </row>
    <row r="8834" ht="15" customHeight="1">
      <c r="A8834" t="inlineStr">
        <is>
          <t>A 41635-2022</t>
        </is>
      </c>
      <c r="B8834" s="1" t="n">
        <v>44827</v>
      </c>
      <c r="C8834" s="1" t="n">
        <v>45212</v>
      </c>
      <c r="D8834" t="inlineStr">
        <is>
          <t>VÄSTRA GÖTALANDS LÄN</t>
        </is>
      </c>
      <c r="E8834" t="inlineStr">
        <is>
          <t>TÖREBODA</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41696-2022</t>
        </is>
      </c>
      <c r="B8835" s="1" t="n">
        <v>44827</v>
      </c>
      <c r="C8835" s="1" t="n">
        <v>45212</v>
      </c>
      <c r="D8835" t="inlineStr">
        <is>
          <t>VÄSTRA GÖTALANDS LÄN</t>
        </is>
      </c>
      <c r="E8835" t="inlineStr">
        <is>
          <t>TROLLHÄTTAN</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41722-2022</t>
        </is>
      </c>
      <c r="B8836" s="1" t="n">
        <v>44827</v>
      </c>
      <c r="C8836" s="1" t="n">
        <v>45212</v>
      </c>
      <c r="D8836" t="inlineStr">
        <is>
          <t>VÄSTRA GÖTALANDS LÄN</t>
        </is>
      </c>
      <c r="E8836" t="inlineStr">
        <is>
          <t>GÖTENE</t>
        </is>
      </c>
      <c r="G8836" t="n">
        <v>0.4</v>
      </c>
      <c r="H8836" t="n">
        <v>0</v>
      </c>
      <c r="I8836" t="n">
        <v>0</v>
      </c>
      <c r="J8836" t="n">
        <v>0</v>
      </c>
      <c r="K8836" t="n">
        <v>0</v>
      </c>
      <c r="L8836" t="n">
        <v>0</v>
      </c>
      <c r="M8836" t="n">
        <v>0</v>
      </c>
      <c r="N8836" t="n">
        <v>0</v>
      </c>
      <c r="O8836" t="n">
        <v>0</v>
      </c>
      <c r="P8836" t="n">
        <v>0</v>
      </c>
      <c r="Q8836" t="n">
        <v>0</v>
      </c>
      <c r="R8836" s="2" t="inlineStr"/>
    </row>
    <row r="8837" ht="15" customHeight="1">
      <c r="A8837" t="inlineStr">
        <is>
          <t>A 41615-2022</t>
        </is>
      </c>
      <c r="B8837" s="1" t="n">
        <v>44827</v>
      </c>
      <c r="C8837" s="1" t="n">
        <v>45212</v>
      </c>
      <c r="D8837" t="inlineStr">
        <is>
          <t>VÄSTRA GÖTALANDS LÄN</t>
        </is>
      </c>
      <c r="E8837" t="inlineStr">
        <is>
          <t>MUNKEDAL</t>
        </is>
      </c>
      <c r="G8837" t="n">
        <v>1.6</v>
      </c>
      <c r="H8837" t="n">
        <v>0</v>
      </c>
      <c r="I8837" t="n">
        <v>0</v>
      </c>
      <c r="J8837" t="n">
        <v>0</v>
      </c>
      <c r="K8837" t="n">
        <v>0</v>
      </c>
      <c r="L8837" t="n">
        <v>0</v>
      </c>
      <c r="M8837" t="n">
        <v>0</v>
      </c>
      <c r="N8837" t="n">
        <v>0</v>
      </c>
      <c r="O8837" t="n">
        <v>0</v>
      </c>
      <c r="P8837" t="n">
        <v>0</v>
      </c>
      <c r="Q8837" t="n">
        <v>0</v>
      </c>
      <c r="R8837" s="2" t="inlineStr"/>
    </row>
    <row r="8838" ht="15" customHeight="1">
      <c r="A8838" t="inlineStr">
        <is>
          <t>A 41632-2022</t>
        </is>
      </c>
      <c r="B8838" s="1" t="n">
        <v>44827</v>
      </c>
      <c r="C8838" s="1" t="n">
        <v>45212</v>
      </c>
      <c r="D8838" t="inlineStr">
        <is>
          <t>VÄSTRA GÖTALANDS LÄN</t>
        </is>
      </c>
      <c r="E8838" t="inlineStr">
        <is>
          <t>TÖREBODA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41640-2022</t>
        </is>
      </c>
      <c r="B8839" s="1" t="n">
        <v>44827</v>
      </c>
      <c r="C8839" s="1" t="n">
        <v>45212</v>
      </c>
      <c r="D8839" t="inlineStr">
        <is>
          <t>VÄSTRA GÖTALANDS LÄN</t>
        </is>
      </c>
      <c r="E8839" t="inlineStr">
        <is>
          <t>TRANEMO</t>
        </is>
      </c>
      <c r="G8839" t="n">
        <v>0.5</v>
      </c>
      <c r="H8839" t="n">
        <v>0</v>
      </c>
      <c r="I8839" t="n">
        <v>0</v>
      </c>
      <c r="J8839" t="n">
        <v>0</v>
      </c>
      <c r="K8839" t="n">
        <v>0</v>
      </c>
      <c r="L8839" t="n">
        <v>0</v>
      </c>
      <c r="M8839" t="n">
        <v>0</v>
      </c>
      <c r="N8839" t="n">
        <v>0</v>
      </c>
      <c r="O8839" t="n">
        <v>0</v>
      </c>
      <c r="P8839" t="n">
        <v>0</v>
      </c>
      <c r="Q8839" t="n">
        <v>0</v>
      </c>
      <c r="R8839" s="2" t="inlineStr"/>
    </row>
    <row r="8840" ht="15" customHeight="1">
      <c r="A8840" t="inlineStr">
        <is>
          <t>A 41752-2022</t>
        </is>
      </c>
      <c r="B8840" s="1" t="n">
        <v>44827</v>
      </c>
      <c r="C8840" s="1" t="n">
        <v>45212</v>
      </c>
      <c r="D8840" t="inlineStr">
        <is>
          <t>VÄSTRA GÖTALANDS LÄN</t>
        </is>
      </c>
      <c r="E8840" t="inlineStr">
        <is>
          <t>TROLLHÄTTAN</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41760-2022</t>
        </is>
      </c>
      <c r="B8841" s="1" t="n">
        <v>44827</v>
      </c>
      <c r="C8841" s="1" t="n">
        <v>45212</v>
      </c>
      <c r="D8841" t="inlineStr">
        <is>
          <t>VÄSTRA GÖTALANDS LÄN</t>
        </is>
      </c>
      <c r="E8841" t="inlineStr">
        <is>
          <t>TROLLHÄTTAN</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41562-2022</t>
        </is>
      </c>
      <c r="B8842" s="1" t="n">
        <v>44827</v>
      </c>
      <c r="C8842" s="1" t="n">
        <v>45212</v>
      </c>
      <c r="D8842" t="inlineStr">
        <is>
          <t>VÄSTRA GÖTALANDS LÄN</t>
        </is>
      </c>
      <c r="E8842" t="inlineStr">
        <is>
          <t>SKARA</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41660-2022</t>
        </is>
      </c>
      <c r="B8843" s="1" t="n">
        <v>44827</v>
      </c>
      <c r="C8843" s="1" t="n">
        <v>45212</v>
      </c>
      <c r="D8843" t="inlineStr">
        <is>
          <t>VÄSTRA GÖTALANDS LÄN</t>
        </is>
      </c>
      <c r="E8843" t="inlineStr">
        <is>
          <t>SKARA</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41784-2022</t>
        </is>
      </c>
      <c r="B8844" s="1" t="n">
        <v>44827</v>
      </c>
      <c r="C8844" s="1" t="n">
        <v>45212</v>
      </c>
      <c r="D8844" t="inlineStr">
        <is>
          <t>VÄSTRA GÖTALANDS LÄN</t>
        </is>
      </c>
      <c r="E8844" t="inlineStr">
        <is>
          <t>BENGTSFORS</t>
        </is>
      </c>
      <c r="G8844" t="n">
        <v>2.9</v>
      </c>
      <c r="H8844" t="n">
        <v>0</v>
      </c>
      <c r="I8844" t="n">
        <v>0</v>
      </c>
      <c r="J8844" t="n">
        <v>0</v>
      </c>
      <c r="K8844" t="n">
        <v>0</v>
      </c>
      <c r="L8844" t="n">
        <v>0</v>
      </c>
      <c r="M8844" t="n">
        <v>0</v>
      </c>
      <c r="N8844" t="n">
        <v>0</v>
      </c>
      <c r="O8844" t="n">
        <v>0</v>
      </c>
      <c r="P8844" t="n">
        <v>0</v>
      </c>
      <c r="Q8844" t="n">
        <v>0</v>
      </c>
      <c r="R8844" s="2" t="inlineStr"/>
    </row>
    <row r="8845" ht="15" customHeight="1">
      <c r="A8845" t="inlineStr">
        <is>
          <t>A 41840-2022</t>
        </is>
      </c>
      <c r="B8845" s="1" t="n">
        <v>44828</v>
      </c>
      <c r="C8845" s="1" t="n">
        <v>45212</v>
      </c>
      <c r="D8845" t="inlineStr">
        <is>
          <t>VÄSTRA GÖTALANDS LÄN</t>
        </is>
      </c>
      <c r="E8845" t="inlineStr">
        <is>
          <t>TIBRO</t>
        </is>
      </c>
      <c r="G8845" t="n">
        <v>5.9</v>
      </c>
      <c r="H8845" t="n">
        <v>0</v>
      </c>
      <c r="I8845" t="n">
        <v>0</v>
      </c>
      <c r="J8845" t="n">
        <v>0</v>
      </c>
      <c r="K8845" t="n">
        <v>0</v>
      </c>
      <c r="L8845" t="n">
        <v>0</v>
      </c>
      <c r="M8845" t="n">
        <v>0</v>
      </c>
      <c r="N8845" t="n">
        <v>0</v>
      </c>
      <c r="O8845" t="n">
        <v>0</v>
      </c>
      <c r="P8845" t="n">
        <v>0</v>
      </c>
      <c r="Q8845" t="n">
        <v>0</v>
      </c>
      <c r="R8845" s="2" t="inlineStr"/>
    </row>
    <row r="8846" ht="15" customHeight="1">
      <c r="A8846" t="inlineStr">
        <is>
          <t>A 42007-2022</t>
        </is>
      </c>
      <c r="B8846" s="1" t="n">
        <v>44829</v>
      </c>
      <c r="C8846" s="1" t="n">
        <v>45212</v>
      </c>
      <c r="D8846" t="inlineStr">
        <is>
          <t>VÄSTRA GÖTALANDS LÄN</t>
        </is>
      </c>
      <c r="E8846" t="inlineStr">
        <is>
          <t>STRÖMSTAD</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41964-2022</t>
        </is>
      </c>
      <c r="B8847" s="1" t="n">
        <v>44830</v>
      </c>
      <c r="C8847" s="1" t="n">
        <v>45212</v>
      </c>
      <c r="D8847" t="inlineStr">
        <is>
          <t>VÄSTRA GÖTALANDS LÄN</t>
        </is>
      </c>
      <c r="E8847" t="inlineStr">
        <is>
          <t>UDDEVALLA</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42000-2022</t>
        </is>
      </c>
      <c r="B8848" s="1" t="n">
        <v>44830</v>
      </c>
      <c r="C8848" s="1" t="n">
        <v>45212</v>
      </c>
      <c r="D8848" t="inlineStr">
        <is>
          <t>VÄSTRA GÖTALANDS LÄN</t>
        </is>
      </c>
      <c r="E8848" t="inlineStr">
        <is>
          <t>MARIESTAD</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42075-2022</t>
        </is>
      </c>
      <c r="B8849" s="1" t="n">
        <v>44830</v>
      </c>
      <c r="C8849" s="1" t="n">
        <v>45212</v>
      </c>
      <c r="D8849" t="inlineStr">
        <is>
          <t>VÄSTRA GÖTALANDS LÄN</t>
        </is>
      </c>
      <c r="E8849" t="inlineStr">
        <is>
          <t>TANUM</t>
        </is>
      </c>
      <c r="G8849" t="n">
        <v>0.5</v>
      </c>
      <c r="H8849" t="n">
        <v>0</v>
      </c>
      <c r="I8849" t="n">
        <v>0</v>
      </c>
      <c r="J8849" t="n">
        <v>0</v>
      </c>
      <c r="K8849" t="n">
        <v>0</v>
      </c>
      <c r="L8849" t="n">
        <v>0</v>
      </c>
      <c r="M8849" t="n">
        <v>0</v>
      </c>
      <c r="N8849" t="n">
        <v>0</v>
      </c>
      <c r="O8849" t="n">
        <v>0</v>
      </c>
      <c r="P8849" t="n">
        <v>0</v>
      </c>
      <c r="Q8849" t="n">
        <v>0</v>
      </c>
      <c r="R8849" s="2" t="inlineStr"/>
    </row>
    <row r="8850" ht="15" customHeight="1">
      <c r="A8850" t="inlineStr">
        <is>
          <t>A 41893-2022</t>
        </is>
      </c>
      <c r="B8850" s="1" t="n">
        <v>44830</v>
      </c>
      <c r="C8850" s="1" t="n">
        <v>45212</v>
      </c>
      <c r="D8850" t="inlineStr">
        <is>
          <t>VÄSTRA GÖTALANDS LÄN</t>
        </is>
      </c>
      <c r="E8850" t="inlineStr">
        <is>
          <t>TROLLHÄTTAN</t>
        </is>
      </c>
      <c r="F8850" t="inlineStr">
        <is>
          <t>Kommuner</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41965-2022</t>
        </is>
      </c>
      <c r="B8851" s="1" t="n">
        <v>44830</v>
      </c>
      <c r="C8851" s="1" t="n">
        <v>45212</v>
      </c>
      <c r="D8851" t="inlineStr">
        <is>
          <t>VÄSTRA GÖTALANDS LÄN</t>
        </is>
      </c>
      <c r="E8851" t="inlineStr">
        <is>
          <t>UDDEVALLA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42042-2022</t>
        </is>
      </c>
      <c r="B8852" s="1" t="n">
        <v>44830</v>
      </c>
      <c r="C8852" s="1" t="n">
        <v>45212</v>
      </c>
      <c r="D8852" t="inlineStr">
        <is>
          <t>VÄSTRA GÖTALANDS LÄN</t>
        </is>
      </c>
      <c r="E8852" t="inlineStr">
        <is>
          <t>BENGTSFORS</t>
        </is>
      </c>
      <c r="G8852" t="n">
        <v>6.2</v>
      </c>
      <c r="H8852" t="n">
        <v>0</v>
      </c>
      <c r="I8852" t="n">
        <v>0</v>
      </c>
      <c r="J8852" t="n">
        <v>0</v>
      </c>
      <c r="K8852" t="n">
        <v>0</v>
      </c>
      <c r="L8852" t="n">
        <v>0</v>
      </c>
      <c r="M8852" t="n">
        <v>0</v>
      </c>
      <c r="N8852" t="n">
        <v>0</v>
      </c>
      <c r="O8852" t="n">
        <v>0</v>
      </c>
      <c r="P8852" t="n">
        <v>0</v>
      </c>
      <c r="Q8852" t="n">
        <v>0</v>
      </c>
      <c r="R8852" s="2" t="inlineStr"/>
    </row>
    <row r="8853" ht="15" customHeight="1">
      <c r="A8853" t="inlineStr">
        <is>
          <t>A 42079-2022</t>
        </is>
      </c>
      <c r="B8853" s="1" t="n">
        <v>44830</v>
      </c>
      <c r="C8853" s="1" t="n">
        <v>45212</v>
      </c>
      <c r="D8853" t="inlineStr">
        <is>
          <t>VÄSTRA GÖTALANDS LÄN</t>
        </is>
      </c>
      <c r="E8853" t="inlineStr">
        <is>
          <t>TANUM</t>
        </is>
      </c>
      <c r="G8853" t="n">
        <v>5.5</v>
      </c>
      <c r="H8853" t="n">
        <v>0</v>
      </c>
      <c r="I8853" t="n">
        <v>0</v>
      </c>
      <c r="J8853" t="n">
        <v>0</v>
      </c>
      <c r="K8853" t="n">
        <v>0</v>
      </c>
      <c r="L8853" t="n">
        <v>0</v>
      </c>
      <c r="M8853" t="n">
        <v>0</v>
      </c>
      <c r="N8853" t="n">
        <v>0</v>
      </c>
      <c r="O8853" t="n">
        <v>0</v>
      </c>
      <c r="P8853" t="n">
        <v>0</v>
      </c>
      <c r="Q8853" t="n">
        <v>0</v>
      </c>
      <c r="R8853" s="2" t="inlineStr"/>
    </row>
    <row r="8854" ht="15" customHeight="1">
      <c r="A8854" t="inlineStr">
        <is>
          <t>A 41908-2022</t>
        </is>
      </c>
      <c r="B8854" s="1" t="n">
        <v>44830</v>
      </c>
      <c r="C8854" s="1" t="n">
        <v>45212</v>
      </c>
      <c r="D8854" t="inlineStr">
        <is>
          <t>VÄSTRA GÖTALANDS LÄN</t>
        </is>
      </c>
      <c r="E8854" t="inlineStr">
        <is>
          <t>BORÅS</t>
        </is>
      </c>
      <c r="G8854" t="n">
        <v>0.4</v>
      </c>
      <c r="H8854" t="n">
        <v>0</v>
      </c>
      <c r="I8854" t="n">
        <v>0</v>
      </c>
      <c r="J8854" t="n">
        <v>0</v>
      </c>
      <c r="K8854" t="n">
        <v>0</v>
      </c>
      <c r="L8854" t="n">
        <v>0</v>
      </c>
      <c r="M8854" t="n">
        <v>0</v>
      </c>
      <c r="N8854" t="n">
        <v>0</v>
      </c>
      <c r="O8854" t="n">
        <v>0</v>
      </c>
      <c r="P8854" t="n">
        <v>0</v>
      </c>
      <c r="Q8854" t="n">
        <v>0</v>
      </c>
      <c r="R8854" s="2" t="inlineStr"/>
    </row>
    <row r="8855" ht="15" customHeight="1">
      <c r="A8855" t="inlineStr">
        <is>
          <t>A 42019-2022</t>
        </is>
      </c>
      <c r="B8855" s="1" t="n">
        <v>44830</v>
      </c>
      <c r="C8855" s="1" t="n">
        <v>45212</v>
      </c>
      <c r="D8855" t="inlineStr">
        <is>
          <t>VÄSTRA GÖTALANDS LÄN</t>
        </is>
      </c>
      <c r="E8855" t="inlineStr">
        <is>
          <t>VÄNERSBORG</t>
        </is>
      </c>
      <c r="G8855" t="n">
        <v>2.7</v>
      </c>
      <c r="H8855" t="n">
        <v>0</v>
      </c>
      <c r="I8855" t="n">
        <v>0</v>
      </c>
      <c r="J8855" t="n">
        <v>0</v>
      </c>
      <c r="K8855" t="n">
        <v>0</v>
      </c>
      <c r="L8855" t="n">
        <v>0</v>
      </c>
      <c r="M8855" t="n">
        <v>0</v>
      </c>
      <c r="N8855" t="n">
        <v>0</v>
      </c>
      <c r="O8855" t="n">
        <v>0</v>
      </c>
      <c r="P8855" t="n">
        <v>0</v>
      </c>
      <c r="Q8855" t="n">
        <v>0</v>
      </c>
      <c r="R8855" s="2" t="inlineStr"/>
    </row>
    <row r="8856" ht="15" customHeight="1">
      <c r="A8856" t="inlineStr">
        <is>
          <t>A 41912-2022</t>
        </is>
      </c>
      <c r="B8856" s="1" t="n">
        <v>44830</v>
      </c>
      <c r="C8856" s="1" t="n">
        <v>45212</v>
      </c>
      <c r="D8856" t="inlineStr">
        <is>
          <t>VÄSTRA GÖTALANDS LÄN</t>
        </is>
      </c>
      <c r="E8856" t="inlineStr">
        <is>
          <t>ALINGSÅS</t>
        </is>
      </c>
      <c r="G8856" t="n">
        <v>0.7</v>
      </c>
      <c r="H8856" t="n">
        <v>0</v>
      </c>
      <c r="I8856" t="n">
        <v>0</v>
      </c>
      <c r="J8856" t="n">
        <v>0</v>
      </c>
      <c r="K8856" t="n">
        <v>0</v>
      </c>
      <c r="L8856" t="n">
        <v>0</v>
      </c>
      <c r="M8856" t="n">
        <v>0</v>
      </c>
      <c r="N8856" t="n">
        <v>0</v>
      </c>
      <c r="O8856" t="n">
        <v>0</v>
      </c>
      <c r="P8856" t="n">
        <v>0</v>
      </c>
      <c r="Q8856" t="n">
        <v>0</v>
      </c>
      <c r="R8856" s="2" t="inlineStr"/>
    </row>
    <row r="8857" ht="15" customHeight="1">
      <c r="A8857" t="inlineStr">
        <is>
          <t>A 41993-2022</t>
        </is>
      </c>
      <c r="B8857" s="1" t="n">
        <v>44830</v>
      </c>
      <c r="C8857" s="1" t="n">
        <v>45212</v>
      </c>
      <c r="D8857" t="inlineStr">
        <is>
          <t>VÄSTRA GÖTALANDS LÄN</t>
        </is>
      </c>
      <c r="E8857" t="inlineStr">
        <is>
          <t>MARIESTAD</t>
        </is>
      </c>
      <c r="G8857" t="n">
        <v>1.1</v>
      </c>
      <c r="H8857" t="n">
        <v>0</v>
      </c>
      <c r="I8857" t="n">
        <v>0</v>
      </c>
      <c r="J8857" t="n">
        <v>0</v>
      </c>
      <c r="K8857" t="n">
        <v>0</v>
      </c>
      <c r="L8857" t="n">
        <v>0</v>
      </c>
      <c r="M8857" t="n">
        <v>0</v>
      </c>
      <c r="N8857" t="n">
        <v>0</v>
      </c>
      <c r="O8857" t="n">
        <v>0</v>
      </c>
      <c r="P8857" t="n">
        <v>0</v>
      </c>
      <c r="Q8857" t="n">
        <v>0</v>
      </c>
      <c r="R8857" s="2" t="inlineStr"/>
    </row>
    <row r="8858" ht="15" customHeight="1">
      <c r="A8858" t="inlineStr">
        <is>
          <t>A 42213-2022</t>
        </is>
      </c>
      <c r="B8858" s="1" t="n">
        <v>44830</v>
      </c>
      <c r="C8858" s="1" t="n">
        <v>45212</v>
      </c>
      <c r="D8858" t="inlineStr">
        <is>
          <t>VÄSTRA GÖTALANDS LÄN</t>
        </is>
      </c>
      <c r="E8858" t="inlineStr">
        <is>
          <t>BENGTSFORS</t>
        </is>
      </c>
      <c r="G8858" t="n">
        <v>2</v>
      </c>
      <c r="H8858" t="n">
        <v>0</v>
      </c>
      <c r="I8858" t="n">
        <v>0</v>
      </c>
      <c r="J8858" t="n">
        <v>0</v>
      </c>
      <c r="K8858" t="n">
        <v>0</v>
      </c>
      <c r="L8858" t="n">
        <v>0</v>
      </c>
      <c r="M8858" t="n">
        <v>0</v>
      </c>
      <c r="N8858" t="n">
        <v>0</v>
      </c>
      <c r="O8858" t="n">
        <v>0</v>
      </c>
      <c r="P8858" t="n">
        <v>0</v>
      </c>
      <c r="Q8858" t="n">
        <v>0</v>
      </c>
      <c r="R8858" s="2" t="inlineStr"/>
    </row>
    <row r="8859" ht="15" customHeight="1">
      <c r="A8859" t="inlineStr">
        <is>
          <t>A 42532-2022</t>
        </is>
      </c>
      <c r="B8859" s="1" t="n">
        <v>44831</v>
      </c>
      <c r="C8859" s="1" t="n">
        <v>45212</v>
      </c>
      <c r="D8859" t="inlineStr">
        <is>
          <t>VÄSTRA GÖTALANDS LÄN</t>
        </is>
      </c>
      <c r="E8859" t="inlineStr">
        <is>
          <t>BENGTSFORS</t>
        </is>
      </c>
      <c r="G8859" t="n">
        <v>2.4</v>
      </c>
      <c r="H8859" t="n">
        <v>0</v>
      </c>
      <c r="I8859" t="n">
        <v>0</v>
      </c>
      <c r="J8859" t="n">
        <v>0</v>
      </c>
      <c r="K8859" t="n">
        <v>0</v>
      </c>
      <c r="L8859" t="n">
        <v>0</v>
      </c>
      <c r="M8859" t="n">
        <v>0</v>
      </c>
      <c r="N8859" t="n">
        <v>0</v>
      </c>
      <c r="O8859" t="n">
        <v>0</v>
      </c>
      <c r="P8859" t="n">
        <v>0</v>
      </c>
      <c r="Q8859" t="n">
        <v>0</v>
      </c>
      <c r="R8859" s="2" t="inlineStr"/>
    </row>
    <row r="8860" ht="15" customHeight="1">
      <c r="A8860" t="inlineStr">
        <is>
          <t>A 42544-2022</t>
        </is>
      </c>
      <c r="B8860" s="1" t="n">
        <v>44831</v>
      </c>
      <c r="C8860" s="1" t="n">
        <v>45212</v>
      </c>
      <c r="D8860" t="inlineStr">
        <is>
          <t>VÄSTRA GÖTALANDS LÄN</t>
        </is>
      </c>
      <c r="E8860" t="inlineStr">
        <is>
          <t>ULRICEHAMN</t>
        </is>
      </c>
      <c r="G8860" t="n">
        <v>3.2</v>
      </c>
      <c r="H8860" t="n">
        <v>0</v>
      </c>
      <c r="I8860" t="n">
        <v>0</v>
      </c>
      <c r="J8860" t="n">
        <v>0</v>
      </c>
      <c r="K8860" t="n">
        <v>0</v>
      </c>
      <c r="L8860" t="n">
        <v>0</v>
      </c>
      <c r="M8860" t="n">
        <v>0</v>
      </c>
      <c r="N8860" t="n">
        <v>0</v>
      </c>
      <c r="O8860" t="n">
        <v>0</v>
      </c>
      <c r="P8860" t="n">
        <v>0</v>
      </c>
      <c r="Q8860" t="n">
        <v>0</v>
      </c>
      <c r="R8860" s="2" t="inlineStr"/>
    </row>
    <row r="8861" ht="15" customHeight="1">
      <c r="A8861" t="inlineStr">
        <is>
          <t>A 42386-2022</t>
        </is>
      </c>
      <c r="B8861" s="1" t="n">
        <v>44831</v>
      </c>
      <c r="C8861" s="1" t="n">
        <v>45212</v>
      </c>
      <c r="D8861" t="inlineStr">
        <is>
          <t>VÄSTRA GÖTALANDS LÄN</t>
        </is>
      </c>
      <c r="E8861" t="inlineStr">
        <is>
          <t>MÖLNDAL</t>
        </is>
      </c>
      <c r="F8861" t="inlineStr">
        <is>
          <t>Kommuner</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42456-2022</t>
        </is>
      </c>
      <c r="B8862" s="1" t="n">
        <v>44831</v>
      </c>
      <c r="C8862" s="1" t="n">
        <v>45212</v>
      </c>
      <c r="D8862" t="inlineStr">
        <is>
          <t>VÄSTRA GÖTALANDS LÄN</t>
        </is>
      </c>
      <c r="E8862" t="inlineStr">
        <is>
          <t>MELLERUD</t>
        </is>
      </c>
      <c r="G8862" t="n">
        <v>2.3</v>
      </c>
      <c r="H8862" t="n">
        <v>0</v>
      </c>
      <c r="I8862" t="n">
        <v>0</v>
      </c>
      <c r="J8862" t="n">
        <v>0</v>
      </c>
      <c r="K8862" t="n">
        <v>0</v>
      </c>
      <c r="L8862" t="n">
        <v>0</v>
      </c>
      <c r="M8862" t="n">
        <v>0</v>
      </c>
      <c r="N8862" t="n">
        <v>0</v>
      </c>
      <c r="O8862" t="n">
        <v>0</v>
      </c>
      <c r="P8862" t="n">
        <v>0</v>
      </c>
      <c r="Q8862" t="n">
        <v>0</v>
      </c>
      <c r="R8862" s="2" t="inlineStr"/>
    </row>
    <row r="8863" ht="15" customHeight="1">
      <c r="A8863" t="inlineStr">
        <is>
          <t>A 42620-2022</t>
        </is>
      </c>
      <c r="B8863" s="1" t="n">
        <v>44831</v>
      </c>
      <c r="C8863" s="1" t="n">
        <v>45212</v>
      </c>
      <c r="D8863" t="inlineStr">
        <is>
          <t>VÄSTRA GÖTALANDS LÄN</t>
        </is>
      </c>
      <c r="E8863" t="inlineStr">
        <is>
          <t>ALINGSÅS</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42341-2022</t>
        </is>
      </c>
      <c r="B8864" s="1" t="n">
        <v>44831</v>
      </c>
      <c r="C8864" s="1" t="n">
        <v>45212</v>
      </c>
      <c r="D8864" t="inlineStr">
        <is>
          <t>VÄSTRA GÖTALANDS LÄN</t>
        </is>
      </c>
      <c r="E8864" t="inlineStr">
        <is>
          <t>MARIESTAD</t>
        </is>
      </c>
      <c r="F8864" t="inlineStr">
        <is>
          <t>Sveaskog</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42380-2022</t>
        </is>
      </c>
      <c r="B8865" s="1" t="n">
        <v>44831</v>
      </c>
      <c r="C8865" s="1" t="n">
        <v>45212</v>
      </c>
      <c r="D8865" t="inlineStr">
        <is>
          <t>VÄSTRA GÖTALANDS LÄN</t>
        </is>
      </c>
      <c r="E8865" t="inlineStr">
        <is>
          <t>MÖLNDAL</t>
        </is>
      </c>
      <c r="F8865" t="inlineStr">
        <is>
          <t>Kommuner</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42393-2022</t>
        </is>
      </c>
      <c r="B8866" s="1" t="n">
        <v>44831</v>
      </c>
      <c r="C8866" s="1" t="n">
        <v>45212</v>
      </c>
      <c r="D8866" t="inlineStr">
        <is>
          <t>VÄSTRA GÖTALANDS LÄN</t>
        </is>
      </c>
      <c r="E8866" t="inlineStr">
        <is>
          <t>SVENLJUNGA</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42437-2022</t>
        </is>
      </c>
      <c r="B8867" s="1" t="n">
        <v>44831</v>
      </c>
      <c r="C8867" s="1" t="n">
        <v>45212</v>
      </c>
      <c r="D8867" t="inlineStr">
        <is>
          <t>VÄSTRA GÖTALANDS LÄN</t>
        </is>
      </c>
      <c r="E8867" t="inlineStr">
        <is>
          <t>ÅMÅL</t>
        </is>
      </c>
      <c r="G8867" t="n">
        <v>2.7</v>
      </c>
      <c r="H8867" t="n">
        <v>0</v>
      </c>
      <c r="I8867" t="n">
        <v>0</v>
      </c>
      <c r="J8867" t="n">
        <v>0</v>
      </c>
      <c r="K8867" t="n">
        <v>0</v>
      </c>
      <c r="L8867" t="n">
        <v>0</v>
      </c>
      <c r="M8867" t="n">
        <v>0</v>
      </c>
      <c r="N8867" t="n">
        <v>0</v>
      </c>
      <c r="O8867" t="n">
        <v>0</v>
      </c>
      <c r="P8867" t="n">
        <v>0</v>
      </c>
      <c r="Q8867" t="n">
        <v>0</v>
      </c>
      <c r="R8867" s="2" t="inlineStr"/>
    </row>
    <row r="8868" ht="15" customHeight="1">
      <c r="A8868" t="inlineStr">
        <is>
          <t>A 42448-2022</t>
        </is>
      </c>
      <c r="B8868" s="1" t="n">
        <v>44831</v>
      </c>
      <c r="C8868" s="1" t="n">
        <v>45212</v>
      </c>
      <c r="D8868" t="inlineStr">
        <is>
          <t>VÄSTRA GÖTALANDS LÄN</t>
        </is>
      </c>
      <c r="E8868" t="inlineStr">
        <is>
          <t>ÅMÅL</t>
        </is>
      </c>
      <c r="G8868" t="n">
        <v>7.4</v>
      </c>
      <c r="H8868" t="n">
        <v>0</v>
      </c>
      <c r="I8868" t="n">
        <v>0</v>
      </c>
      <c r="J8868" t="n">
        <v>0</v>
      </c>
      <c r="K8868" t="n">
        <v>0</v>
      </c>
      <c r="L8868" t="n">
        <v>0</v>
      </c>
      <c r="M8868" t="n">
        <v>0</v>
      </c>
      <c r="N8868" t="n">
        <v>0</v>
      </c>
      <c r="O8868" t="n">
        <v>0</v>
      </c>
      <c r="P8868" t="n">
        <v>0</v>
      </c>
      <c r="Q8868" t="n">
        <v>0</v>
      </c>
      <c r="R8868" s="2" t="inlineStr"/>
    </row>
    <row r="8869" ht="15" customHeight="1">
      <c r="A8869" t="inlineStr">
        <is>
          <t>A 42471-2022</t>
        </is>
      </c>
      <c r="B8869" s="1" t="n">
        <v>44831</v>
      </c>
      <c r="C8869" s="1" t="n">
        <v>45212</v>
      </c>
      <c r="D8869" t="inlineStr">
        <is>
          <t>VÄSTRA GÖTALANDS LÄN</t>
        </is>
      </c>
      <c r="E8869" t="inlineStr">
        <is>
          <t>BENGTSFORS</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42560-2022</t>
        </is>
      </c>
      <c r="B8870" s="1" t="n">
        <v>44831</v>
      </c>
      <c r="C8870" s="1" t="n">
        <v>45212</v>
      </c>
      <c r="D8870" t="inlineStr">
        <is>
          <t>VÄSTRA GÖTALANDS LÄN</t>
        </is>
      </c>
      <c r="E8870" t="inlineStr">
        <is>
          <t>TRANEMO</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42368-2022</t>
        </is>
      </c>
      <c r="B8871" s="1" t="n">
        <v>44831</v>
      </c>
      <c r="C8871" s="1" t="n">
        <v>45212</v>
      </c>
      <c r="D8871" t="inlineStr">
        <is>
          <t>VÄSTRA GÖTALANDS LÄN</t>
        </is>
      </c>
      <c r="E8871" t="inlineStr">
        <is>
          <t>MÖLNDAL</t>
        </is>
      </c>
      <c r="F8871" t="inlineStr">
        <is>
          <t>Kommuner</t>
        </is>
      </c>
      <c r="G8871" t="n">
        <v>6.8</v>
      </c>
      <c r="H8871" t="n">
        <v>0</v>
      </c>
      <c r="I8871" t="n">
        <v>0</v>
      </c>
      <c r="J8871" t="n">
        <v>0</v>
      </c>
      <c r="K8871" t="n">
        <v>0</v>
      </c>
      <c r="L8871" t="n">
        <v>0</v>
      </c>
      <c r="M8871" t="n">
        <v>0</v>
      </c>
      <c r="N8871" t="n">
        <v>0</v>
      </c>
      <c r="O8871" t="n">
        <v>0</v>
      </c>
      <c r="P8871" t="n">
        <v>0</v>
      </c>
      <c r="Q8871" t="n">
        <v>0</v>
      </c>
      <c r="R8871" s="2" t="inlineStr"/>
    </row>
    <row r="8872" ht="15" customHeight="1">
      <c r="A8872" t="inlineStr">
        <is>
          <t>A 42409-2022</t>
        </is>
      </c>
      <c r="B8872" s="1" t="n">
        <v>44831</v>
      </c>
      <c r="C8872" s="1" t="n">
        <v>45212</v>
      </c>
      <c r="D8872" t="inlineStr">
        <is>
          <t>VÄSTRA GÖTALANDS LÄN</t>
        </is>
      </c>
      <c r="E8872" t="inlineStr">
        <is>
          <t>BENGTSFORS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42415-2022</t>
        </is>
      </c>
      <c r="B8873" s="1" t="n">
        <v>44831</v>
      </c>
      <c r="C8873" s="1" t="n">
        <v>45212</v>
      </c>
      <c r="D8873" t="inlineStr">
        <is>
          <t>VÄSTRA GÖTALANDS LÄN</t>
        </is>
      </c>
      <c r="E8873" t="inlineStr">
        <is>
          <t>MÖLNDAL</t>
        </is>
      </c>
      <c r="F8873" t="inlineStr">
        <is>
          <t>Kommuner</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42756-2022</t>
        </is>
      </c>
      <c r="B8874" s="1" t="n">
        <v>44832</v>
      </c>
      <c r="C8874" s="1" t="n">
        <v>45212</v>
      </c>
      <c r="D8874" t="inlineStr">
        <is>
          <t>VÄSTRA GÖTALANDS LÄN</t>
        </is>
      </c>
      <c r="E8874" t="inlineStr">
        <is>
          <t>TANUM</t>
        </is>
      </c>
      <c r="G8874" t="n">
        <v>4.1</v>
      </c>
      <c r="H8874" t="n">
        <v>0</v>
      </c>
      <c r="I8874" t="n">
        <v>0</v>
      </c>
      <c r="J8874" t="n">
        <v>0</v>
      </c>
      <c r="K8874" t="n">
        <v>0</v>
      </c>
      <c r="L8874" t="n">
        <v>0</v>
      </c>
      <c r="M8874" t="n">
        <v>0</v>
      </c>
      <c r="N8874" t="n">
        <v>0</v>
      </c>
      <c r="O8874" t="n">
        <v>0</v>
      </c>
      <c r="P8874" t="n">
        <v>0</v>
      </c>
      <c r="Q8874" t="n">
        <v>0</v>
      </c>
      <c r="R8874" s="2" t="inlineStr"/>
    </row>
    <row r="8875" ht="15" customHeight="1">
      <c r="A8875" t="inlineStr">
        <is>
          <t>A 42875-2022</t>
        </is>
      </c>
      <c r="B8875" s="1" t="n">
        <v>44832</v>
      </c>
      <c r="C8875" s="1" t="n">
        <v>45212</v>
      </c>
      <c r="D8875" t="inlineStr">
        <is>
          <t>VÄSTRA GÖTALANDS LÄN</t>
        </is>
      </c>
      <c r="E8875" t="inlineStr">
        <is>
          <t>SKARA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42769-2022</t>
        </is>
      </c>
      <c r="B8876" s="1" t="n">
        <v>44832</v>
      </c>
      <c r="C8876" s="1" t="n">
        <v>45212</v>
      </c>
      <c r="D8876" t="inlineStr">
        <is>
          <t>VÄSTRA GÖTALANDS LÄN</t>
        </is>
      </c>
      <c r="E8876" t="inlineStr">
        <is>
          <t>GULLSPÅNG</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42794-2022</t>
        </is>
      </c>
      <c r="B8877" s="1" t="n">
        <v>44832</v>
      </c>
      <c r="C8877" s="1" t="n">
        <v>45212</v>
      </c>
      <c r="D8877" t="inlineStr">
        <is>
          <t>VÄSTRA GÖTALANDS LÄN</t>
        </is>
      </c>
      <c r="E8877" t="inlineStr">
        <is>
          <t>TIDAHOLM</t>
        </is>
      </c>
      <c r="G8877" t="n">
        <v>4.9</v>
      </c>
      <c r="H8877" t="n">
        <v>0</v>
      </c>
      <c r="I8877" t="n">
        <v>0</v>
      </c>
      <c r="J8877" t="n">
        <v>0</v>
      </c>
      <c r="K8877" t="n">
        <v>0</v>
      </c>
      <c r="L8877" t="n">
        <v>0</v>
      </c>
      <c r="M8877" t="n">
        <v>0</v>
      </c>
      <c r="N8877" t="n">
        <v>0</v>
      </c>
      <c r="O8877" t="n">
        <v>0</v>
      </c>
      <c r="P8877" t="n">
        <v>0</v>
      </c>
      <c r="Q8877" t="n">
        <v>0</v>
      </c>
      <c r="R8877" s="2" t="inlineStr"/>
    </row>
    <row r="8878" ht="15" customHeight="1">
      <c r="A8878" t="inlineStr">
        <is>
          <t>A 42873-2022</t>
        </is>
      </c>
      <c r="B8878" s="1" t="n">
        <v>44832</v>
      </c>
      <c r="C8878" s="1" t="n">
        <v>45212</v>
      </c>
      <c r="D8878" t="inlineStr">
        <is>
          <t>VÄSTRA GÖTALANDS LÄN</t>
        </is>
      </c>
      <c r="E8878" t="inlineStr">
        <is>
          <t>SKARA</t>
        </is>
      </c>
      <c r="G8878" t="n">
        <v>11.1</v>
      </c>
      <c r="H8878" t="n">
        <v>0</v>
      </c>
      <c r="I8878" t="n">
        <v>0</v>
      </c>
      <c r="J8878" t="n">
        <v>0</v>
      </c>
      <c r="K8878" t="n">
        <v>0</v>
      </c>
      <c r="L8878" t="n">
        <v>0</v>
      </c>
      <c r="M8878" t="n">
        <v>0</v>
      </c>
      <c r="N8878" t="n">
        <v>0</v>
      </c>
      <c r="O8878" t="n">
        <v>0</v>
      </c>
      <c r="P8878" t="n">
        <v>0</v>
      </c>
      <c r="Q8878" t="n">
        <v>0</v>
      </c>
      <c r="R8878" s="2" t="inlineStr"/>
    </row>
    <row r="8879" ht="15" customHeight="1">
      <c r="A8879" t="inlineStr">
        <is>
          <t>A 42951-2022</t>
        </is>
      </c>
      <c r="B8879" s="1" t="n">
        <v>44832</v>
      </c>
      <c r="C8879" s="1" t="n">
        <v>45212</v>
      </c>
      <c r="D8879" t="inlineStr">
        <is>
          <t>VÄSTRA GÖTALANDS LÄN</t>
        </is>
      </c>
      <c r="E8879" t="inlineStr">
        <is>
          <t>DALS-ED</t>
        </is>
      </c>
      <c r="F8879" t="inlineStr">
        <is>
          <t>Kyrkan</t>
        </is>
      </c>
      <c r="G8879" t="n">
        <v>7.9</v>
      </c>
      <c r="H8879" t="n">
        <v>0</v>
      </c>
      <c r="I8879" t="n">
        <v>0</v>
      </c>
      <c r="J8879" t="n">
        <v>0</v>
      </c>
      <c r="K8879" t="n">
        <v>0</v>
      </c>
      <c r="L8879" t="n">
        <v>0</v>
      </c>
      <c r="M8879" t="n">
        <v>0</v>
      </c>
      <c r="N8879" t="n">
        <v>0</v>
      </c>
      <c r="O8879" t="n">
        <v>0</v>
      </c>
      <c r="P8879" t="n">
        <v>0</v>
      </c>
      <c r="Q8879" t="n">
        <v>0</v>
      </c>
      <c r="R8879" s="2" t="inlineStr"/>
    </row>
    <row r="8880" ht="15" customHeight="1">
      <c r="A8880" t="inlineStr">
        <is>
          <t>A 42778-2022</t>
        </is>
      </c>
      <c r="B8880" s="1" t="n">
        <v>44832</v>
      </c>
      <c r="C8880" s="1" t="n">
        <v>45212</v>
      </c>
      <c r="D8880" t="inlineStr">
        <is>
          <t>VÄSTRA GÖTALANDS LÄN</t>
        </is>
      </c>
      <c r="E8880" t="inlineStr">
        <is>
          <t>GULLSPÅNG</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42874-2022</t>
        </is>
      </c>
      <c r="B8881" s="1" t="n">
        <v>44832</v>
      </c>
      <c r="C8881" s="1" t="n">
        <v>45212</v>
      </c>
      <c r="D8881" t="inlineStr">
        <is>
          <t>VÄSTRA GÖTALANDS LÄN</t>
        </is>
      </c>
      <c r="E8881" t="inlineStr">
        <is>
          <t>SKARA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43299-2022</t>
        </is>
      </c>
      <c r="B8882" s="1" t="n">
        <v>44833</v>
      </c>
      <c r="C8882" s="1" t="n">
        <v>45212</v>
      </c>
      <c r="D8882" t="inlineStr">
        <is>
          <t>VÄSTRA GÖTALANDS LÄN</t>
        </is>
      </c>
      <c r="E8882" t="inlineStr">
        <is>
          <t>MARIESTAD</t>
        </is>
      </c>
      <c r="G8882" t="n">
        <v>4.5</v>
      </c>
      <c r="H8882" t="n">
        <v>0</v>
      </c>
      <c r="I8882" t="n">
        <v>0</v>
      </c>
      <c r="J8882" t="n">
        <v>0</v>
      </c>
      <c r="K8882" t="n">
        <v>0</v>
      </c>
      <c r="L8882" t="n">
        <v>0</v>
      </c>
      <c r="M8882" t="n">
        <v>0</v>
      </c>
      <c r="N8882" t="n">
        <v>0</v>
      </c>
      <c r="O8882" t="n">
        <v>0</v>
      </c>
      <c r="P8882" t="n">
        <v>0</v>
      </c>
      <c r="Q8882" t="n">
        <v>0</v>
      </c>
      <c r="R8882" s="2" t="inlineStr"/>
    </row>
    <row r="8883" ht="15" customHeight="1">
      <c r="A8883" t="inlineStr">
        <is>
          <t>A 43027-2022</t>
        </is>
      </c>
      <c r="B8883" s="1" t="n">
        <v>44833</v>
      </c>
      <c r="C8883" s="1" t="n">
        <v>45212</v>
      </c>
      <c r="D8883" t="inlineStr">
        <is>
          <t>VÄSTRA GÖTALANDS LÄN</t>
        </is>
      </c>
      <c r="E8883" t="inlineStr">
        <is>
          <t>DALS-ED</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43276-2022</t>
        </is>
      </c>
      <c r="B8884" s="1" t="n">
        <v>44834</v>
      </c>
      <c r="C8884" s="1" t="n">
        <v>45212</v>
      </c>
      <c r="D8884" t="inlineStr">
        <is>
          <t>VÄSTRA GÖTALANDS LÄN</t>
        </is>
      </c>
      <c r="E8884" t="inlineStr">
        <is>
          <t>UDDEVALLA</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43255-2022</t>
        </is>
      </c>
      <c r="B8885" s="1" t="n">
        <v>44834</v>
      </c>
      <c r="C8885" s="1" t="n">
        <v>45212</v>
      </c>
      <c r="D8885" t="inlineStr">
        <is>
          <t>VÄSTRA GÖTALANDS LÄN</t>
        </is>
      </c>
      <c r="E8885" t="inlineStr">
        <is>
          <t>HERRLJUNGA</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43487-2022</t>
        </is>
      </c>
      <c r="B8886" s="1" t="n">
        <v>44834</v>
      </c>
      <c r="C8886" s="1" t="n">
        <v>45212</v>
      </c>
      <c r="D8886" t="inlineStr">
        <is>
          <t>VÄSTRA GÖTALANDS LÄN</t>
        </is>
      </c>
      <c r="E8886" t="inlineStr">
        <is>
          <t>BENGTSFORS</t>
        </is>
      </c>
      <c r="G8886" t="n">
        <v>5.5</v>
      </c>
      <c r="H8886" t="n">
        <v>0</v>
      </c>
      <c r="I8886" t="n">
        <v>0</v>
      </c>
      <c r="J8886" t="n">
        <v>0</v>
      </c>
      <c r="K8886" t="n">
        <v>0</v>
      </c>
      <c r="L8886" t="n">
        <v>0</v>
      </c>
      <c r="M8886" t="n">
        <v>0</v>
      </c>
      <c r="N8886" t="n">
        <v>0</v>
      </c>
      <c r="O8886" t="n">
        <v>0</v>
      </c>
      <c r="P8886" t="n">
        <v>0</v>
      </c>
      <c r="Q8886" t="n">
        <v>0</v>
      </c>
      <c r="R8886" s="2" t="inlineStr"/>
    </row>
    <row r="8887" ht="15" customHeight="1">
      <c r="A8887" t="inlineStr">
        <is>
          <t>A 43178-2022</t>
        </is>
      </c>
      <c r="B8887" s="1" t="n">
        <v>44834</v>
      </c>
      <c r="C8887" s="1" t="n">
        <v>45212</v>
      </c>
      <c r="D8887" t="inlineStr">
        <is>
          <t>VÄSTRA GÖTALANDS LÄN</t>
        </is>
      </c>
      <c r="E8887" t="inlineStr">
        <is>
          <t>MARK</t>
        </is>
      </c>
      <c r="G8887" t="n">
        <v>2.3</v>
      </c>
      <c r="H8887" t="n">
        <v>0</v>
      </c>
      <c r="I8887" t="n">
        <v>0</v>
      </c>
      <c r="J8887" t="n">
        <v>0</v>
      </c>
      <c r="K8887" t="n">
        <v>0</v>
      </c>
      <c r="L8887" t="n">
        <v>0</v>
      </c>
      <c r="M8887" t="n">
        <v>0</v>
      </c>
      <c r="N8887" t="n">
        <v>0</v>
      </c>
      <c r="O8887" t="n">
        <v>0</v>
      </c>
      <c r="P8887" t="n">
        <v>0</v>
      </c>
      <c r="Q8887" t="n">
        <v>0</v>
      </c>
      <c r="R8887" s="2" t="inlineStr"/>
    </row>
    <row r="8888" ht="15" customHeight="1">
      <c r="A8888" t="inlineStr">
        <is>
          <t>A 43495-2022</t>
        </is>
      </c>
      <c r="B8888" s="1" t="n">
        <v>44834</v>
      </c>
      <c r="C8888" s="1" t="n">
        <v>45212</v>
      </c>
      <c r="D8888" t="inlineStr">
        <is>
          <t>VÄSTRA GÖTALANDS LÄN</t>
        </is>
      </c>
      <c r="E8888" t="inlineStr">
        <is>
          <t>BENGTSFORS</t>
        </is>
      </c>
      <c r="G8888" t="n">
        <v>0.6</v>
      </c>
      <c r="H8888" t="n">
        <v>0</v>
      </c>
      <c r="I8888" t="n">
        <v>0</v>
      </c>
      <c r="J8888" t="n">
        <v>0</v>
      </c>
      <c r="K8888" t="n">
        <v>0</v>
      </c>
      <c r="L8888" t="n">
        <v>0</v>
      </c>
      <c r="M8888" t="n">
        <v>0</v>
      </c>
      <c r="N8888" t="n">
        <v>0</v>
      </c>
      <c r="O8888" t="n">
        <v>0</v>
      </c>
      <c r="P8888" t="n">
        <v>0</v>
      </c>
      <c r="Q8888" t="n">
        <v>0</v>
      </c>
      <c r="R8888" s="2" t="inlineStr"/>
    </row>
    <row r="8889" ht="15" customHeight="1">
      <c r="A8889" t="inlineStr">
        <is>
          <t>A 43207-2022</t>
        </is>
      </c>
      <c r="B8889" s="1" t="n">
        <v>44834</v>
      </c>
      <c r="C8889" s="1" t="n">
        <v>45212</v>
      </c>
      <c r="D8889" t="inlineStr">
        <is>
          <t>VÄSTRA GÖTALANDS LÄN</t>
        </is>
      </c>
      <c r="E8889" t="inlineStr">
        <is>
          <t>MARK</t>
        </is>
      </c>
      <c r="G8889" t="n">
        <v>12.5</v>
      </c>
      <c r="H8889" t="n">
        <v>0</v>
      </c>
      <c r="I8889" t="n">
        <v>0</v>
      </c>
      <c r="J8889" t="n">
        <v>0</v>
      </c>
      <c r="K8889" t="n">
        <v>0</v>
      </c>
      <c r="L8889" t="n">
        <v>0</v>
      </c>
      <c r="M8889" t="n">
        <v>0</v>
      </c>
      <c r="N8889" t="n">
        <v>0</v>
      </c>
      <c r="O8889" t="n">
        <v>0</v>
      </c>
      <c r="P8889" t="n">
        <v>0</v>
      </c>
      <c r="Q8889" t="n">
        <v>0</v>
      </c>
      <c r="R8889" s="2" t="inlineStr"/>
    </row>
    <row r="8890" ht="15" customHeight="1">
      <c r="A8890" t="inlineStr">
        <is>
          <t>A 43277-2022</t>
        </is>
      </c>
      <c r="B8890" s="1" t="n">
        <v>44834</v>
      </c>
      <c r="C8890" s="1" t="n">
        <v>45212</v>
      </c>
      <c r="D8890" t="inlineStr">
        <is>
          <t>VÄSTRA GÖTALANDS LÄN</t>
        </is>
      </c>
      <c r="E8890" t="inlineStr">
        <is>
          <t>BENGTSFORS</t>
        </is>
      </c>
      <c r="F8890" t="inlineStr">
        <is>
          <t>Kyrkan</t>
        </is>
      </c>
      <c r="G8890" t="n">
        <v>4.2</v>
      </c>
      <c r="H8890" t="n">
        <v>0</v>
      </c>
      <c r="I8890" t="n">
        <v>0</v>
      </c>
      <c r="J8890" t="n">
        <v>0</v>
      </c>
      <c r="K8890" t="n">
        <v>0</v>
      </c>
      <c r="L8890" t="n">
        <v>0</v>
      </c>
      <c r="M8890" t="n">
        <v>0</v>
      </c>
      <c r="N8890" t="n">
        <v>0</v>
      </c>
      <c r="O8890" t="n">
        <v>0</v>
      </c>
      <c r="P8890" t="n">
        <v>0</v>
      </c>
      <c r="Q8890" t="n">
        <v>0</v>
      </c>
      <c r="R8890" s="2" t="inlineStr"/>
    </row>
    <row r="8891" ht="15" customHeight="1">
      <c r="A8891" t="inlineStr">
        <is>
          <t>A 43360-2022</t>
        </is>
      </c>
      <c r="B8891" s="1" t="n">
        <v>44834</v>
      </c>
      <c r="C8891" s="1" t="n">
        <v>45212</v>
      </c>
      <c r="D8891" t="inlineStr">
        <is>
          <t>VÄSTRA GÖTALANDS LÄN</t>
        </is>
      </c>
      <c r="E8891" t="inlineStr">
        <is>
          <t>MUNKEDAL</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43568-2022</t>
        </is>
      </c>
      <c r="B8892" s="1" t="n">
        <v>44834</v>
      </c>
      <c r="C8892" s="1" t="n">
        <v>45212</v>
      </c>
      <c r="D8892" t="inlineStr">
        <is>
          <t>VÄSTRA GÖTALANDS LÄN</t>
        </is>
      </c>
      <c r="E8892" t="inlineStr">
        <is>
          <t>SKÖVDE</t>
        </is>
      </c>
      <c r="F8892" t="inlineStr">
        <is>
          <t>Kommuner</t>
        </is>
      </c>
      <c r="G8892" t="n">
        <v>3.9</v>
      </c>
      <c r="H8892" t="n">
        <v>0</v>
      </c>
      <c r="I8892" t="n">
        <v>0</v>
      </c>
      <c r="J8892" t="n">
        <v>0</v>
      </c>
      <c r="K8892" t="n">
        <v>0</v>
      </c>
      <c r="L8892" t="n">
        <v>0</v>
      </c>
      <c r="M8892" t="n">
        <v>0</v>
      </c>
      <c r="N8892" t="n">
        <v>0</v>
      </c>
      <c r="O8892" t="n">
        <v>0</v>
      </c>
      <c r="P8892" t="n">
        <v>0</v>
      </c>
      <c r="Q8892" t="n">
        <v>0</v>
      </c>
      <c r="R8892" s="2" t="inlineStr"/>
    </row>
    <row r="8893" ht="15" customHeight="1">
      <c r="A8893" t="inlineStr">
        <is>
          <t>A 43709-2022</t>
        </is>
      </c>
      <c r="B8893" s="1" t="n">
        <v>44836</v>
      </c>
      <c r="C8893" s="1" t="n">
        <v>45212</v>
      </c>
      <c r="D8893" t="inlineStr">
        <is>
          <t>VÄSTRA GÖTALANDS LÄN</t>
        </is>
      </c>
      <c r="E8893" t="inlineStr">
        <is>
          <t>KUNGÄLV</t>
        </is>
      </c>
      <c r="G8893" t="n">
        <v>3.5</v>
      </c>
      <c r="H8893" t="n">
        <v>0</v>
      </c>
      <c r="I8893" t="n">
        <v>0</v>
      </c>
      <c r="J8893" t="n">
        <v>0</v>
      </c>
      <c r="K8893" t="n">
        <v>0</v>
      </c>
      <c r="L8893" t="n">
        <v>0</v>
      </c>
      <c r="M8893" t="n">
        <v>0</v>
      </c>
      <c r="N8893" t="n">
        <v>0</v>
      </c>
      <c r="O8893" t="n">
        <v>0</v>
      </c>
      <c r="P8893" t="n">
        <v>0</v>
      </c>
      <c r="Q8893" t="n">
        <v>0</v>
      </c>
      <c r="R8893" s="2" t="inlineStr"/>
    </row>
    <row r="8894" ht="15" customHeight="1">
      <c r="A8894" t="inlineStr">
        <is>
          <t>A 43697-2022</t>
        </is>
      </c>
      <c r="B8894" s="1" t="n">
        <v>44837</v>
      </c>
      <c r="C8894" s="1" t="n">
        <v>45212</v>
      </c>
      <c r="D8894" t="inlineStr">
        <is>
          <t>VÄSTRA GÖTALANDS LÄN</t>
        </is>
      </c>
      <c r="E8894" t="inlineStr">
        <is>
          <t>KARLSBORG</t>
        </is>
      </c>
      <c r="F8894" t="inlineStr">
        <is>
          <t>Sveaskog</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43618-2022</t>
        </is>
      </c>
      <c r="B8895" s="1" t="n">
        <v>44837</v>
      </c>
      <c r="C8895" s="1" t="n">
        <v>45212</v>
      </c>
      <c r="D8895" t="inlineStr">
        <is>
          <t>VÄSTRA GÖTALANDS LÄN</t>
        </is>
      </c>
      <c r="E8895" t="inlineStr">
        <is>
          <t>SVENLJUNGA</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43661-2022</t>
        </is>
      </c>
      <c r="B8896" s="1" t="n">
        <v>44837</v>
      </c>
      <c r="C8896" s="1" t="n">
        <v>45212</v>
      </c>
      <c r="D8896" t="inlineStr">
        <is>
          <t>VÄSTRA GÖTALANDS LÄN</t>
        </is>
      </c>
      <c r="E8896" t="inlineStr">
        <is>
          <t>BORÅS</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43565-2022</t>
        </is>
      </c>
      <c r="B8897" s="1" t="n">
        <v>44837</v>
      </c>
      <c r="C8897" s="1" t="n">
        <v>45212</v>
      </c>
      <c r="D8897" t="inlineStr">
        <is>
          <t>VÄSTRA GÖTALANDS LÄN</t>
        </is>
      </c>
      <c r="E8897" t="inlineStr">
        <is>
          <t>ULRICEHAMN</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43620-2022</t>
        </is>
      </c>
      <c r="B8898" s="1" t="n">
        <v>44837</v>
      </c>
      <c r="C8898" s="1" t="n">
        <v>45212</v>
      </c>
      <c r="D8898" t="inlineStr">
        <is>
          <t>VÄSTRA GÖTALANDS LÄN</t>
        </is>
      </c>
      <c r="E8898" t="inlineStr">
        <is>
          <t>SVENLJUNGA</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43754-2022</t>
        </is>
      </c>
      <c r="B8899" s="1" t="n">
        <v>44837</v>
      </c>
      <c r="C8899" s="1" t="n">
        <v>45212</v>
      </c>
      <c r="D8899" t="inlineStr">
        <is>
          <t>VÄSTRA GÖTALANDS LÄN</t>
        </is>
      </c>
      <c r="E8899" t="inlineStr">
        <is>
          <t>VARA</t>
        </is>
      </c>
      <c r="G8899" t="n">
        <v>1.1</v>
      </c>
      <c r="H8899" t="n">
        <v>0</v>
      </c>
      <c r="I8899" t="n">
        <v>0</v>
      </c>
      <c r="J8899" t="n">
        <v>0</v>
      </c>
      <c r="K8899" t="n">
        <v>0</v>
      </c>
      <c r="L8899" t="n">
        <v>0</v>
      </c>
      <c r="M8899" t="n">
        <v>0</v>
      </c>
      <c r="N8899" t="n">
        <v>0</v>
      </c>
      <c r="O8899" t="n">
        <v>0</v>
      </c>
      <c r="P8899" t="n">
        <v>0</v>
      </c>
      <c r="Q8899" t="n">
        <v>0</v>
      </c>
      <c r="R8899" s="2" t="inlineStr"/>
    </row>
    <row r="8900" ht="15" customHeight="1">
      <c r="A8900" t="inlineStr">
        <is>
          <t>A 43999-2022</t>
        </is>
      </c>
      <c r="B8900" s="1" t="n">
        <v>44837</v>
      </c>
      <c r="C8900" s="1" t="n">
        <v>45212</v>
      </c>
      <c r="D8900" t="inlineStr">
        <is>
          <t>VÄSTRA GÖTALANDS LÄN</t>
        </is>
      </c>
      <c r="E8900" t="inlineStr">
        <is>
          <t>TIDAHOLM</t>
        </is>
      </c>
      <c r="G8900" t="n">
        <v>5.9</v>
      </c>
      <c r="H8900" t="n">
        <v>0</v>
      </c>
      <c r="I8900" t="n">
        <v>0</v>
      </c>
      <c r="J8900" t="n">
        <v>0</v>
      </c>
      <c r="K8900" t="n">
        <v>0</v>
      </c>
      <c r="L8900" t="n">
        <v>0</v>
      </c>
      <c r="M8900" t="n">
        <v>0</v>
      </c>
      <c r="N8900" t="n">
        <v>0</v>
      </c>
      <c r="O8900" t="n">
        <v>0</v>
      </c>
      <c r="P8900" t="n">
        <v>0</v>
      </c>
      <c r="Q8900" t="n">
        <v>0</v>
      </c>
      <c r="R8900" s="2" t="inlineStr"/>
    </row>
    <row r="8901" ht="15" customHeight="1">
      <c r="A8901" t="inlineStr">
        <is>
          <t>A 43614-2022</t>
        </is>
      </c>
      <c r="B8901" s="1" t="n">
        <v>44837</v>
      </c>
      <c r="C8901" s="1" t="n">
        <v>45212</v>
      </c>
      <c r="D8901" t="inlineStr">
        <is>
          <t>VÄSTRA GÖTALANDS LÄN</t>
        </is>
      </c>
      <c r="E8901" t="inlineStr">
        <is>
          <t>SVENLJUNGA</t>
        </is>
      </c>
      <c r="G8901" t="n">
        <v>2.8</v>
      </c>
      <c r="H8901" t="n">
        <v>0</v>
      </c>
      <c r="I8901" t="n">
        <v>0</v>
      </c>
      <c r="J8901" t="n">
        <v>0</v>
      </c>
      <c r="K8901" t="n">
        <v>0</v>
      </c>
      <c r="L8901" t="n">
        <v>0</v>
      </c>
      <c r="M8901" t="n">
        <v>0</v>
      </c>
      <c r="N8901" t="n">
        <v>0</v>
      </c>
      <c r="O8901" t="n">
        <v>0</v>
      </c>
      <c r="P8901" t="n">
        <v>0</v>
      </c>
      <c r="Q8901" t="n">
        <v>0</v>
      </c>
      <c r="R8901" s="2" t="inlineStr"/>
    </row>
    <row r="8902" ht="15" customHeight="1">
      <c r="A8902" t="inlineStr">
        <is>
          <t>A 43809-2022</t>
        </is>
      </c>
      <c r="B8902" s="1" t="n">
        <v>44838</v>
      </c>
      <c r="C8902" s="1" t="n">
        <v>45212</v>
      </c>
      <c r="D8902" t="inlineStr">
        <is>
          <t>VÄSTRA GÖTALANDS LÄN</t>
        </is>
      </c>
      <c r="E8902" t="inlineStr">
        <is>
          <t>ULRICEHAMN</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43847-2022</t>
        </is>
      </c>
      <c r="B8903" s="1" t="n">
        <v>44838</v>
      </c>
      <c r="C8903" s="1" t="n">
        <v>45212</v>
      </c>
      <c r="D8903" t="inlineStr">
        <is>
          <t>VÄSTRA GÖTALANDS LÄN</t>
        </is>
      </c>
      <c r="E8903" t="inlineStr">
        <is>
          <t>KUNGÄLV</t>
        </is>
      </c>
      <c r="G8903" t="n">
        <v>0.6</v>
      </c>
      <c r="H8903" t="n">
        <v>0</v>
      </c>
      <c r="I8903" t="n">
        <v>0</v>
      </c>
      <c r="J8903" t="n">
        <v>0</v>
      </c>
      <c r="K8903" t="n">
        <v>0</v>
      </c>
      <c r="L8903" t="n">
        <v>0</v>
      </c>
      <c r="M8903" t="n">
        <v>0</v>
      </c>
      <c r="N8903" t="n">
        <v>0</v>
      </c>
      <c r="O8903" t="n">
        <v>0</v>
      </c>
      <c r="P8903" t="n">
        <v>0</v>
      </c>
      <c r="Q8903" t="n">
        <v>0</v>
      </c>
      <c r="R8903" s="2" t="inlineStr"/>
    </row>
    <row r="8904" ht="15" customHeight="1">
      <c r="A8904" t="inlineStr">
        <is>
          <t>A 43927-2022</t>
        </is>
      </c>
      <c r="B8904" s="1" t="n">
        <v>44838</v>
      </c>
      <c r="C8904" s="1" t="n">
        <v>45212</v>
      </c>
      <c r="D8904" t="inlineStr">
        <is>
          <t>VÄSTRA GÖTALANDS LÄN</t>
        </is>
      </c>
      <c r="E8904" t="inlineStr">
        <is>
          <t>TRANEMO</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44000-2022</t>
        </is>
      </c>
      <c r="B8905" s="1" t="n">
        <v>44838</v>
      </c>
      <c r="C8905" s="1" t="n">
        <v>45212</v>
      </c>
      <c r="D8905" t="inlineStr">
        <is>
          <t>VÄSTRA GÖTALANDS LÄN</t>
        </is>
      </c>
      <c r="E8905" t="inlineStr">
        <is>
          <t>FALKÖPING</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44002-2022</t>
        </is>
      </c>
      <c r="B8906" s="1" t="n">
        <v>44838</v>
      </c>
      <c r="C8906" s="1" t="n">
        <v>45212</v>
      </c>
      <c r="D8906" t="inlineStr">
        <is>
          <t>VÄSTRA GÖTALANDS LÄN</t>
        </is>
      </c>
      <c r="E8906" t="inlineStr">
        <is>
          <t>FALKÖPING</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44514-2022</t>
        </is>
      </c>
      <c r="B8907" s="1" t="n">
        <v>44838</v>
      </c>
      <c r="C8907" s="1" t="n">
        <v>45212</v>
      </c>
      <c r="D8907" t="inlineStr">
        <is>
          <t>VÄSTRA GÖTALANDS LÄN</t>
        </is>
      </c>
      <c r="E8907" t="inlineStr">
        <is>
          <t>ÅMÅL</t>
        </is>
      </c>
      <c r="F8907" t="inlineStr">
        <is>
          <t>Bergvik skog väst AB</t>
        </is>
      </c>
      <c r="G8907" t="n">
        <v>7.7</v>
      </c>
      <c r="H8907" t="n">
        <v>0</v>
      </c>
      <c r="I8907" t="n">
        <v>0</v>
      </c>
      <c r="J8907" t="n">
        <v>0</v>
      </c>
      <c r="K8907" t="n">
        <v>0</v>
      </c>
      <c r="L8907" t="n">
        <v>0</v>
      </c>
      <c r="M8907" t="n">
        <v>0</v>
      </c>
      <c r="N8907" t="n">
        <v>0</v>
      </c>
      <c r="O8907" t="n">
        <v>0</v>
      </c>
      <c r="P8907" t="n">
        <v>0</v>
      </c>
      <c r="Q8907" t="n">
        <v>0</v>
      </c>
      <c r="R8907" s="2" t="inlineStr"/>
    </row>
    <row r="8908" ht="15" customHeight="1">
      <c r="A8908" t="inlineStr">
        <is>
          <t>A 44001-2022</t>
        </is>
      </c>
      <c r="B8908" s="1" t="n">
        <v>44838</v>
      </c>
      <c r="C8908" s="1" t="n">
        <v>45212</v>
      </c>
      <c r="D8908" t="inlineStr">
        <is>
          <t>VÄSTRA GÖTALANDS LÄN</t>
        </is>
      </c>
      <c r="E8908" t="inlineStr">
        <is>
          <t>MARK</t>
        </is>
      </c>
      <c r="G8908" t="n">
        <v>2.7</v>
      </c>
      <c r="H8908" t="n">
        <v>0</v>
      </c>
      <c r="I8908" t="n">
        <v>0</v>
      </c>
      <c r="J8908" t="n">
        <v>0</v>
      </c>
      <c r="K8908" t="n">
        <v>0</v>
      </c>
      <c r="L8908" t="n">
        <v>0</v>
      </c>
      <c r="M8908" t="n">
        <v>0</v>
      </c>
      <c r="N8908" t="n">
        <v>0</v>
      </c>
      <c r="O8908" t="n">
        <v>0</v>
      </c>
      <c r="P8908" t="n">
        <v>0</v>
      </c>
      <c r="Q8908" t="n">
        <v>0</v>
      </c>
      <c r="R8908" s="2" t="inlineStr"/>
    </row>
    <row r="8909" ht="15" customHeight="1">
      <c r="A8909" t="inlineStr">
        <is>
          <t>A 44356-2022</t>
        </is>
      </c>
      <c r="B8909" s="1" t="n">
        <v>44839</v>
      </c>
      <c r="C8909" s="1" t="n">
        <v>45212</v>
      </c>
      <c r="D8909" t="inlineStr">
        <is>
          <t>VÄSTRA GÖTALANDS LÄN</t>
        </is>
      </c>
      <c r="E8909" t="inlineStr">
        <is>
          <t>BENGTSFORS</t>
        </is>
      </c>
      <c r="F8909" t="inlineStr">
        <is>
          <t>Kommuner</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44886-2022</t>
        </is>
      </c>
      <c r="B8910" s="1" t="n">
        <v>44839</v>
      </c>
      <c r="C8910" s="1" t="n">
        <v>45212</v>
      </c>
      <c r="D8910" t="inlineStr">
        <is>
          <t>VÄSTRA GÖTALANDS LÄN</t>
        </is>
      </c>
      <c r="E8910" t="inlineStr">
        <is>
          <t>MUNKEDAL</t>
        </is>
      </c>
      <c r="F8910" t="inlineStr">
        <is>
          <t>Övriga Aktiebolag</t>
        </is>
      </c>
      <c r="G8910" t="n">
        <v>6.5</v>
      </c>
      <c r="H8910" t="n">
        <v>0</v>
      </c>
      <c r="I8910" t="n">
        <v>0</v>
      </c>
      <c r="J8910" t="n">
        <v>0</v>
      </c>
      <c r="K8910" t="n">
        <v>0</v>
      </c>
      <c r="L8910" t="n">
        <v>0</v>
      </c>
      <c r="M8910" t="n">
        <v>0</v>
      </c>
      <c r="N8910" t="n">
        <v>0</v>
      </c>
      <c r="O8910" t="n">
        <v>0</v>
      </c>
      <c r="P8910" t="n">
        <v>0</v>
      </c>
      <c r="Q8910" t="n">
        <v>0</v>
      </c>
      <c r="R8910" s="2" t="inlineStr"/>
    </row>
    <row r="8911" ht="15" customHeight="1">
      <c r="A8911" t="inlineStr">
        <is>
          <t>A 44155-2022</t>
        </is>
      </c>
      <c r="B8911" s="1" t="n">
        <v>44839</v>
      </c>
      <c r="C8911" s="1" t="n">
        <v>45212</v>
      </c>
      <c r="D8911" t="inlineStr">
        <is>
          <t>VÄSTRA GÖTALANDS LÄN</t>
        </is>
      </c>
      <c r="E8911" t="inlineStr">
        <is>
          <t>BORÅS</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44320-2022</t>
        </is>
      </c>
      <c r="B8912" s="1" t="n">
        <v>44839</v>
      </c>
      <c r="C8912" s="1" t="n">
        <v>45212</v>
      </c>
      <c r="D8912" t="inlineStr">
        <is>
          <t>VÄSTRA GÖTALANDS LÄN</t>
        </is>
      </c>
      <c r="E8912" t="inlineStr">
        <is>
          <t>BENGTSFORS</t>
        </is>
      </c>
      <c r="G8912" t="n">
        <v>0.6</v>
      </c>
      <c r="H8912" t="n">
        <v>0</v>
      </c>
      <c r="I8912" t="n">
        <v>0</v>
      </c>
      <c r="J8912" t="n">
        <v>0</v>
      </c>
      <c r="K8912" t="n">
        <v>0</v>
      </c>
      <c r="L8912" t="n">
        <v>0</v>
      </c>
      <c r="M8912" t="n">
        <v>0</v>
      </c>
      <c r="N8912" t="n">
        <v>0</v>
      </c>
      <c r="O8912" t="n">
        <v>0</v>
      </c>
      <c r="P8912" t="n">
        <v>0</v>
      </c>
      <c r="Q8912" t="n">
        <v>0</v>
      </c>
      <c r="R8912" s="2" t="inlineStr"/>
    </row>
    <row r="8913" ht="15" customHeight="1">
      <c r="A8913" t="inlineStr">
        <is>
          <t>A 44541-2022</t>
        </is>
      </c>
      <c r="B8913" s="1" t="n">
        <v>44840</v>
      </c>
      <c r="C8913" s="1" t="n">
        <v>45212</v>
      </c>
      <c r="D8913" t="inlineStr">
        <is>
          <t>VÄSTRA GÖTALANDS LÄN</t>
        </is>
      </c>
      <c r="E8913" t="inlineStr">
        <is>
          <t>UDDEVALLA</t>
        </is>
      </c>
      <c r="G8913" t="n">
        <v>5.1</v>
      </c>
      <c r="H8913" t="n">
        <v>0</v>
      </c>
      <c r="I8913" t="n">
        <v>0</v>
      </c>
      <c r="J8913" t="n">
        <v>0</v>
      </c>
      <c r="K8913" t="n">
        <v>0</v>
      </c>
      <c r="L8913" t="n">
        <v>0</v>
      </c>
      <c r="M8913" t="n">
        <v>0</v>
      </c>
      <c r="N8913" t="n">
        <v>0</v>
      </c>
      <c r="O8913" t="n">
        <v>0</v>
      </c>
      <c r="P8913" t="n">
        <v>0</v>
      </c>
      <c r="Q8913" t="n">
        <v>0</v>
      </c>
      <c r="R8913" s="2" t="inlineStr"/>
    </row>
    <row r="8914" ht="15" customHeight="1">
      <c r="A8914" t="inlineStr">
        <is>
          <t>A 44867-2022</t>
        </is>
      </c>
      <c r="B8914" s="1" t="n">
        <v>44840</v>
      </c>
      <c r="C8914" s="1" t="n">
        <v>45212</v>
      </c>
      <c r="D8914" t="inlineStr">
        <is>
          <t>VÄSTRA GÖTALANDS LÄN</t>
        </is>
      </c>
      <c r="E8914" t="inlineStr">
        <is>
          <t>SKÖVDE</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44876-2022</t>
        </is>
      </c>
      <c r="B8915" s="1" t="n">
        <v>44840</v>
      </c>
      <c r="C8915" s="1" t="n">
        <v>45212</v>
      </c>
      <c r="D8915" t="inlineStr">
        <is>
          <t>VÄSTRA GÖTALANDS LÄN</t>
        </is>
      </c>
      <c r="E8915" t="inlineStr">
        <is>
          <t>BENGTSFORS</t>
        </is>
      </c>
      <c r="G8915" t="n">
        <v>5</v>
      </c>
      <c r="H8915" t="n">
        <v>0</v>
      </c>
      <c r="I8915" t="n">
        <v>0</v>
      </c>
      <c r="J8915" t="n">
        <v>0</v>
      </c>
      <c r="K8915" t="n">
        <v>0</v>
      </c>
      <c r="L8915" t="n">
        <v>0</v>
      </c>
      <c r="M8915" t="n">
        <v>0</v>
      </c>
      <c r="N8915" t="n">
        <v>0</v>
      </c>
      <c r="O8915" t="n">
        <v>0</v>
      </c>
      <c r="P8915" t="n">
        <v>0</v>
      </c>
      <c r="Q8915" t="n">
        <v>0</v>
      </c>
      <c r="R8915" s="2" t="inlineStr"/>
    </row>
    <row r="8916" ht="15" customHeight="1">
      <c r="A8916" t="inlineStr">
        <is>
          <t>A 44796-2022</t>
        </is>
      </c>
      <c r="B8916" s="1" t="n">
        <v>44841</v>
      </c>
      <c r="C8916" s="1" t="n">
        <v>45212</v>
      </c>
      <c r="D8916" t="inlineStr">
        <is>
          <t>VÄSTRA GÖTALANDS LÄN</t>
        </is>
      </c>
      <c r="E8916" t="inlineStr">
        <is>
          <t>FÄRGELANDA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44826-2022</t>
        </is>
      </c>
      <c r="B8917" s="1" t="n">
        <v>44841</v>
      </c>
      <c r="C8917" s="1" t="n">
        <v>45212</v>
      </c>
      <c r="D8917" t="inlineStr">
        <is>
          <t>VÄSTRA GÖTALANDS LÄN</t>
        </is>
      </c>
      <c r="E8917" t="inlineStr">
        <is>
          <t>DALS-ED</t>
        </is>
      </c>
      <c r="F8917" t="inlineStr">
        <is>
          <t>Övriga Aktiebolag</t>
        </is>
      </c>
      <c r="G8917" t="n">
        <v>7.2</v>
      </c>
      <c r="H8917" t="n">
        <v>0</v>
      </c>
      <c r="I8917" t="n">
        <v>0</v>
      </c>
      <c r="J8917" t="n">
        <v>0</v>
      </c>
      <c r="K8917" t="n">
        <v>0</v>
      </c>
      <c r="L8917" t="n">
        <v>0</v>
      </c>
      <c r="M8917" t="n">
        <v>0</v>
      </c>
      <c r="N8917" t="n">
        <v>0</v>
      </c>
      <c r="O8917" t="n">
        <v>0</v>
      </c>
      <c r="P8917" t="n">
        <v>0</v>
      </c>
      <c r="Q8917" t="n">
        <v>0</v>
      </c>
      <c r="R8917" s="2" t="inlineStr"/>
    </row>
    <row r="8918" ht="15" customHeight="1">
      <c r="A8918" t="inlineStr">
        <is>
          <t>A 44940-2022</t>
        </is>
      </c>
      <c r="B8918" s="1" t="n">
        <v>44841</v>
      </c>
      <c r="C8918" s="1" t="n">
        <v>45212</v>
      </c>
      <c r="D8918" t="inlineStr">
        <is>
          <t>VÄSTRA GÖTALANDS LÄN</t>
        </is>
      </c>
      <c r="E8918" t="inlineStr">
        <is>
          <t>STRÖMSTAD</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45632-2022</t>
        </is>
      </c>
      <c r="B8919" s="1" t="n">
        <v>44842</v>
      </c>
      <c r="C8919" s="1" t="n">
        <v>45212</v>
      </c>
      <c r="D8919" t="inlineStr">
        <is>
          <t>VÄSTRA GÖTALANDS LÄN</t>
        </is>
      </c>
      <c r="E8919" t="inlineStr">
        <is>
          <t>TÖREBODA</t>
        </is>
      </c>
      <c r="G8919" t="n">
        <v>2</v>
      </c>
      <c r="H8919" t="n">
        <v>0</v>
      </c>
      <c r="I8919" t="n">
        <v>0</v>
      </c>
      <c r="J8919" t="n">
        <v>0</v>
      </c>
      <c r="K8919" t="n">
        <v>0</v>
      </c>
      <c r="L8919" t="n">
        <v>0</v>
      </c>
      <c r="M8919" t="n">
        <v>0</v>
      </c>
      <c r="N8919" t="n">
        <v>0</v>
      </c>
      <c r="O8919" t="n">
        <v>0</v>
      </c>
      <c r="P8919" t="n">
        <v>0</v>
      </c>
      <c r="Q8919" t="n">
        <v>0</v>
      </c>
      <c r="R8919" s="2" t="inlineStr"/>
    </row>
    <row r="8920" ht="15" customHeight="1">
      <c r="A8920" t="inlineStr">
        <is>
          <t>A 45636-2022</t>
        </is>
      </c>
      <c r="B8920" s="1" t="n">
        <v>44843</v>
      </c>
      <c r="C8920" s="1" t="n">
        <v>45212</v>
      </c>
      <c r="D8920" t="inlineStr">
        <is>
          <t>VÄSTRA GÖTALANDS LÄN</t>
        </is>
      </c>
      <c r="E8920" t="inlineStr">
        <is>
          <t>MARIESTAD</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45138-2022</t>
        </is>
      </c>
      <c r="B8921" s="1" t="n">
        <v>44844</v>
      </c>
      <c r="C8921" s="1" t="n">
        <v>45212</v>
      </c>
      <c r="D8921" t="inlineStr">
        <is>
          <t>VÄSTRA GÖTALANDS LÄN</t>
        </is>
      </c>
      <c r="E8921" t="inlineStr">
        <is>
          <t>MARIESTAD</t>
        </is>
      </c>
      <c r="F8921" t="inlineStr">
        <is>
          <t>Sveaskog</t>
        </is>
      </c>
      <c r="G8921" t="n">
        <v>3.3</v>
      </c>
      <c r="H8921" t="n">
        <v>0</v>
      </c>
      <c r="I8921" t="n">
        <v>0</v>
      </c>
      <c r="J8921" t="n">
        <v>0</v>
      </c>
      <c r="K8921" t="n">
        <v>0</v>
      </c>
      <c r="L8921" t="n">
        <v>0</v>
      </c>
      <c r="M8921" t="n">
        <v>0</v>
      </c>
      <c r="N8921" t="n">
        <v>0</v>
      </c>
      <c r="O8921" t="n">
        <v>0</v>
      </c>
      <c r="P8921" t="n">
        <v>0</v>
      </c>
      <c r="Q8921" t="n">
        <v>0</v>
      </c>
      <c r="R8921" s="2" t="inlineStr"/>
    </row>
    <row r="8922" ht="15" customHeight="1">
      <c r="A8922" t="inlineStr">
        <is>
          <t>A 45392-2022</t>
        </is>
      </c>
      <c r="B8922" s="1" t="n">
        <v>44844</v>
      </c>
      <c r="C8922" s="1" t="n">
        <v>45212</v>
      </c>
      <c r="D8922" t="inlineStr">
        <is>
          <t>VÄSTRA GÖTALANDS LÄN</t>
        </is>
      </c>
      <c r="E8922" t="inlineStr">
        <is>
          <t>BENGTSFORS</t>
        </is>
      </c>
      <c r="G8922" t="n">
        <v>1.4</v>
      </c>
      <c r="H8922" t="n">
        <v>0</v>
      </c>
      <c r="I8922" t="n">
        <v>0</v>
      </c>
      <c r="J8922" t="n">
        <v>0</v>
      </c>
      <c r="K8922" t="n">
        <v>0</v>
      </c>
      <c r="L8922" t="n">
        <v>0</v>
      </c>
      <c r="M8922" t="n">
        <v>0</v>
      </c>
      <c r="N8922" t="n">
        <v>0</v>
      </c>
      <c r="O8922" t="n">
        <v>0</v>
      </c>
      <c r="P8922" t="n">
        <v>0</v>
      </c>
      <c r="Q8922" t="n">
        <v>0</v>
      </c>
      <c r="R8922" s="2" t="inlineStr"/>
    </row>
    <row r="8923" ht="15" customHeight="1">
      <c r="A8923" t="inlineStr">
        <is>
          <t>A 45239-2022</t>
        </is>
      </c>
      <c r="B8923" s="1" t="n">
        <v>44844</v>
      </c>
      <c r="C8923" s="1" t="n">
        <v>45212</v>
      </c>
      <c r="D8923" t="inlineStr">
        <is>
          <t>VÄSTRA GÖTALANDS LÄN</t>
        </is>
      </c>
      <c r="E8923" t="inlineStr">
        <is>
          <t>GÖTENE</t>
        </is>
      </c>
      <c r="F8923" t="inlineStr">
        <is>
          <t>Sveaskog</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45141-2022</t>
        </is>
      </c>
      <c r="B8924" s="1" t="n">
        <v>44844</v>
      </c>
      <c r="C8924" s="1" t="n">
        <v>45212</v>
      </c>
      <c r="D8924" t="inlineStr">
        <is>
          <t>VÄSTRA GÖTALANDS LÄN</t>
        </is>
      </c>
      <c r="E8924" t="inlineStr">
        <is>
          <t>MARIESTAD</t>
        </is>
      </c>
      <c r="F8924" t="inlineStr">
        <is>
          <t>Sveaskog</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45538-2022</t>
        </is>
      </c>
      <c r="B8925" s="1" t="n">
        <v>44845</v>
      </c>
      <c r="C8925" s="1" t="n">
        <v>45212</v>
      </c>
      <c r="D8925" t="inlineStr">
        <is>
          <t>VÄSTRA GÖTALANDS LÄN</t>
        </is>
      </c>
      <c r="E8925" t="inlineStr">
        <is>
          <t>BORÅS</t>
        </is>
      </c>
      <c r="G8925" t="n">
        <v>5.6</v>
      </c>
      <c r="H8925" t="n">
        <v>0</v>
      </c>
      <c r="I8925" t="n">
        <v>0</v>
      </c>
      <c r="J8925" t="n">
        <v>0</v>
      </c>
      <c r="K8925" t="n">
        <v>0</v>
      </c>
      <c r="L8925" t="n">
        <v>0</v>
      </c>
      <c r="M8925" t="n">
        <v>0</v>
      </c>
      <c r="N8925" t="n">
        <v>0</v>
      </c>
      <c r="O8925" t="n">
        <v>0</v>
      </c>
      <c r="P8925" t="n">
        <v>0</v>
      </c>
      <c r="Q8925" t="n">
        <v>0</v>
      </c>
      <c r="R8925" s="2" t="inlineStr"/>
    </row>
    <row r="8926" ht="15" customHeight="1">
      <c r="A8926" t="inlineStr">
        <is>
          <t>A 45647-2022</t>
        </is>
      </c>
      <c r="B8926" s="1" t="n">
        <v>44845</v>
      </c>
      <c r="C8926" s="1" t="n">
        <v>45212</v>
      </c>
      <c r="D8926" t="inlineStr">
        <is>
          <t>VÄSTRA GÖTALANDS LÄN</t>
        </is>
      </c>
      <c r="E8926" t="inlineStr">
        <is>
          <t>ULRICEHAMN</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45555-2022</t>
        </is>
      </c>
      <c r="B8927" s="1" t="n">
        <v>44845</v>
      </c>
      <c r="C8927" s="1" t="n">
        <v>45212</v>
      </c>
      <c r="D8927" t="inlineStr">
        <is>
          <t>VÄSTRA GÖTALANDS LÄN</t>
        </is>
      </c>
      <c r="E8927" t="inlineStr">
        <is>
          <t>BORÅS</t>
        </is>
      </c>
      <c r="G8927" t="n">
        <v>11.3</v>
      </c>
      <c r="H8927" t="n">
        <v>0</v>
      </c>
      <c r="I8927" t="n">
        <v>0</v>
      </c>
      <c r="J8927" t="n">
        <v>0</v>
      </c>
      <c r="K8927" t="n">
        <v>0</v>
      </c>
      <c r="L8927" t="n">
        <v>0</v>
      </c>
      <c r="M8927" t="n">
        <v>0</v>
      </c>
      <c r="N8927" t="n">
        <v>0</v>
      </c>
      <c r="O8927" t="n">
        <v>0</v>
      </c>
      <c r="P8927" t="n">
        <v>0</v>
      </c>
      <c r="Q8927" t="n">
        <v>0</v>
      </c>
      <c r="R8927" s="2" t="inlineStr"/>
    </row>
    <row r="8928" ht="15" customHeight="1">
      <c r="A8928" t="inlineStr">
        <is>
          <t>A 45844-2022</t>
        </is>
      </c>
      <c r="B8928" s="1" t="n">
        <v>44846</v>
      </c>
      <c r="C8928" s="1" t="n">
        <v>45212</v>
      </c>
      <c r="D8928" t="inlineStr">
        <is>
          <t>VÄSTRA GÖTALANDS LÄN</t>
        </is>
      </c>
      <c r="E8928" t="inlineStr">
        <is>
          <t>LERUM</t>
        </is>
      </c>
      <c r="G8928" t="n">
        <v>0.6</v>
      </c>
      <c r="H8928" t="n">
        <v>0</v>
      </c>
      <c r="I8928" t="n">
        <v>0</v>
      </c>
      <c r="J8928" t="n">
        <v>0</v>
      </c>
      <c r="K8928" t="n">
        <v>0</v>
      </c>
      <c r="L8928" t="n">
        <v>0</v>
      </c>
      <c r="M8928" t="n">
        <v>0</v>
      </c>
      <c r="N8928" t="n">
        <v>0</v>
      </c>
      <c r="O8928" t="n">
        <v>0</v>
      </c>
      <c r="P8928" t="n">
        <v>0</v>
      </c>
      <c r="Q8928" t="n">
        <v>0</v>
      </c>
      <c r="R8928" s="2" t="inlineStr"/>
    </row>
    <row r="8929" ht="15" customHeight="1">
      <c r="A8929" t="inlineStr">
        <is>
          <t>A 45724-2022</t>
        </is>
      </c>
      <c r="B8929" s="1" t="n">
        <v>44846</v>
      </c>
      <c r="C8929" s="1" t="n">
        <v>45212</v>
      </c>
      <c r="D8929" t="inlineStr">
        <is>
          <t>VÄSTRA GÖTALANDS LÄN</t>
        </is>
      </c>
      <c r="E8929" t="inlineStr">
        <is>
          <t>ULRICEHAMN</t>
        </is>
      </c>
      <c r="G8929" t="n">
        <v>5.5</v>
      </c>
      <c r="H8929" t="n">
        <v>0</v>
      </c>
      <c r="I8929" t="n">
        <v>0</v>
      </c>
      <c r="J8929" t="n">
        <v>0</v>
      </c>
      <c r="K8929" t="n">
        <v>0</v>
      </c>
      <c r="L8929" t="n">
        <v>0</v>
      </c>
      <c r="M8929" t="n">
        <v>0</v>
      </c>
      <c r="N8929" t="n">
        <v>0</v>
      </c>
      <c r="O8929" t="n">
        <v>0</v>
      </c>
      <c r="P8929" t="n">
        <v>0</v>
      </c>
      <c r="Q8929" t="n">
        <v>0</v>
      </c>
      <c r="R8929" s="2" t="inlineStr"/>
    </row>
    <row r="8930" ht="15" customHeight="1">
      <c r="A8930" t="inlineStr">
        <is>
          <t>A 45746-2022</t>
        </is>
      </c>
      <c r="B8930" s="1" t="n">
        <v>44846</v>
      </c>
      <c r="C8930" s="1" t="n">
        <v>45212</v>
      </c>
      <c r="D8930" t="inlineStr">
        <is>
          <t>VÄSTRA GÖTALANDS LÄN</t>
        </is>
      </c>
      <c r="E8930" t="inlineStr">
        <is>
          <t>BOLLEBYGD</t>
        </is>
      </c>
      <c r="G8930" t="n">
        <v>1.1</v>
      </c>
      <c r="H8930" t="n">
        <v>0</v>
      </c>
      <c r="I8930" t="n">
        <v>0</v>
      </c>
      <c r="J8930" t="n">
        <v>0</v>
      </c>
      <c r="K8930" t="n">
        <v>0</v>
      </c>
      <c r="L8930" t="n">
        <v>0</v>
      </c>
      <c r="M8930" t="n">
        <v>0</v>
      </c>
      <c r="N8930" t="n">
        <v>0</v>
      </c>
      <c r="O8930" t="n">
        <v>0</v>
      </c>
      <c r="P8930" t="n">
        <v>0</v>
      </c>
      <c r="Q8930" t="n">
        <v>0</v>
      </c>
      <c r="R8930" s="2" t="inlineStr"/>
    </row>
    <row r="8931" ht="15" customHeight="1">
      <c r="A8931" t="inlineStr">
        <is>
          <t>A 45980-2022</t>
        </is>
      </c>
      <c r="B8931" s="1" t="n">
        <v>44846</v>
      </c>
      <c r="C8931" s="1" t="n">
        <v>45212</v>
      </c>
      <c r="D8931" t="inlineStr">
        <is>
          <t>VÄSTRA GÖTALANDS LÄN</t>
        </is>
      </c>
      <c r="E8931" t="inlineStr">
        <is>
          <t>HJO</t>
        </is>
      </c>
      <c r="G8931" t="n">
        <v>0.1</v>
      </c>
      <c r="H8931" t="n">
        <v>0</v>
      </c>
      <c r="I8931" t="n">
        <v>0</v>
      </c>
      <c r="J8931" t="n">
        <v>0</v>
      </c>
      <c r="K8931" t="n">
        <v>0</v>
      </c>
      <c r="L8931" t="n">
        <v>0</v>
      </c>
      <c r="M8931" t="n">
        <v>0</v>
      </c>
      <c r="N8931" t="n">
        <v>0</v>
      </c>
      <c r="O8931" t="n">
        <v>0</v>
      </c>
      <c r="P8931" t="n">
        <v>0</v>
      </c>
      <c r="Q8931" t="n">
        <v>0</v>
      </c>
      <c r="R8931" s="2" t="inlineStr"/>
    </row>
    <row r="8932" ht="15" customHeight="1">
      <c r="A8932" t="inlineStr">
        <is>
          <t>A 46431-2022</t>
        </is>
      </c>
      <c r="B8932" s="1" t="n">
        <v>44846</v>
      </c>
      <c r="C8932" s="1" t="n">
        <v>45212</v>
      </c>
      <c r="D8932" t="inlineStr">
        <is>
          <t>VÄSTRA GÖTALANDS LÄN</t>
        </is>
      </c>
      <c r="E8932" t="inlineStr">
        <is>
          <t>GULLSPÅNG</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45990-2022</t>
        </is>
      </c>
      <c r="B8933" s="1" t="n">
        <v>44846</v>
      </c>
      <c r="C8933" s="1" t="n">
        <v>45212</v>
      </c>
      <c r="D8933" t="inlineStr">
        <is>
          <t>VÄSTRA GÖTALANDS LÄN</t>
        </is>
      </c>
      <c r="E8933" t="inlineStr">
        <is>
          <t>KUNGÄLV</t>
        </is>
      </c>
      <c r="G8933" t="n">
        <v>3.3</v>
      </c>
      <c r="H8933" t="n">
        <v>0</v>
      </c>
      <c r="I8933" t="n">
        <v>0</v>
      </c>
      <c r="J8933" t="n">
        <v>0</v>
      </c>
      <c r="K8933" t="n">
        <v>0</v>
      </c>
      <c r="L8933" t="n">
        <v>0</v>
      </c>
      <c r="M8933" t="n">
        <v>0</v>
      </c>
      <c r="N8933" t="n">
        <v>0</v>
      </c>
      <c r="O8933" t="n">
        <v>0</v>
      </c>
      <c r="P8933" t="n">
        <v>0</v>
      </c>
      <c r="Q8933" t="n">
        <v>0</v>
      </c>
      <c r="R8933" s="2" t="inlineStr"/>
    </row>
    <row r="8934" ht="15" customHeight="1">
      <c r="A8934" t="inlineStr">
        <is>
          <t>A 46140-2022</t>
        </is>
      </c>
      <c r="B8934" s="1" t="n">
        <v>44846</v>
      </c>
      <c r="C8934" s="1" t="n">
        <v>45212</v>
      </c>
      <c r="D8934" t="inlineStr">
        <is>
          <t>VÄSTRA GÖTALANDS LÄN</t>
        </is>
      </c>
      <c r="E8934" t="inlineStr">
        <is>
          <t>TANUM</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46231-2022</t>
        </is>
      </c>
      <c r="B8935" s="1" t="n">
        <v>44847</v>
      </c>
      <c r="C8935" s="1" t="n">
        <v>45212</v>
      </c>
      <c r="D8935" t="inlineStr">
        <is>
          <t>VÄSTRA GÖTALANDS LÄN</t>
        </is>
      </c>
      <c r="E8935" t="inlineStr">
        <is>
          <t>SKÖVDE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46454-2022</t>
        </is>
      </c>
      <c r="B8936" s="1" t="n">
        <v>44847</v>
      </c>
      <c r="C8936" s="1" t="n">
        <v>45212</v>
      </c>
      <c r="D8936" t="inlineStr">
        <is>
          <t>VÄSTRA GÖTALANDS LÄN</t>
        </is>
      </c>
      <c r="E8936" t="inlineStr">
        <is>
          <t>HERRLJUNGA</t>
        </is>
      </c>
      <c r="G8936" t="n">
        <v>0.5</v>
      </c>
      <c r="H8936" t="n">
        <v>0</v>
      </c>
      <c r="I8936" t="n">
        <v>0</v>
      </c>
      <c r="J8936" t="n">
        <v>0</v>
      </c>
      <c r="K8936" t="n">
        <v>0</v>
      </c>
      <c r="L8936" t="n">
        <v>0</v>
      </c>
      <c r="M8936" t="n">
        <v>0</v>
      </c>
      <c r="N8936" t="n">
        <v>0</v>
      </c>
      <c r="O8936" t="n">
        <v>0</v>
      </c>
      <c r="P8936" t="n">
        <v>0</v>
      </c>
      <c r="Q8936" t="n">
        <v>0</v>
      </c>
      <c r="R8936" s="2" t="inlineStr"/>
    </row>
    <row r="8937" ht="15" customHeight="1">
      <c r="A8937" t="inlineStr">
        <is>
          <t>A 46502-2022</t>
        </is>
      </c>
      <c r="B8937" s="1" t="n">
        <v>44847</v>
      </c>
      <c r="C8937" s="1" t="n">
        <v>45212</v>
      </c>
      <c r="D8937" t="inlineStr">
        <is>
          <t>VÄSTRA GÖTALANDS LÄN</t>
        </is>
      </c>
      <c r="E8937" t="inlineStr">
        <is>
          <t>GULLSPÅNG</t>
        </is>
      </c>
      <c r="G8937" t="n">
        <v>3.2</v>
      </c>
      <c r="H8937" t="n">
        <v>0</v>
      </c>
      <c r="I8937" t="n">
        <v>0</v>
      </c>
      <c r="J8937" t="n">
        <v>0</v>
      </c>
      <c r="K8937" t="n">
        <v>0</v>
      </c>
      <c r="L8937" t="n">
        <v>0</v>
      </c>
      <c r="M8937" t="n">
        <v>0</v>
      </c>
      <c r="N8937" t="n">
        <v>0</v>
      </c>
      <c r="O8937" t="n">
        <v>0</v>
      </c>
      <c r="P8937" t="n">
        <v>0</v>
      </c>
      <c r="Q8937" t="n">
        <v>0</v>
      </c>
      <c r="R8937" s="2" t="inlineStr"/>
    </row>
    <row r="8938" ht="15" customHeight="1">
      <c r="A8938" t="inlineStr">
        <is>
          <t>A 46523-2022</t>
        </is>
      </c>
      <c r="B8938" s="1" t="n">
        <v>44847</v>
      </c>
      <c r="C8938" s="1" t="n">
        <v>45212</v>
      </c>
      <c r="D8938" t="inlineStr">
        <is>
          <t>VÄSTRA GÖTALANDS LÄN</t>
        </is>
      </c>
      <c r="E8938" t="inlineStr">
        <is>
          <t>MARIESTAD</t>
        </is>
      </c>
      <c r="G8938" t="n">
        <v>4.2</v>
      </c>
      <c r="H8938" t="n">
        <v>0</v>
      </c>
      <c r="I8938" t="n">
        <v>0</v>
      </c>
      <c r="J8938" t="n">
        <v>0</v>
      </c>
      <c r="K8938" t="n">
        <v>0</v>
      </c>
      <c r="L8938" t="n">
        <v>0</v>
      </c>
      <c r="M8938" t="n">
        <v>0</v>
      </c>
      <c r="N8938" t="n">
        <v>0</v>
      </c>
      <c r="O8938" t="n">
        <v>0</v>
      </c>
      <c r="P8938" t="n">
        <v>0</v>
      </c>
      <c r="Q8938" t="n">
        <v>0</v>
      </c>
      <c r="R8938" s="2" t="inlineStr"/>
    </row>
    <row r="8939" ht="15" customHeight="1">
      <c r="A8939" t="inlineStr">
        <is>
          <t>A 46759-2022</t>
        </is>
      </c>
      <c r="B8939" s="1" t="n">
        <v>44847</v>
      </c>
      <c r="C8939" s="1" t="n">
        <v>45212</v>
      </c>
      <c r="D8939" t="inlineStr">
        <is>
          <t>VÄSTRA GÖTALANDS LÄN</t>
        </is>
      </c>
      <c r="E8939" t="inlineStr">
        <is>
          <t>TÖREBODA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46113-2022</t>
        </is>
      </c>
      <c r="B8940" s="1" t="n">
        <v>44847</v>
      </c>
      <c r="C8940" s="1" t="n">
        <v>45212</v>
      </c>
      <c r="D8940" t="inlineStr">
        <is>
          <t>VÄSTRA GÖTALANDS LÄN</t>
        </is>
      </c>
      <c r="E8940" t="inlineStr">
        <is>
          <t>HERRLJUNGA</t>
        </is>
      </c>
      <c r="F8940" t="inlineStr">
        <is>
          <t>Sveaskog</t>
        </is>
      </c>
      <c r="G8940" t="n">
        <v>2</v>
      </c>
      <c r="H8940" t="n">
        <v>0</v>
      </c>
      <c r="I8940" t="n">
        <v>0</v>
      </c>
      <c r="J8940" t="n">
        <v>0</v>
      </c>
      <c r="K8940" t="n">
        <v>0</v>
      </c>
      <c r="L8940" t="n">
        <v>0</v>
      </c>
      <c r="M8940" t="n">
        <v>0</v>
      </c>
      <c r="N8940" t="n">
        <v>0</v>
      </c>
      <c r="O8940" t="n">
        <v>0</v>
      </c>
      <c r="P8940" t="n">
        <v>0</v>
      </c>
      <c r="Q8940" t="n">
        <v>0</v>
      </c>
      <c r="R8940" s="2" t="inlineStr"/>
    </row>
    <row r="8941" ht="15" customHeight="1">
      <c r="A8941" t="inlineStr">
        <is>
          <t>A 46480-2022</t>
        </is>
      </c>
      <c r="B8941" s="1" t="n">
        <v>44847</v>
      </c>
      <c r="C8941" s="1" t="n">
        <v>45212</v>
      </c>
      <c r="D8941" t="inlineStr">
        <is>
          <t>VÄSTRA GÖTALANDS LÄN</t>
        </is>
      </c>
      <c r="E8941" t="inlineStr">
        <is>
          <t>GULLSPÅNG</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46752-2022</t>
        </is>
      </c>
      <c r="B8942" s="1" t="n">
        <v>44847</v>
      </c>
      <c r="C8942" s="1" t="n">
        <v>45212</v>
      </c>
      <c r="D8942" t="inlineStr">
        <is>
          <t>VÄSTRA GÖTALANDS LÄN</t>
        </is>
      </c>
      <c r="E8942" t="inlineStr">
        <is>
          <t>TÖREBODA</t>
        </is>
      </c>
      <c r="G8942" t="n">
        <v>0.3</v>
      </c>
      <c r="H8942" t="n">
        <v>0</v>
      </c>
      <c r="I8942" t="n">
        <v>0</v>
      </c>
      <c r="J8942" t="n">
        <v>0</v>
      </c>
      <c r="K8942" t="n">
        <v>0</v>
      </c>
      <c r="L8942" t="n">
        <v>0</v>
      </c>
      <c r="M8942" t="n">
        <v>0</v>
      </c>
      <c r="N8942" t="n">
        <v>0</v>
      </c>
      <c r="O8942" t="n">
        <v>0</v>
      </c>
      <c r="P8942" t="n">
        <v>0</v>
      </c>
      <c r="Q8942" t="n">
        <v>0</v>
      </c>
      <c r="R8942" s="2" t="inlineStr"/>
    </row>
    <row r="8943" ht="15" customHeight="1">
      <c r="A8943" t="inlineStr">
        <is>
          <t>A 46574-2022</t>
        </is>
      </c>
      <c r="B8943" s="1" t="n">
        <v>44848</v>
      </c>
      <c r="C8943" s="1" t="n">
        <v>45212</v>
      </c>
      <c r="D8943" t="inlineStr">
        <is>
          <t>VÄSTRA GÖTALANDS LÄN</t>
        </is>
      </c>
      <c r="E8943" t="inlineStr">
        <is>
          <t>BORÅS</t>
        </is>
      </c>
      <c r="G8943" t="n">
        <v>1.6</v>
      </c>
      <c r="H8943" t="n">
        <v>0</v>
      </c>
      <c r="I8943" t="n">
        <v>0</v>
      </c>
      <c r="J8943" t="n">
        <v>0</v>
      </c>
      <c r="K8943" t="n">
        <v>0</v>
      </c>
      <c r="L8943" t="n">
        <v>0</v>
      </c>
      <c r="M8943" t="n">
        <v>0</v>
      </c>
      <c r="N8943" t="n">
        <v>0</v>
      </c>
      <c r="O8943" t="n">
        <v>0</v>
      </c>
      <c r="P8943" t="n">
        <v>0</v>
      </c>
      <c r="Q8943" t="n">
        <v>0</v>
      </c>
      <c r="R8943" s="2" t="inlineStr"/>
    </row>
    <row r="8944" ht="15" customHeight="1">
      <c r="A8944" t="inlineStr">
        <is>
          <t>A 46359-2022</t>
        </is>
      </c>
      <c r="B8944" s="1" t="n">
        <v>44848</v>
      </c>
      <c r="C8944" s="1" t="n">
        <v>45212</v>
      </c>
      <c r="D8944" t="inlineStr">
        <is>
          <t>VÄSTRA GÖTALANDS LÄN</t>
        </is>
      </c>
      <c r="E8944" t="inlineStr">
        <is>
          <t>BOLLEBYGD</t>
        </is>
      </c>
      <c r="G8944" t="n">
        <v>0.5</v>
      </c>
      <c r="H8944" t="n">
        <v>0</v>
      </c>
      <c r="I8944" t="n">
        <v>0</v>
      </c>
      <c r="J8944" t="n">
        <v>0</v>
      </c>
      <c r="K8944" t="n">
        <v>0</v>
      </c>
      <c r="L8944" t="n">
        <v>0</v>
      </c>
      <c r="M8944" t="n">
        <v>0</v>
      </c>
      <c r="N8944" t="n">
        <v>0</v>
      </c>
      <c r="O8944" t="n">
        <v>0</v>
      </c>
      <c r="P8944" t="n">
        <v>0</v>
      </c>
      <c r="Q8944" t="n">
        <v>0</v>
      </c>
      <c r="R8944" s="2" t="inlineStr"/>
    </row>
    <row r="8945" ht="15" customHeight="1">
      <c r="A8945" t="inlineStr">
        <is>
          <t>A 46381-2022</t>
        </is>
      </c>
      <c r="B8945" s="1" t="n">
        <v>44848</v>
      </c>
      <c r="C8945" s="1" t="n">
        <v>45212</v>
      </c>
      <c r="D8945" t="inlineStr">
        <is>
          <t>VÄSTRA GÖTALANDS LÄN</t>
        </is>
      </c>
      <c r="E8945" t="inlineStr">
        <is>
          <t>GÖTENE</t>
        </is>
      </c>
      <c r="F8945" t="inlineStr">
        <is>
          <t>Sveaskog</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46371-2022</t>
        </is>
      </c>
      <c r="B8946" s="1" t="n">
        <v>44848</v>
      </c>
      <c r="C8946" s="1" t="n">
        <v>45212</v>
      </c>
      <c r="D8946" t="inlineStr">
        <is>
          <t>VÄSTRA GÖTALANDS LÄN</t>
        </is>
      </c>
      <c r="E8946" t="inlineStr">
        <is>
          <t>STRÖMSTAD</t>
        </is>
      </c>
      <c r="F8946" t="inlineStr">
        <is>
          <t>Kommuner</t>
        </is>
      </c>
      <c r="G8946" t="n">
        <v>5.1</v>
      </c>
      <c r="H8946" t="n">
        <v>0</v>
      </c>
      <c r="I8946" t="n">
        <v>0</v>
      </c>
      <c r="J8946" t="n">
        <v>0</v>
      </c>
      <c r="K8946" t="n">
        <v>0</v>
      </c>
      <c r="L8946" t="n">
        <v>0</v>
      </c>
      <c r="M8946" t="n">
        <v>0</v>
      </c>
      <c r="N8946" t="n">
        <v>0</v>
      </c>
      <c r="O8946" t="n">
        <v>0</v>
      </c>
      <c r="P8946" t="n">
        <v>0</v>
      </c>
      <c r="Q8946" t="n">
        <v>0</v>
      </c>
      <c r="R8946" s="2" t="inlineStr"/>
    </row>
    <row r="8947" ht="15" customHeight="1">
      <c r="A8947" t="inlineStr">
        <is>
          <t>A 46675-2022</t>
        </is>
      </c>
      <c r="B8947" s="1" t="n">
        <v>44851</v>
      </c>
      <c r="C8947" s="1" t="n">
        <v>45212</v>
      </c>
      <c r="D8947" t="inlineStr">
        <is>
          <t>VÄSTRA GÖTALANDS LÄN</t>
        </is>
      </c>
      <c r="E8947" t="inlineStr">
        <is>
          <t>TROLLHÄTTAN</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46724-2022</t>
        </is>
      </c>
      <c r="B8948" s="1" t="n">
        <v>44851</v>
      </c>
      <c r="C8948" s="1" t="n">
        <v>45212</v>
      </c>
      <c r="D8948" t="inlineStr">
        <is>
          <t>VÄSTRA GÖTALANDS LÄN</t>
        </is>
      </c>
      <c r="E8948" t="inlineStr">
        <is>
          <t>STRÖMSTAD</t>
        </is>
      </c>
      <c r="G8948" t="n">
        <v>1</v>
      </c>
      <c r="H8948" t="n">
        <v>0</v>
      </c>
      <c r="I8948" t="n">
        <v>0</v>
      </c>
      <c r="J8948" t="n">
        <v>0</v>
      </c>
      <c r="K8948" t="n">
        <v>0</v>
      </c>
      <c r="L8948" t="n">
        <v>0</v>
      </c>
      <c r="M8948" t="n">
        <v>0</v>
      </c>
      <c r="N8948" t="n">
        <v>0</v>
      </c>
      <c r="O8948" t="n">
        <v>0</v>
      </c>
      <c r="P8948" t="n">
        <v>0</v>
      </c>
      <c r="Q8948" t="n">
        <v>0</v>
      </c>
      <c r="R8948" s="2" t="inlineStr"/>
    </row>
    <row r="8949" ht="15" customHeight="1">
      <c r="A8949" t="inlineStr">
        <is>
          <t>A 46723-2022</t>
        </is>
      </c>
      <c r="B8949" s="1" t="n">
        <v>44851</v>
      </c>
      <c r="C8949" s="1" t="n">
        <v>45212</v>
      </c>
      <c r="D8949" t="inlineStr">
        <is>
          <t>VÄSTRA GÖTALANDS LÄN</t>
        </is>
      </c>
      <c r="E8949" t="inlineStr">
        <is>
          <t>BENGTSFORS</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46687-2022</t>
        </is>
      </c>
      <c r="B8950" s="1" t="n">
        <v>44851</v>
      </c>
      <c r="C8950" s="1" t="n">
        <v>45212</v>
      </c>
      <c r="D8950" t="inlineStr">
        <is>
          <t>VÄSTRA GÖTALANDS LÄN</t>
        </is>
      </c>
      <c r="E8950" t="inlineStr">
        <is>
          <t>TRANEMO</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46714-2022</t>
        </is>
      </c>
      <c r="B8951" s="1" t="n">
        <v>44851</v>
      </c>
      <c r="C8951" s="1" t="n">
        <v>45212</v>
      </c>
      <c r="D8951" t="inlineStr">
        <is>
          <t>VÄSTRA GÖTALANDS LÄN</t>
        </is>
      </c>
      <c r="E8951" t="inlineStr">
        <is>
          <t>VÄNERSBORG</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46835-2022</t>
        </is>
      </c>
      <c r="B8952" s="1" t="n">
        <v>44851</v>
      </c>
      <c r="C8952" s="1" t="n">
        <v>45212</v>
      </c>
      <c r="D8952" t="inlineStr">
        <is>
          <t>VÄSTRA GÖTALANDS LÄN</t>
        </is>
      </c>
      <c r="E8952" t="inlineStr">
        <is>
          <t>TRANEMO</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46900-2022</t>
        </is>
      </c>
      <c r="B8953" s="1" t="n">
        <v>44851</v>
      </c>
      <c r="C8953" s="1" t="n">
        <v>45212</v>
      </c>
      <c r="D8953" t="inlineStr">
        <is>
          <t>VÄSTRA GÖTALANDS LÄN</t>
        </is>
      </c>
      <c r="E8953" t="inlineStr">
        <is>
          <t>MARIESTAD</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47234-2022</t>
        </is>
      </c>
      <c r="B8954" s="1" t="n">
        <v>44852</v>
      </c>
      <c r="C8954" s="1" t="n">
        <v>45212</v>
      </c>
      <c r="D8954" t="inlineStr">
        <is>
          <t>VÄSTRA GÖTALANDS LÄN</t>
        </is>
      </c>
      <c r="E8954" t="inlineStr">
        <is>
          <t>ALINGSÅS</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47596-2022</t>
        </is>
      </c>
      <c r="B8955" s="1" t="n">
        <v>44852</v>
      </c>
      <c r="C8955" s="1" t="n">
        <v>45212</v>
      </c>
      <c r="D8955" t="inlineStr">
        <is>
          <t>VÄSTRA GÖTALANDS LÄN</t>
        </is>
      </c>
      <c r="E8955" t="inlineStr">
        <is>
          <t>TANUM</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47034-2022</t>
        </is>
      </c>
      <c r="B8956" s="1" t="n">
        <v>44852</v>
      </c>
      <c r="C8956" s="1" t="n">
        <v>45212</v>
      </c>
      <c r="D8956" t="inlineStr">
        <is>
          <t>VÄSTRA GÖTALANDS LÄN</t>
        </is>
      </c>
      <c r="E8956" t="inlineStr">
        <is>
          <t>MARIESTAD</t>
        </is>
      </c>
      <c r="G8956" t="n">
        <v>10.5</v>
      </c>
      <c r="H8956" t="n">
        <v>0</v>
      </c>
      <c r="I8956" t="n">
        <v>0</v>
      </c>
      <c r="J8956" t="n">
        <v>0</v>
      </c>
      <c r="K8956" t="n">
        <v>0</v>
      </c>
      <c r="L8956" t="n">
        <v>0</v>
      </c>
      <c r="M8956" t="n">
        <v>0</v>
      </c>
      <c r="N8956" t="n">
        <v>0</v>
      </c>
      <c r="O8956" t="n">
        <v>0</v>
      </c>
      <c r="P8956" t="n">
        <v>0</v>
      </c>
      <c r="Q8956" t="n">
        <v>0</v>
      </c>
      <c r="R8956" s="2" t="inlineStr"/>
    </row>
    <row r="8957" ht="15" customHeight="1">
      <c r="A8957" t="inlineStr">
        <is>
          <t>A 47140-2022</t>
        </is>
      </c>
      <c r="B8957" s="1" t="n">
        <v>44852</v>
      </c>
      <c r="C8957" s="1" t="n">
        <v>45212</v>
      </c>
      <c r="D8957" t="inlineStr">
        <is>
          <t>VÄSTRA GÖTALANDS LÄN</t>
        </is>
      </c>
      <c r="E8957" t="inlineStr">
        <is>
          <t>BENGTSFORS</t>
        </is>
      </c>
      <c r="G8957" t="n">
        <v>9.1</v>
      </c>
      <c r="H8957" t="n">
        <v>0</v>
      </c>
      <c r="I8957" t="n">
        <v>0</v>
      </c>
      <c r="J8957" t="n">
        <v>0</v>
      </c>
      <c r="K8957" t="n">
        <v>0</v>
      </c>
      <c r="L8957" t="n">
        <v>0</v>
      </c>
      <c r="M8957" t="n">
        <v>0</v>
      </c>
      <c r="N8957" t="n">
        <v>0</v>
      </c>
      <c r="O8957" t="n">
        <v>0</v>
      </c>
      <c r="P8957" t="n">
        <v>0</v>
      </c>
      <c r="Q8957" t="n">
        <v>0</v>
      </c>
      <c r="R8957" s="2" t="inlineStr"/>
    </row>
    <row r="8958" ht="15" customHeight="1">
      <c r="A8958" t="inlineStr">
        <is>
          <t>A 47088-2022</t>
        </is>
      </c>
      <c r="B8958" s="1" t="n">
        <v>44852</v>
      </c>
      <c r="C8958" s="1" t="n">
        <v>45212</v>
      </c>
      <c r="D8958" t="inlineStr">
        <is>
          <t>VÄSTRA GÖTALANDS LÄN</t>
        </is>
      </c>
      <c r="E8958" t="inlineStr">
        <is>
          <t>TRANEMO</t>
        </is>
      </c>
      <c r="G8958" t="n">
        <v>3.3</v>
      </c>
      <c r="H8958" t="n">
        <v>0</v>
      </c>
      <c r="I8958" t="n">
        <v>0</v>
      </c>
      <c r="J8958" t="n">
        <v>0</v>
      </c>
      <c r="K8958" t="n">
        <v>0</v>
      </c>
      <c r="L8958" t="n">
        <v>0</v>
      </c>
      <c r="M8958" t="n">
        <v>0</v>
      </c>
      <c r="N8958" t="n">
        <v>0</v>
      </c>
      <c r="O8958" t="n">
        <v>0</v>
      </c>
      <c r="P8958" t="n">
        <v>0</v>
      </c>
      <c r="Q8958" t="n">
        <v>0</v>
      </c>
      <c r="R8958" s="2" t="inlineStr"/>
    </row>
    <row r="8959" ht="15" customHeight="1">
      <c r="A8959" t="inlineStr">
        <is>
          <t>A 47630-2022</t>
        </is>
      </c>
      <c r="B8959" s="1" t="n">
        <v>44852</v>
      </c>
      <c r="C8959" s="1" t="n">
        <v>45212</v>
      </c>
      <c r="D8959" t="inlineStr">
        <is>
          <t>VÄSTRA GÖTALANDS LÄN</t>
        </is>
      </c>
      <c r="E8959" t="inlineStr">
        <is>
          <t>VÄNERSBORG</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47233-2022</t>
        </is>
      </c>
      <c r="B8960" s="1" t="n">
        <v>44852</v>
      </c>
      <c r="C8960" s="1" t="n">
        <v>45212</v>
      </c>
      <c r="D8960" t="inlineStr">
        <is>
          <t>VÄSTRA GÖTALANDS LÄN</t>
        </is>
      </c>
      <c r="E8960" t="inlineStr">
        <is>
          <t>ALINGSÅS</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47304-2022</t>
        </is>
      </c>
      <c r="B8961" s="1" t="n">
        <v>44853</v>
      </c>
      <c r="C8961" s="1" t="n">
        <v>45212</v>
      </c>
      <c r="D8961" t="inlineStr">
        <is>
          <t>VÄSTRA GÖTALANDS LÄN</t>
        </is>
      </c>
      <c r="E8961" t="inlineStr">
        <is>
          <t>LYSEKIL</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47461-2022</t>
        </is>
      </c>
      <c r="B8962" s="1" t="n">
        <v>44853</v>
      </c>
      <c r="C8962" s="1" t="n">
        <v>45212</v>
      </c>
      <c r="D8962" t="inlineStr">
        <is>
          <t>VÄSTRA GÖTALANDS LÄN</t>
        </is>
      </c>
      <c r="E8962" t="inlineStr">
        <is>
          <t>FÄRGELANDA</t>
        </is>
      </c>
      <c r="G8962" t="n">
        <v>6.8</v>
      </c>
      <c r="H8962" t="n">
        <v>0</v>
      </c>
      <c r="I8962" t="n">
        <v>0</v>
      </c>
      <c r="J8962" t="n">
        <v>0</v>
      </c>
      <c r="K8962" t="n">
        <v>0</v>
      </c>
      <c r="L8962" t="n">
        <v>0</v>
      </c>
      <c r="M8962" t="n">
        <v>0</v>
      </c>
      <c r="N8962" t="n">
        <v>0</v>
      </c>
      <c r="O8962" t="n">
        <v>0</v>
      </c>
      <c r="P8962" t="n">
        <v>0</v>
      </c>
      <c r="Q8962" t="n">
        <v>0</v>
      </c>
      <c r="R8962" s="2" t="inlineStr"/>
    </row>
    <row r="8963" ht="15" customHeight="1">
      <c r="A8963" t="inlineStr">
        <is>
          <t>A 47383-2022</t>
        </is>
      </c>
      <c r="B8963" s="1" t="n">
        <v>44853</v>
      </c>
      <c r="C8963" s="1" t="n">
        <v>45212</v>
      </c>
      <c r="D8963" t="inlineStr">
        <is>
          <t>VÄSTRA GÖTALANDS LÄN</t>
        </is>
      </c>
      <c r="E8963" t="inlineStr">
        <is>
          <t>BENGTSFORS</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47322-2022</t>
        </is>
      </c>
      <c r="B8964" s="1" t="n">
        <v>44853</v>
      </c>
      <c r="C8964" s="1" t="n">
        <v>45212</v>
      </c>
      <c r="D8964" t="inlineStr">
        <is>
          <t>VÄSTRA GÖTALANDS LÄN</t>
        </is>
      </c>
      <c r="E8964" t="inlineStr">
        <is>
          <t>TÖREBODA</t>
        </is>
      </c>
      <c r="F8964" t="inlineStr">
        <is>
          <t>Sveaskog</t>
        </is>
      </c>
      <c r="G8964" t="n">
        <v>1.6</v>
      </c>
      <c r="H8964" t="n">
        <v>0</v>
      </c>
      <c r="I8964" t="n">
        <v>0</v>
      </c>
      <c r="J8964" t="n">
        <v>0</v>
      </c>
      <c r="K8964" t="n">
        <v>0</v>
      </c>
      <c r="L8964" t="n">
        <v>0</v>
      </c>
      <c r="M8964" t="n">
        <v>0</v>
      </c>
      <c r="N8964" t="n">
        <v>0</v>
      </c>
      <c r="O8964" t="n">
        <v>0</v>
      </c>
      <c r="P8964" t="n">
        <v>0</v>
      </c>
      <c r="Q8964" t="n">
        <v>0</v>
      </c>
      <c r="R8964" s="2" t="inlineStr"/>
    </row>
    <row r="8965" ht="15" customHeight="1">
      <c r="A8965" t="inlineStr">
        <is>
          <t>A 47300-2022</t>
        </is>
      </c>
      <c r="B8965" s="1" t="n">
        <v>44853</v>
      </c>
      <c r="C8965" s="1" t="n">
        <v>45212</v>
      </c>
      <c r="D8965" t="inlineStr">
        <is>
          <t>VÄSTRA GÖTALANDS LÄN</t>
        </is>
      </c>
      <c r="E8965" t="inlineStr">
        <is>
          <t>HJO</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47616-2022</t>
        </is>
      </c>
      <c r="B8966" s="1" t="n">
        <v>44854</v>
      </c>
      <c r="C8966" s="1" t="n">
        <v>45212</v>
      </c>
      <c r="D8966" t="inlineStr">
        <is>
          <t>VÄSTRA GÖTALANDS LÄN</t>
        </is>
      </c>
      <c r="E8966" t="inlineStr">
        <is>
          <t>BORÅS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48597-2022</t>
        </is>
      </c>
      <c r="B8967" s="1" t="n">
        <v>44854</v>
      </c>
      <c r="C8967" s="1" t="n">
        <v>45212</v>
      </c>
      <c r="D8967" t="inlineStr">
        <is>
          <t>VÄSTRA GÖTALANDS LÄN</t>
        </is>
      </c>
      <c r="E8967" t="inlineStr">
        <is>
          <t>HERRLJUNGA</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48614-2022</t>
        </is>
      </c>
      <c r="B8968" s="1" t="n">
        <v>44854</v>
      </c>
      <c r="C8968" s="1" t="n">
        <v>45212</v>
      </c>
      <c r="D8968" t="inlineStr">
        <is>
          <t>VÄSTRA GÖTALANDS LÄN</t>
        </is>
      </c>
      <c r="E8968" t="inlineStr">
        <is>
          <t>ULRICEHAMN</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48745-2022</t>
        </is>
      </c>
      <c r="B8969" s="1" t="n">
        <v>44854</v>
      </c>
      <c r="C8969" s="1" t="n">
        <v>45212</v>
      </c>
      <c r="D8969" t="inlineStr">
        <is>
          <t>VÄSTRA GÖTALANDS LÄN</t>
        </is>
      </c>
      <c r="E8969" t="inlineStr">
        <is>
          <t>BORÅS</t>
        </is>
      </c>
      <c r="G8969" t="n">
        <v>2.1</v>
      </c>
      <c r="H8969" t="n">
        <v>0</v>
      </c>
      <c r="I8969" t="n">
        <v>0</v>
      </c>
      <c r="J8969" t="n">
        <v>0</v>
      </c>
      <c r="K8969" t="n">
        <v>0</v>
      </c>
      <c r="L8969" t="n">
        <v>0</v>
      </c>
      <c r="M8969" t="n">
        <v>0</v>
      </c>
      <c r="N8969" t="n">
        <v>0</v>
      </c>
      <c r="O8969" t="n">
        <v>0</v>
      </c>
      <c r="P8969" t="n">
        <v>0</v>
      </c>
      <c r="Q8969" t="n">
        <v>0</v>
      </c>
      <c r="R8969" s="2" t="inlineStr"/>
    </row>
    <row r="8970" ht="15" customHeight="1">
      <c r="A8970" t="inlineStr">
        <is>
          <t>A 47844-2022</t>
        </is>
      </c>
      <c r="B8970" s="1" t="n">
        <v>44855</v>
      </c>
      <c r="C8970" s="1" t="n">
        <v>45212</v>
      </c>
      <c r="D8970" t="inlineStr">
        <is>
          <t>VÄSTRA GÖTALANDS LÄN</t>
        </is>
      </c>
      <c r="E8970" t="inlineStr">
        <is>
          <t>MARK</t>
        </is>
      </c>
      <c r="G8970" t="n">
        <v>1</v>
      </c>
      <c r="H8970" t="n">
        <v>0</v>
      </c>
      <c r="I8970" t="n">
        <v>0</v>
      </c>
      <c r="J8970" t="n">
        <v>0</v>
      </c>
      <c r="K8970" t="n">
        <v>0</v>
      </c>
      <c r="L8970" t="n">
        <v>0</v>
      </c>
      <c r="M8970" t="n">
        <v>0</v>
      </c>
      <c r="N8970" t="n">
        <v>0</v>
      </c>
      <c r="O8970" t="n">
        <v>0</v>
      </c>
      <c r="P8970" t="n">
        <v>0</v>
      </c>
      <c r="Q8970" t="n">
        <v>0</v>
      </c>
      <c r="R8970" s="2" t="inlineStr"/>
    </row>
    <row r="8971" ht="15" customHeight="1">
      <c r="A8971" t="inlineStr">
        <is>
          <t>A 47892-2022</t>
        </is>
      </c>
      <c r="B8971" s="1" t="n">
        <v>44855</v>
      </c>
      <c r="C8971" s="1" t="n">
        <v>45212</v>
      </c>
      <c r="D8971" t="inlineStr">
        <is>
          <t>VÄSTRA GÖTALANDS LÄN</t>
        </is>
      </c>
      <c r="E8971" t="inlineStr">
        <is>
          <t>BENGTSFORS</t>
        </is>
      </c>
      <c r="G8971" t="n">
        <v>1.2</v>
      </c>
      <c r="H8971" t="n">
        <v>0</v>
      </c>
      <c r="I8971" t="n">
        <v>0</v>
      </c>
      <c r="J8971" t="n">
        <v>0</v>
      </c>
      <c r="K8971" t="n">
        <v>0</v>
      </c>
      <c r="L8971" t="n">
        <v>0</v>
      </c>
      <c r="M8971" t="n">
        <v>0</v>
      </c>
      <c r="N8971" t="n">
        <v>0</v>
      </c>
      <c r="O8971" t="n">
        <v>0</v>
      </c>
      <c r="P8971" t="n">
        <v>0</v>
      </c>
      <c r="Q8971" t="n">
        <v>0</v>
      </c>
      <c r="R8971" s="2" t="inlineStr"/>
    </row>
    <row r="8972" ht="15" customHeight="1">
      <c r="A8972" t="inlineStr">
        <is>
          <t>A 48636-2022</t>
        </is>
      </c>
      <c r="B8972" s="1" t="n">
        <v>44855</v>
      </c>
      <c r="C8972" s="1" t="n">
        <v>45212</v>
      </c>
      <c r="D8972" t="inlineStr">
        <is>
          <t>VÄSTRA GÖTALANDS LÄN</t>
        </is>
      </c>
      <c r="E8972" t="inlineStr">
        <is>
          <t>GULLSPÅNG</t>
        </is>
      </c>
      <c r="G8972" t="n">
        <v>5.8</v>
      </c>
      <c r="H8972" t="n">
        <v>0</v>
      </c>
      <c r="I8972" t="n">
        <v>0</v>
      </c>
      <c r="J8972" t="n">
        <v>0</v>
      </c>
      <c r="K8972" t="n">
        <v>0</v>
      </c>
      <c r="L8972" t="n">
        <v>0</v>
      </c>
      <c r="M8972" t="n">
        <v>0</v>
      </c>
      <c r="N8972" t="n">
        <v>0</v>
      </c>
      <c r="O8972" t="n">
        <v>0</v>
      </c>
      <c r="P8972" t="n">
        <v>0</v>
      </c>
      <c r="Q8972" t="n">
        <v>0</v>
      </c>
      <c r="R8972" s="2" t="inlineStr"/>
    </row>
    <row r="8973" ht="15" customHeight="1">
      <c r="A8973" t="inlineStr">
        <is>
          <t>A 47828-2022</t>
        </is>
      </c>
      <c r="B8973" s="1" t="n">
        <v>44855</v>
      </c>
      <c r="C8973" s="1" t="n">
        <v>45212</v>
      </c>
      <c r="D8973" t="inlineStr">
        <is>
          <t>VÄSTRA GÖTALANDS LÄN</t>
        </is>
      </c>
      <c r="E8973" t="inlineStr">
        <is>
          <t>DALS-ED</t>
        </is>
      </c>
      <c r="G8973" t="n">
        <v>0.4</v>
      </c>
      <c r="H8973" t="n">
        <v>0</v>
      </c>
      <c r="I8973" t="n">
        <v>0</v>
      </c>
      <c r="J8973" t="n">
        <v>0</v>
      </c>
      <c r="K8973" t="n">
        <v>0</v>
      </c>
      <c r="L8973" t="n">
        <v>0</v>
      </c>
      <c r="M8973" t="n">
        <v>0</v>
      </c>
      <c r="N8973" t="n">
        <v>0</v>
      </c>
      <c r="O8973" t="n">
        <v>0</v>
      </c>
      <c r="P8973" t="n">
        <v>0</v>
      </c>
      <c r="Q8973" t="n">
        <v>0</v>
      </c>
      <c r="R8973" s="2" t="inlineStr"/>
    </row>
    <row r="8974" ht="15" customHeight="1">
      <c r="A8974" t="inlineStr">
        <is>
          <t>A 47948-2022</t>
        </is>
      </c>
      <c r="B8974" s="1" t="n">
        <v>44855</v>
      </c>
      <c r="C8974" s="1" t="n">
        <v>45212</v>
      </c>
      <c r="D8974" t="inlineStr">
        <is>
          <t>VÄSTRA GÖTALANDS LÄN</t>
        </is>
      </c>
      <c r="E8974" t="inlineStr">
        <is>
          <t>ULRICEHAMN</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48003-2022</t>
        </is>
      </c>
      <c r="B8975" s="1" t="n">
        <v>44855</v>
      </c>
      <c r="C8975" s="1" t="n">
        <v>45212</v>
      </c>
      <c r="D8975" t="inlineStr">
        <is>
          <t>VÄSTRA GÖTALANDS LÄN</t>
        </is>
      </c>
      <c r="E8975" t="inlineStr">
        <is>
          <t>TRANEMO</t>
        </is>
      </c>
      <c r="G8975" t="n">
        <v>1.6</v>
      </c>
      <c r="H8975" t="n">
        <v>0</v>
      </c>
      <c r="I8975" t="n">
        <v>0</v>
      </c>
      <c r="J8975" t="n">
        <v>0</v>
      </c>
      <c r="K8975" t="n">
        <v>0</v>
      </c>
      <c r="L8975" t="n">
        <v>0</v>
      </c>
      <c r="M8975" t="n">
        <v>0</v>
      </c>
      <c r="N8975" t="n">
        <v>0</v>
      </c>
      <c r="O8975" t="n">
        <v>0</v>
      </c>
      <c r="P8975" t="n">
        <v>0</v>
      </c>
      <c r="Q8975" t="n">
        <v>0</v>
      </c>
      <c r="R8975" s="2" t="inlineStr"/>
    </row>
    <row r="8976" ht="15" customHeight="1">
      <c r="A8976" t="inlineStr">
        <is>
          <t>A 47884-2022</t>
        </is>
      </c>
      <c r="B8976" s="1" t="n">
        <v>44855</v>
      </c>
      <c r="C8976" s="1" t="n">
        <v>45212</v>
      </c>
      <c r="D8976" t="inlineStr">
        <is>
          <t>VÄSTRA GÖTALANDS LÄN</t>
        </is>
      </c>
      <c r="E8976" t="inlineStr">
        <is>
          <t>BORÅS</t>
        </is>
      </c>
      <c r="G8976" t="n">
        <v>9.1</v>
      </c>
      <c r="H8976" t="n">
        <v>0</v>
      </c>
      <c r="I8976" t="n">
        <v>0</v>
      </c>
      <c r="J8976" t="n">
        <v>0</v>
      </c>
      <c r="K8976" t="n">
        <v>0</v>
      </c>
      <c r="L8976" t="n">
        <v>0</v>
      </c>
      <c r="M8976" t="n">
        <v>0</v>
      </c>
      <c r="N8976" t="n">
        <v>0</v>
      </c>
      <c r="O8976" t="n">
        <v>0</v>
      </c>
      <c r="P8976" t="n">
        <v>0</v>
      </c>
      <c r="Q8976" t="n">
        <v>0</v>
      </c>
      <c r="R8976" s="2" t="inlineStr"/>
    </row>
    <row r="8977" ht="15" customHeight="1">
      <c r="A8977" t="inlineStr">
        <is>
          <t>A 47960-2022</t>
        </is>
      </c>
      <c r="B8977" s="1" t="n">
        <v>44855</v>
      </c>
      <c r="C8977" s="1" t="n">
        <v>45212</v>
      </c>
      <c r="D8977" t="inlineStr">
        <is>
          <t>VÄSTRA GÖTALANDS LÄN</t>
        </is>
      </c>
      <c r="E8977" t="inlineStr">
        <is>
          <t>ALINGSÅS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48115-2022</t>
        </is>
      </c>
      <c r="B8978" s="1" t="n">
        <v>44857</v>
      </c>
      <c r="C8978" s="1" t="n">
        <v>45212</v>
      </c>
      <c r="D8978" t="inlineStr">
        <is>
          <t>VÄSTRA GÖTALANDS LÄN</t>
        </is>
      </c>
      <c r="E8978" t="inlineStr">
        <is>
          <t>VÄNERSBORG</t>
        </is>
      </c>
      <c r="G8978" t="n">
        <v>23.4</v>
      </c>
      <c r="H8978" t="n">
        <v>0</v>
      </c>
      <c r="I8978" t="n">
        <v>0</v>
      </c>
      <c r="J8978" t="n">
        <v>0</v>
      </c>
      <c r="K8978" t="n">
        <v>0</v>
      </c>
      <c r="L8978" t="n">
        <v>0</v>
      </c>
      <c r="M8978" t="n">
        <v>0</v>
      </c>
      <c r="N8978" t="n">
        <v>0</v>
      </c>
      <c r="O8978" t="n">
        <v>0</v>
      </c>
      <c r="P8978" t="n">
        <v>0</v>
      </c>
      <c r="Q8978" t="n">
        <v>0</v>
      </c>
      <c r="R8978" s="2" t="inlineStr"/>
    </row>
    <row r="8979" ht="15" customHeight="1">
      <c r="A8979" t="inlineStr">
        <is>
          <t>A 48278-2022</t>
        </is>
      </c>
      <c r="B8979" s="1" t="n">
        <v>44858</v>
      </c>
      <c r="C8979" s="1" t="n">
        <v>45212</v>
      </c>
      <c r="D8979" t="inlineStr">
        <is>
          <t>VÄSTRA GÖTALANDS LÄN</t>
        </is>
      </c>
      <c r="E8979" t="inlineStr">
        <is>
          <t>DALS-ED</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49041-2022</t>
        </is>
      </c>
      <c r="B8980" s="1" t="n">
        <v>44858</v>
      </c>
      <c r="C8980" s="1" t="n">
        <v>45212</v>
      </c>
      <c r="D8980" t="inlineStr">
        <is>
          <t>VÄSTRA GÖTALANDS LÄN</t>
        </is>
      </c>
      <c r="E8980" t="inlineStr">
        <is>
          <t>VARA</t>
        </is>
      </c>
      <c r="G8980" t="n">
        <v>5.3</v>
      </c>
      <c r="H8980" t="n">
        <v>0</v>
      </c>
      <c r="I8980" t="n">
        <v>0</v>
      </c>
      <c r="J8980" t="n">
        <v>0</v>
      </c>
      <c r="K8980" t="n">
        <v>0</v>
      </c>
      <c r="L8980" t="n">
        <v>0</v>
      </c>
      <c r="M8980" t="n">
        <v>0</v>
      </c>
      <c r="N8980" t="n">
        <v>0</v>
      </c>
      <c r="O8980" t="n">
        <v>0</v>
      </c>
      <c r="P8980" t="n">
        <v>0</v>
      </c>
      <c r="Q8980" t="n">
        <v>0</v>
      </c>
      <c r="R8980" s="2" t="inlineStr"/>
    </row>
    <row r="8981" ht="15" customHeight="1">
      <c r="A8981" t="inlineStr">
        <is>
          <t>A 48215-2022</t>
        </is>
      </c>
      <c r="B8981" s="1" t="n">
        <v>44858</v>
      </c>
      <c r="C8981" s="1" t="n">
        <v>45212</v>
      </c>
      <c r="D8981" t="inlineStr">
        <is>
          <t>VÄSTRA GÖTALANDS LÄN</t>
        </is>
      </c>
      <c r="E8981" t="inlineStr">
        <is>
          <t>STENUNGSUND</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48276-2022</t>
        </is>
      </c>
      <c r="B8982" s="1" t="n">
        <v>44858</v>
      </c>
      <c r="C8982" s="1" t="n">
        <v>45212</v>
      </c>
      <c r="D8982" t="inlineStr">
        <is>
          <t>VÄSTRA GÖTALANDS LÄN</t>
        </is>
      </c>
      <c r="E8982" t="inlineStr">
        <is>
          <t>ÅMÅL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49047-2022</t>
        </is>
      </c>
      <c r="B8983" s="1" t="n">
        <v>44858</v>
      </c>
      <c r="C8983" s="1" t="n">
        <v>45212</v>
      </c>
      <c r="D8983" t="inlineStr">
        <is>
          <t>VÄSTRA GÖTALANDS LÄN</t>
        </is>
      </c>
      <c r="E8983" t="inlineStr">
        <is>
          <t>VARA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48196-2022</t>
        </is>
      </c>
      <c r="B8984" s="1" t="n">
        <v>44858</v>
      </c>
      <c r="C8984" s="1" t="n">
        <v>45212</v>
      </c>
      <c r="D8984" t="inlineStr">
        <is>
          <t>VÄSTRA GÖTALANDS LÄN</t>
        </is>
      </c>
      <c r="E8984" t="inlineStr">
        <is>
          <t>ULRICEHAMN</t>
        </is>
      </c>
      <c r="G8984" t="n">
        <v>4.3</v>
      </c>
      <c r="H8984" t="n">
        <v>0</v>
      </c>
      <c r="I8984" t="n">
        <v>0</v>
      </c>
      <c r="J8984" t="n">
        <v>0</v>
      </c>
      <c r="K8984" t="n">
        <v>0</v>
      </c>
      <c r="L8984" t="n">
        <v>0</v>
      </c>
      <c r="M8984" t="n">
        <v>0</v>
      </c>
      <c r="N8984" t="n">
        <v>0</v>
      </c>
      <c r="O8984" t="n">
        <v>0</v>
      </c>
      <c r="P8984" t="n">
        <v>0</v>
      </c>
      <c r="Q8984" t="n">
        <v>0</v>
      </c>
      <c r="R8984" s="2" t="inlineStr"/>
    </row>
    <row r="8985" ht="15" customHeight="1">
      <c r="A8985" t="inlineStr">
        <is>
          <t>A 49067-2022</t>
        </is>
      </c>
      <c r="B8985" s="1" t="n">
        <v>44858</v>
      </c>
      <c r="C8985" s="1" t="n">
        <v>45212</v>
      </c>
      <c r="D8985" t="inlineStr">
        <is>
          <t>VÄSTRA GÖTALANDS LÄN</t>
        </is>
      </c>
      <c r="E8985" t="inlineStr">
        <is>
          <t>VARA</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48411-2022</t>
        </is>
      </c>
      <c r="B8986" s="1" t="n">
        <v>44858</v>
      </c>
      <c r="C8986" s="1" t="n">
        <v>45212</v>
      </c>
      <c r="D8986" t="inlineStr">
        <is>
          <t>VÄSTRA GÖTALANDS LÄN</t>
        </is>
      </c>
      <c r="E8986" t="inlineStr">
        <is>
          <t>LIDKÖPING</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49044-2022</t>
        </is>
      </c>
      <c r="B8987" s="1" t="n">
        <v>44858</v>
      </c>
      <c r="C8987" s="1" t="n">
        <v>45212</v>
      </c>
      <c r="D8987" t="inlineStr">
        <is>
          <t>VÄSTRA GÖTALANDS LÄN</t>
        </is>
      </c>
      <c r="E8987" t="inlineStr">
        <is>
          <t>VARA</t>
        </is>
      </c>
      <c r="G8987" t="n">
        <v>2.6</v>
      </c>
      <c r="H8987" t="n">
        <v>0</v>
      </c>
      <c r="I8987" t="n">
        <v>0</v>
      </c>
      <c r="J8987" t="n">
        <v>0</v>
      </c>
      <c r="K8987" t="n">
        <v>0</v>
      </c>
      <c r="L8987" t="n">
        <v>0</v>
      </c>
      <c r="M8987" t="n">
        <v>0</v>
      </c>
      <c r="N8987" t="n">
        <v>0</v>
      </c>
      <c r="O8987" t="n">
        <v>0</v>
      </c>
      <c r="P8987" t="n">
        <v>0</v>
      </c>
      <c r="Q8987" t="n">
        <v>0</v>
      </c>
      <c r="R8987" s="2" t="inlineStr"/>
    </row>
    <row r="8988" ht="15" customHeight="1">
      <c r="A8988" t="inlineStr">
        <is>
          <t>A 48604-2022</t>
        </is>
      </c>
      <c r="B8988" s="1" t="n">
        <v>44859</v>
      </c>
      <c r="C8988" s="1" t="n">
        <v>45212</v>
      </c>
      <c r="D8988" t="inlineStr">
        <is>
          <t>VÄSTRA GÖTALANDS LÄN</t>
        </is>
      </c>
      <c r="E8988" t="inlineStr">
        <is>
          <t>SVENLJUNGA</t>
        </is>
      </c>
      <c r="F8988" t="inlineStr">
        <is>
          <t>Sveaskog</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48591-2022</t>
        </is>
      </c>
      <c r="B8989" s="1" t="n">
        <v>44859</v>
      </c>
      <c r="C8989" s="1" t="n">
        <v>45212</v>
      </c>
      <c r="D8989" t="inlineStr">
        <is>
          <t>VÄSTRA GÖTALANDS LÄN</t>
        </is>
      </c>
      <c r="E8989" t="inlineStr">
        <is>
          <t>STRÖMSTAD</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48752-2022</t>
        </is>
      </c>
      <c r="B8990" s="1" t="n">
        <v>44859</v>
      </c>
      <c r="C8990" s="1" t="n">
        <v>45212</v>
      </c>
      <c r="D8990" t="inlineStr">
        <is>
          <t>VÄSTRA GÖTALANDS LÄN</t>
        </is>
      </c>
      <c r="E8990" t="inlineStr">
        <is>
          <t>ULRICEHAMN</t>
        </is>
      </c>
      <c r="F8990" t="inlineStr">
        <is>
          <t>Kyrkan</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48590-2022</t>
        </is>
      </c>
      <c r="B8991" s="1" t="n">
        <v>44859</v>
      </c>
      <c r="C8991" s="1" t="n">
        <v>45212</v>
      </c>
      <c r="D8991" t="inlineStr">
        <is>
          <t>VÄSTRA GÖTALANDS LÄN</t>
        </is>
      </c>
      <c r="E8991" t="inlineStr">
        <is>
          <t>SVENLJUNGA</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48733-2022</t>
        </is>
      </c>
      <c r="B8992" s="1" t="n">
        <v>44859</v>
      </c>
      <c r="C8992" s="1" t="n">
        <v>45212</v>
      </c>
      <c r="D8992" t="inlineStr">
        <is>
          <t>VÄSTRA GÖTALANDS LÄN</t>
        </is>
      </c>
      <c r="E8992" t="inlineStr">
        <is>
          <t>GÖTENE</t>
        </is>
      </c>
      <c r="G8992" t="n">
        <v>0.7</v>
      </c>
      <c r="H8992" t="n">
        <v>0</v>
      </c>
      <c r="I8992" t="n">
        <v>0</v>
      </c>
      <c r="J8992" t="n">
        <v>0</v>
      </c>
      <c r="K8992" t="n">
        <v>0</v>
      </c>
      <c r="L8992" t="n">
        <v>0</v>
      </c>
      <c r="M8992" t="n">
        <v>0</v>
      </c>
      <c r="N8992" t="n">
        <v>0</v>
      </c>
      <c r="O8992" t="n">
        <v>0</v>
      </c>
      <c r="P8992" t="n">
        <v>0</v>
      </c>
      <c r="Q8992" t="n">
        <v>0</v>
      </c>
      <c r="R8992" s="2" t="inlineStr"/>
    </row>
    <row r="8993" ht="15" customHeight="1">
      <c r="A8993" t="inlineStr">
        <is>
          <t>A 48797-2022</t>
        </is>
      </c>
      <c r="B8993" s="1" t="n">
        <v>44859</v>
      </c>
      <c r="C8993" s="1" t="n">
        <v>45212</v>
      </c>
      <c r="D8993" t="inlineStr">
        <is>
          <t>VÄSTRA GÖTALANDS LÄN</t>
        </is>
      </c>
      <c r="E8993" t="inlineStr">
        <is>
          <t>LILLA EDET</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48886-2022</t>
        </is>
      </c>
      <c r="B8994" s="1" t="n">
        <v>44859</v>
      </c>
      <c r="C8994" s="1" t="n">
        <v>45212</v>
      </c>
      <c r="D8994" t="inlineStr">
        <is>
          <t>VÄSTRA GÖTALANDS LÄN</t>
        </is>
      </c>
      <c r="E8994" t="inlineStr">
        <is>
          <t>BORÅS</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49755-2022</t>
        </is>
      </c>
      <c r="B8995" s="1" t="n">
        <v>44859</v>
      </c>
      <c r="C8995" s="1" t="n">
        <v>45212</v>
      </c>
      <c r="D8995" t="inlineStr">
        <is>
          <t>VÄSTRA GÖTALANDS LÄN</t>
        </is>
      </c>
      <c r="E8995" t="inlineStr">
        <is>
          <t>LIDKÖPING</t>
        </is>
      </c>
      <c r="G8995" t="n">
        <v>1.6</v>
      </c>
      <c r="H8995" t="n">
        <v>0</v>
      </c>
      <c r="I8995" t="n">
        <v>0</v>
      </c>
      <c r="J8995" t="n">
        <v>0</v>
      </c>
      <c r="K8995" t="n">
        <v>0</v>
      </c>
      <c r="L8995" t="n">
        <v>0</v>
      </c>
      <c r="M8995" t="n">
        <v>0</v>
      </c>
      <c r="N8995" t="n">
        <v>0</v>
      </c>
      <c r="O8995" t="n">
        <v>0</v>
      </c>
      <c r="P8995" t="n">
        <v>0</v>
      </c>
      <c r="Q8995" t="n">
        <v>0</v>
      </c>
      <c r="R8995" s="2" t="inlineStr"/>
    </row>
    <row r="8996" ht="15" customHeight="1">
      <c r="A8996" t="inlineStr">
        <is>
          <t>A 48981-2022</t>
        </is>
      </c>
      <c r="B8996" s="1" t="n">
        <v>44860</v>
      </c>
      <c r="C8996" s="1" t="n">
        <v>45212</v>
      </c>
      <c r="D8996" t="inlineStr">
        <is>
          <t>VÄSTRA GÖTALANDS LÄN</t>
        </is>
      </c>
      <c r="E8996" t="inlineStr">
        <is>
          <t>GÖTENE</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49114-2022</t>
        </is>
      </c>
      <c r="B8997" s="1" t="n">
        <v>44860</v>
      </c>
      <c r="C8997" s="1" t="n">
        <v>45212</v>
      </c>
      <c r="D8997" t="inlineStr">
        <is>
          <t>VÄSTRA GÖTALANDS LÄN</t>
        </is>
      </c>
      <c r="E8997" t="inlineStr">
        <is>
          <t>TIDAHOLM</t>
        </is>
      </c>
      <c r="G8997" t="n">
        <v>3</v>
      </c>
      <c r="H8997" t="n">
        <v>0</v>
      </c>
      <c r="I8997" t="n">
        <v>0</v>
      </c>
      <c r="J8997" t="n">
        <v>0</v>
      </c>
      <c r="K8997" t="n">
        <v>0</v>
      </c>
      <c r="L8997" t="n">
        <v>0</v>
      </c>
      <c r="M8997" t="n">
        <v>0</v>
      </c>
      <c r="N8997" t="n">
        <v>0</v>
      </c>
      <c r="O8997" t="n">
        <v>0</v>
      </c>
      <c r="P8997" t="n">
        <v>0</v>
      </c>
      <c r="Q8997" t="n">
        <v>0</v>
      </c>
      <c r="R8997" s="2" t="inlineStr"/>
    </row>
    <row r="8998" ht="15" customHeight="1">
      <c r="A8998" t="inlineStr">
        <is>
          <t>A 49115-2022</t>
        </is>
      </c>
      <c r="B8998" s="1" t="n">
        <v>44860</v>
      </c>
      <c r="C8998" s="1" t="n">
        <v>45212</v>
      </c>
      <c r="D8998" t="inlineStr">
        <is>
          <t>VÄSTRA GÖTALANDS LÄN</t>
        </is>
      </c>
      <c r="E8998" t="inlineStr">
        <is>
          <t>TIDAHOLM</t>
        </is>
      </c>
      <c r="G8998" t="n">
        <v>2.7</v>
      </c>
      <c r="H8998" t="n">
        <v>0</v>
      </c>
      <c r="I8998" t="n">
        <v>0</v>
      </c>
      <c r="J8998" t="n">
        <v>0</v>
      </c>
      <c r="K8998" t="n">
        <v>0</v>
      </c>
      <c r="L8998" t="n">
        <v>0</v>
      </c>
      <c r="M8998" t="n">
        <v>0</v>
      </c>
      <c r="N8998" t="n">
        <v>0</v>
      </c>
      <c r="O8998" t="n">
        <v>0</v>
      </c>
      <c r="P8998" t="n">
        <v>0</v>
      </c>
      <c r="Q8998" t="n">
        <v>0</v>
      </c>
      <c r="R8998" s="2" t="inlineStr"/>
    </row>
    <row r="8999" ht="15" customHeight="1">
      <c r="A8999" t="inlineStr">
        <is>
          <t>A 48985-2022</t>
        </is>
      </c>
      <c r="B8999" s="1" t="n">
        <v>44860</v>
      </c>
      <c r="C8999" s="1" t="n">
        <v>45212</v>
      </c>
      <c r="D8999" t="inlineStr">
        <is>
          <t>VÄSTRA GÖTALANDS LÄN</t>
        </is>
      </c>
      <c r="E8999" t="inlineStr">
        <is>
          <t>SKARA</t>
        </is>
      </c>
      <c r="G8999" t="n">
        <v>3.3</v>
      </c>
      <c r="H8999" t="n">
        <v>0</v>
      </c>
      <c r="I8999" t="n">
        <v>0</v>
      </c>
      <c r="J8999" t="n">
        <v>0</v>
      </c>
      <c r="K8999" t="n">
        <v>0</v>
      </c>
      <c r="L8999" t="n">
        <v>0</v>
      </c>
      <c r="M8999" t="n">
        <v>0</v>
      </c>
      <c r="N8999" t="n">
        <v>0</v>
      </c>
      <c r="O8999" t="n">
        <v>0</v>
      </c>
      <c r="P8999" t="n">
        <v>0</v>
      </c>
      <c r="Q8999" t="n">
        <v>0</v>
      </c>
      <c r="R8999" s="2" t="inlineStr"/>
    </row>
    <row r="9000" ht="15" customHeight="1">
      <c r="A9000" t="inlineStr">
        <is>
          <t>A 50456-2022</t>
        </is>
      </c>
      <c r="B9000" s="1" t="n">
        <v>44861</v>
      </c>
      <c r="C9000" s="1" t="n">
        <v>45212</v>
      </c>
      <c r="D9000" t="inlineStr">
        <is>
          <t>VÄSTRA GÖTALANDS LÄN</t>
        </is>
      </c>
      <c r="E9000" t="inlineStr">
        <is>
          <t>GULLSPÅNG</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49411-2022</t>
        </is>
      </c>
      <c r="B9001" s="1" t="n">
        <v>44861</v>
      </c>
      <c r="C9001" s="1" t="n">
        <v>45212</v>
      </c>
      <c r="D9001" t="inlineStr">
        <is>
          <t>VÄSTRA GÖTALANDS LÄN</t>
        </is>
      </c>
      <c r="E9001" t="inlineStr">
        <is>
          <t>VÅRGÅRDA</t>
        </is>
      </c>
      <c r="G9001" t="n">
        <v>6.9</v>
      </c>
      <c r="H9001" t="n">
        <v>0</v>
      </c>
      <c r="I9001" t="n">
        <v>0</v>
      </c>
      <c r="J9001" t="n">
        <v>0</v>
      </c>
      <c r="K9001" t="n">
        <v>0</v>
      </c>
      <c r="L9001" t="n">
        <v>0</v>
      </c>
      <c r="M9001" t="n">
        <v>0</v>
      </c>
      <c r="N9001" t="n">
        <v>0</v>
      </c>
      <c r="O9001" t="n">
        <v>0</v>
      </c>
      <c r="P9001" t="n">
        <v>0</v>
      </c>
      <c r="Q9001" t="n">
        <v>0</v>
      </c>
      <c r="R9001" s="2" t="inlineStr"/>
    </row>
    <row r="9002" ht="15" customHeight="1">
      <c r="A9002" t="inlineStr">
        <is>
          <t>A 50490-2022</t>
        </is>
      </c>
      <c r="B9002" s="1" t="n">
        <v>44861</v>
      </c>
      <c r="C9002" s="1" t="n">
        <v>45212</v>
      </c>
      <c r="D9002" t="inlineStr">
        <is>
          <t>VÄSTRA GÖTALANDS LÄN</t>
        </is>
      </c>
      <c r="E9002" t="inlineStr">
        <is>
          <t>KUNGÄLV</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50587-2022</t>
        </is>
      </c>
      <c r="B9003" s="1" t="n">
        <v>44861</v>
      </c>
      <c r="C9003" s="1" t="n">
        <v>45212</v>
      </c>
      <c r="D9003" t="inlineStr">
        <is>
          <t>VÄSTRA GÖTALANDS LÄN</t>
        </is>
      </c>
      <c r="E9003" t="inlineStr">
        <is>
          <t>GULLSPÅNG</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49390-2022</t>
        </is>
      </c>
      <c r="B9004" s="1" t="n">
        <v>44861</v>
      </c>
      <c r="C9004" s="1" t="n">
        <v>45212</v>
      </c>
      <c r="D9004" t="inlineStr">
        <is>
          <t>VÄSTRA GÖTALANDS LÄN</t>
        </is>
      </c>
      <c r="E9004" t="inlineStr">
        <is>
          <t>FALKÖPING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50491-2022</t>
        </is>
      </c>
      <c r="B9005" s="1" t="n">
        <v>44861</v>
      </c>
      <c r="C9005" s="1" t="n">
        <v>45212</v>
      </c>
      <c r="D9005" t="inlineStr">
        <is>
          <t>VÄSTRA GÖTALANDS LÄN</t>
        </is>
      </c>
      <c r="E9005" t="inlineStr">
        <is>
          <t>KUNGÄLV</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50530-2022</t>
        </is>
      </c>
      <c r="B9006" s="1" t="n">
        <v>44861</v>
      </c>
      <c r="C9006" s="1" t="n">
        <v>45212</v>
      </c>
      <c r="D9006" t="inlineStr">
        <is>
          <t>VÄSTRA GÖTALANDS LÄN</t>
        </is>
      </c>
      <c r="E9006" t="inlineStr">
        <is>
          <t>GULLSPÅNG</t>
        </is>
      </c>
      <c r="G9006" t="n">
        <v>2.5</v>
      </c>
      <c r="H9006" t="n">
        <v>0</v>
      </c>
      <c r="I9006" t="n">
        <v>0</v>
      </c>
      <c r="J9006" t="n">
        <v>0</v>
      </c>
      <c r="K9006" t="n">
        <v>0</v>
      </c>
      <c r="L9006" t="n">
        <v>0</v>
      </c>
      <c r="M9006" t="n">
        <v>0</v>
      </c>
      <c r="N9006" t="n">
        <v>0</v>
      </c>
      <c r="O9006" t="n">
        <v>0</v>
      </c>
      <c r="P9006" t="n">
        <v>0</v>
      </c>
      <c r="Q9006" t="n">
        <v>0</v>
      </c>
      <c r="R9006" s="2" t="inlineStr"/>
    </row>
    <row r="9007" ht="15" customHeight="1">
      <c r="A9007" t="inlineStr">
        <is>
          <t>A 49600-2022</t>
        </is>
      </c>
      <c r="B9007" s="1" t="n">
        <v>44862</v>
      </c>
      <c r="C9007" s="1" t="n">
        <v>45212</v>
      </c>
      <c r="D9007" t="inlineStr">
        <is>
          <t>VÄSTRA GÖTALANDS LÄN</t>
        </is>
      </c>
      <c r="E9007" t="inlineStr">
        <is>
          <t>VÄNERSBORG</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50700-2022</t>
        </is>
      </c>
      <c r="B9008" s="1" t="n">
        <v>44862</v>
      </c>
      <c r="C9008" s="1" t="n">
        <v>45212</v>
      </c>
      <c r="D9008" t="inlineStr">
        <is>
          <t>VÄSTRA GÖTALANDS LÄN</t>
        </is>
      </c>
      <c r="E9008" t="inlineStr">
        <is>
          <t>STENUNGSUND</t>
        </is>
      </c>
      <c r="F9008" t="inlineStr">
        <is>
          <t>Kyrkan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49741-2022</t>
        </is>
      </c>
      <c r="B9009" s="1" t="n">
        <v>44862</v>
      </c>
      <c r="C9009" s="1" t="n">
        <v>45212</v>
      </c>
      <c r="D9009" t="inlineStr">
        <is>
          <t>VÄSTRA GÖTALANDS LÄN</t>
        </is>
      </c>
      <c r="E9009" t="inlineStr">
        <is>
          <t>TANUM</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49751-2022</t>
        </is>
      </c>
      <c r="B9010" s="1" t="n">
        <v>44862</v>
      </c>
      <c r="C9010" s="1" t="n">
        <v>45212</v>
      </c>
      <c r="D9010" t="inlineStr">
        <is>
          <t>VÄSTRA GÖTALANDS LÄN</t>
        </is>
      </c>
      <c r="E9010" t="inlineStr">
        <is>
          <t>TANUM</t>
        </is>
      </c>
      <c r="G9010" t="n">
        <v>4.5</v>
      </c>
      <c r="H9010" t="n">
        <v>0</v>
      </c>
      <c r="I9010" t="n">
        <v>0</v>
      </c>
      <c r="J9010" t="n">
        <v>0</v>
      </c>
      <c r="K9010" t="n">
        <v>0</v>
      </c>
      <c r="L9010" t="n">
        <v>0</v>
      </c>
      <c r="M9010" t="n">
        <v>0</v>
      </c>
      <c r="N9010" t="n">
        <v>0</v>
      </c>
      <c r="O9010" t="n">
        <v>0</v>
      </c>
      <c r="P9010" t="n">
        <v>0</v>
      </c>
      <c r="Q9010" t="n">
        <v>0</v>
      </c>
      <c r="R9010" s="2" t="inlineStr"/>
    </row>
    <row r="9011" ht="15" customHeight="1">
      <c r="A9011" t="inlineStr">
        <is>
          <t>A 49822-2022</t>
        </is>
      </c>
      <c r="B9011" s="1" t="n">
        <v>44862</v>
      </c>
      <c r="C9011" s="1" t="n">
        <v>45212</v>
      </c>
      <c r="D9011" t="inlineStr">
        <is>
          <t>VÄSTRA GÖTALANDS LÄN</t>
        </is>
      </c>
      <c r="E9011" t="inlineStr">
        <is>
          <t>ORUST</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50829-2022</t>
        </is>
      </c>
      <c r="B9012" s="1" t="n">
        <v>44862</v>
      </c>
      <c r="C9012" s="1" t="n">
        <v>45212</v>
      </c>
      <c r="D9012" t="inlineStr">
        <is>
          <t>VÄSTRA GÖTALANDS LÄN</t>
        </is>
      </c>
      <c r="E9012" t="inlineStr">
        <is>
          <t>SKÖVDE</t>
        </is>
      </c>
      <c r="G9012" t="n">
        <v>2.3</v>
      </c>
      <c r="H9012" t="n">
        <v>0</v>
      </c>
      <c r="I9012" t="n">
        <v>0</v>
      </c>
      <c r="J9012" t="n">
        <v>0</v>
      </c>
      <c r="K9012" t="n">
        <v>0</v>
      </c>
      <c r="L9012" t="n">
        <v>0</v>
      </c>
      <c r="M9012" t="n">
        <v>0</v>
      </c>
      <c r="N9012" t="n">
        <v>0</v>
      </c>
      <c r="O9012" t="n">
        <v>0</v>
      </c>
      <c r="P9012" t="n">
        <v>0</v>
      </c>
      <c r="Q9012" t="n">
        <v>0</v>
      </c>
      <c r="R9012" s="2" t="inlineStr"/>
    </row>
    <row r="9013" ht="15" customHeight="1">
      <c r="A9013" t="inlineStr">
        <is>
          <t>A 49897-2022</t>
        </is>
      </c>
      <c r="B9013" s="1" t="n">
        <v>44864</v>
      </c>
      <c r="C9013" s="1" t="n">
        <v>45212</v>
      </c>
      <c r="D9013" t="inlineStr">
        <is>
          <t>VÄSTRA GÖTALANDS LÄN</t>
        </is>
      </c>
      <c r="E9013" t="inlineStr">
        <is>
          <t>GULLSPÅNG</t>
        </is>
      </c>
      <c r="G9013" t="n">
        <v>8.4</v>
      </c>
      <c r="H9013" t="n">
        <v>0</v>
      </c>
      <c r="I9013" t="n">
        <v>0</v>
      </c>
      <c r="J9013" t="n">
        <v>0</v>
      </c>
      <c r="K9013" t="n">
        <v>0</v>
      </c>
      <c r="L9013" t="n">
        <v>0</v>
      </c>
      <c r="M9013" t="n">
        <v>0</v>
      </c>
      <c r="N9013" t="n">
        <v>0</v>
      </c>
      <c r="O9013" t="n">
        <v>0</v>
      </c>
      <c r="P9013" t="n">
        <v>0</v>
      </c>
      <c r="Q9013" t="n">
        <v>0</v>
      </c>
      <c r="R9013" s="2" t="inlineStr"/>
    </row>
    <row r="9014" ht="15" customHeight="1">
      <c r="A9014" t="inlineStr">
        <is>
          <t>A 49895-2022</t>
        </is>
      </c>
      <c r="B9014" s="1" t="n">
        <v>44864</v>
      </c>
      <c r="C9014" s="1" t="n">
        <v>45212</v>
      </c>
      <c r="D9014" t="inlineStr">
        <is>
          <t>VÄSTRA GÖTALANDS LÄN</t>
        </is>
      </c>
      <c r="E9014" t="inlineStr">
        <is>
          <t>GULLSPÅNG</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49879-2022</t>
        </is>
      </c>
      <c r="B9015" s="1" t="n">
        <v>44864</v>
      </c>
      <c r="C9015" s="1" t="n">
        <v>45212</v>
      </c>
      <c r="D9015" t="inlineStr">
        <is>
          <t>VÄSTRA GÖTALANDS LÄN</t>
        </is>
      </c>
      <c r="E9015" t="inlineStr">
        <is>
          <t>ALINGSÅS</t>
        </is>
      </c>
      <c r="G9015" t="n">
        <v>8.199999999999999</v>
      </c>
      <c r="H9015" t="n">
        <v>0</v>
      </c>
      <c r="I9015" t="n">
        <v>0</v>
      </c>
      <c r="J9015" t="n">
        <v>0</v>
      </c>
      <c r="K9015" t="n">
        <v>0</v>
      </c>
      <c r="L9015" t="n">
        <v>0</v>
      </c>
      <c r="M9015" t="n">
        <v>0</v>
      </c>
      <c r="N9015" t="n">
        <v>0</v>
      </c>
      <c r="O9015" t="n">
        <v>0</v>
      </c>
      <c r="P9015" t="n">
        <v>0</v>
      </c>
      <c r="Q9015" t="n">
        <v>0</v>
      </c>
      <c r="R9015" s="2" t="inlineStr"/>
    </row>
    <row r="9016" ht="15" customHeight="1">
      <c r="A9016" t="inlineStr">
        <is>
          <t>A 49893-2022</t>
        </is>
      </c>
      <c r="B9016" s="1" t="n">
        <v>44864</v>
      </c>
      <c r="C9016" s="1" t="n">
        <v>45212</v>
      </c>
      <c r="D9016" t="inlineStr">
        <is>
          <t>VÄSTRA GÖTALANDS LÄN</t>
        </is>
      </c>
      <c r="E9016" t="inlineStr">
        <is>
          <t>GULLSPÅNG</t>
        </is>
      </c>
      <c r="G9016" t="n">
        <v>5.7</v>
      </c>
      <c r="H9016" t="n">
        <v>0</v>
      </c>
      <c r="I9016" t="n">
        <v>0</v>
      </c>
      <c r="J9016" t="n">
        <v>0</v>
      </c>
      <c r="K9016" t="n">
        <v>0</v>
      </c>
      <c r="L9016" t="n">
        <v>0</v>
      </c>
      <c r="M9016" t="n">
        <v>0</v>
      </c>
      <c r="N9016" t="n">
        <v>0</v>
      </c>
      <c r="O9016" t="n">
        <v>0</v>
      </c>
      <c r="P9016" t="n">
        <v>0</v>
      </c>
      <c r="Q9016" t="n">
        <v>0</v>
      </c>
      <c r="R9016" s="2" t="inlineStr"/>
    </row>
    <row r="9017" ht="15" customHeight="1">
      <c r="A9017" t="inlineStr">
        <is>
          <t>A 50020-2022</t>
        </is>
      </c>
      <c r="B9017" s="1" t="n">
        <v>44865</v>
      </c>
      <c r="C9017" s="1" t="n">
        <v>45212</v>
      </c>
      <c r="D9017" t="inlineStr">
        <is>
          <t>VÄSTRA GÖTALANDS LÄN</t>
        </is>
      </c>
      <c r="E9017" t="inlineStr">
        <is>
          <t>STRÖMSTAD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51214-2022</t>
        </is>
      </c>
      <c r="B9018" s="1" t="n">
        <v>44865</v>
      </c>
      <c r="C9018" s="1" t="n">
        <v>45212</v>
      </c>
      <c r="D9018" t="inlineStr">
        <is>
          <t>VÄSTRA GÖTALANDS LÄN</t>
        </is>
      </c>
      <c r="E9018" t="inlineStr">
        <is>
          <t>DALS-ED</t>
        </is>
      </c>
      <c r="F9018" t="inlineStr">
        <is>
          <t>Kyrkan</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49932-2022</t>
        </is>
      </c>
      <c r="B9019" s="1" t="n">
        <v>44865</v>
      </c>
      <c r="C9019" s="1" t="n">
        <v>45212</v>
      </c>
      <c r="D9019" t="inlineStr">
        <is>
          <t>VÄSTRA GÖTALANDS LÄN</t>
        </is>
      </c>
      <c r="E9019" t="inlineStr">
        <is>
          <t>MARIESTAD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50045-2022</t>
        </is>
      </c>
      <c r="B9020" s="1" t="n">
        <v>44865</v>
      </c>
      <c r="C9020" s="1" t="n">
        <v>45212</v>
      </c>
      <c r="D9020" t="inlineStr">
        <is>
          <t>VÄSTRA GÖTALANDS LÄN</t>
        </is>
      </c>
      <c r="E9020" t="inlineStr">
        <is>
          <t>HERRLJUNGA</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50239-2022</t>
        </is>
      </c>
      <c r="B9021" s="1" t="n">
        <v>44865</v>
      </c>
      <c r="C9021" s="1" t="n">
        <v>45212</v>
      </c>
      <c r="D9021" t="inlineStr">
        <is>
          <t>VÄSTRA GÖTALANDS LÄN</t>
        </is>
      </c>
      <c r="E9021" t="inlineStr">
        <is>
          <t>SOTENÄS</t>
        </is>
      </c>
      <c r="G9021" t="n">
        <v>13.2</v>
      </c>
      <c r="H9021" t="n">
        <v>0</v>
      </c>
      <c r="I9021" t="n">
        <v>0</v>
      </c>
      <c r="J9021" t="n">
        <v>0</v>
      </c>
      <c r="K9021" t="n">
        <v>0</v>
      </c>
      <c r="L9021" t="n">
        <v>0</v>
      </c>
      <c r="M9021" t="n">
        <v>0</v>
      </c>
      <c r="N9021" t="n">
        <v>0</v>
      </c>
      <c r="O9021" t="n">
        <v>0</v>
      </c>
      <c r="P9021" t="n">
        <v>0</v>
      </c>
      <c r="Q9021" t="n">
        <v>0</v>
      </c>
      <c r="R9021" s="2" t="inlineStr"/>
    </row>
    <row r="9022" ht="15" customHeight="1">
      <c r="A9022" t="inlineStr">
        <is>
          <t>A 50270-2022</t>
        </is>
      </c>
      <c r="B9022" s="1" t="n">
        <v>44865</v>
      </c>
      <c r="C9022" s="1" t="n">
        <v>45212</v>
      </c>
      <c r="D9022" t="inlineStr">
        <is>
          <t>VÄSTRA GÖTALANDS LÄN</t>
        </is>
      </c>
      <c r="E9022" t="inlineStr">
        <is>
          <t>GULLSPÅNG</t>
        </is>
      </c>
      <c r="G9022" t="n">
        <v>7.5</v>
      </c>
      <c r="H9022" t="n">
        <v>0</v>
      </c>
      <c r="I9022" t="n">
        <v>0</v>
      </c>
      <c r="J9022" t="n">
        <v>0</v>
      </c>
      <c r="K9022" t="n">
        <v>0</v>
      </c>
      <c r="L9022" t="n">
        <v>0</v>
      </c>
      <c r="M9022" t="n">
        <v>0</v>
      </c>
      <c r="N9022" t="n">
        <v>0</v>
      </c>
      <c r="O9022" t="n">
        <v>0</v>
      </c>
      <c r="P9022" t="n">
        <v>0</v>
      </c>
      <c r="Q9022" t="n">
        <v>0</v>
      </c>
      <c r="R9022" s="2" t="inlineStr"/>
    </row>
    <row r="9023" ht="15" customHeight="1">
      <c r="A9023" t="inlineStr">
        <is>
          <t>A 50518-2022</t>
        </is>
      </c>
      <c r="B9023" s="1" t="n">
        <v>44866</v>
      </c>
      <c r="C9023" s="1" t="n">
        <v>45212</v>
      </c>
      <c r="D9023" t="inlineStr">
        <is>
          <t>VÄSTRA GÖTALANDS LÄN</t>
        </is>
      </c>
      <c r="E9023" t="inlineStr">
        <is>
          <t>TRANEMO</t>
        </is>
      </c>
      <c r="F9023" t="inlineStr">
        <is>
          <t>Sveaskog</t>
        </is>
      </c>
      <c r="G9023" t="n">
        <v>0.9</v>
      </c>
      <c r="H9023" t="n">
        <v>0</v>
      </c>
      <c r="I9023" t="n">
        <v>0</v>
      </c>
      <c r="J9023" t="n">
        <v>0</v>
      </c>
      <c r="K9023" t="n">
        <v>0</v>
      </c>
      <c r="L9023" t="n">
        <v>0</v>
      </c>
      <c r="M9023" t="n">
        <v>0</v>
      </c>
      <c r="N9023" t="n">
        <v>0</v>
      </c>
      <c r="O9023" t="n">
        <v>0</v>
      </c>
      <c r="P9023" t="n">
        <v>0</v>
      </c>
      <c r="Q9023" t="n">
        <v>0</v>
      </c>
      <c r="R9023" s="2" t="inlineStr"/>
    </row>
    <row r="9024" ht="15" customHeight="1">
      <c r="A9024" t="inlineStr">
        <is>
          <t>A 50528-2022</t>
        </is>
      </c>
      <c r="B9024" s="1" t="n">
        <v>44866</v>
      </c>
      <c r="C9024" s="1" t="n">
        <v>45212</v>
      </c>
      <c r="D9024" t="inlineStr">
        <is>
          <t>VÄSTRA GÖTALANDS LÄN</t>
        </is>
      </c>
      <c r="E9024" t="inlineStr">
        <is>
          <t>TRANEMO</t>
        </is>
      </c>
      <c r="F9024" t="inlineStr">
        <is>
          <t>Sveaskog</t>
        </is>
      </c>
      <c r="G9024" t="n">
        <v>2.4</v>
      </c>
      <c r="H9024" t="n">
        <v>0</v>
      </c>
      <c r="I9024" t="n">
        <v>0</v>
      </c>
      <c r="J9024" t="n">
        <v>0</v>
      </c>
      <c r="K9024" t="n">
        <v>0</v>
      </c>
      <c r="L9024" t="n">
        <v>0</v>
      </c>
      <c r="M9024" t="n">
        <v>0</v>
      </c>
      <c r="N9024" t="n">
        <v>0</v>
      </c>
      <c r="O9024" t="n">
        <v>0</v>
      </c>
      <c r="P9024" t="n">
        <v>0</v>
      </c>
      <c r="Q9024" t="n">
        <v>0</v>
      </c>
      <c r="R9024" s="2" t="inlineStr"/>
    </row>
    <row r="9025" ht="15" customHeight="1">
      <c r="A9025" t="inlineStr">
        <is>
          <t>A 50544-2022</t>
        </is>
      </c>
      <c r="B9025" s="1" t="n">
        <v>44866</v>
      </c>
      <c r="C9025" s="1" t="n">
        <v>45212</v>
      </c>
      <c r="D9025" t="inlineStr">
        <is>
          <t>VÄSTRA GÖTALANDS LÄN</t>
        </is>
      </c>
      <c r="E9025" t="inlineStr">
        <is>
          <t>TRANEMO</t>
        </is>
      </c>
      <c r="F9025" t="inlineStr">
        <is>
          <t>Sveaskog</t>
        </is>
      </c>
      <c r="G9025" t="n">
        <v>2</v>
      </c>
      <c r="H9025" t="n">
        <v>0</v>
      </c>
      <c r="I9025" t="n">
        <v>0</v>
      </c>
      <c r="J9025" t="n">
        <v>0</v>
      </c>
      <c r="K9025" t="n">
        <v>0</v>
      </c>
      <c r="L9025" t="n">
        <v>0</v>
      </c>
      <c r="M9025" t="n">
        <v>0</v>
      </c>
      <c r="N9025" t="n">
        <v>0</v>
      </c>
      <c r="O9025" t="n">
        <v>0</v>
      </c>
      <c r="P9025" t="n">
        <v>0</v>
      </c>
      <c r="Q9025" t="n">
        <v>0</v>
      </c>
      <c r="R9025" s="2" t="inlineStr"/>
    </row>
    <row r="9026" ht="15" customHeight="1">
      <c r="A9026" t="inlineStr">
        <is>
          <t>A 50624-2022</t>
        </is>
      </c>
      <c r="B9026" s="1" t="n">
        <v>44866</v>
      </c>
      <c r="C9026" s="1" t="n">
        <v>45212</v>
      </c>
      <c r="D9026" t="inlineStr">
        <is>
          <t>VÄSTRA GÖTALANDS LÄN</t>
        </is>
      </c>
      <c r="E9026" t="inlineStr">
        <is>
          <t>TIDAHOLM</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51404-2022</t>
        </is>
      </c>
      <c r="B9027" s="1" t="n">
        <v>44866</v>
      </c>
      <c r="C9027" s="1" t="n">
        <v>45212</v>
      </c>
      <c r="D9027" t="inlineStr">
        <is>
          <t>VÄSTRA GÖTALANDS LÄN</t>
        </is>
      </c>
      <c r="E9027" t="inlineStr">
        <is>
          <t>MUNKEDAL</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51421-2022</t>
        </is>
      </c>
      <c r="B9028" s="1" t="n">
        <v>44866</v>
      </c>
      <c r="C9028" s="1" t="n">
        <v>45212</v>
      </c>
      <c r="D9028" t="inlineStr">
        <is>
          <t>VÄSTRA GÖTALANDS LÄN</t>
        </is>
      </c>
      <c r="E9028" t="inlineStr">
        <is>
          <t>MUNKEDAL</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50524-2022</t>
        </is>
      </c>
      <c r="B9029" s="1" t="n">
        <v>44866</v>
      </c>
      <c r="C9029" s="1" t="n">
        <v>45212</v>
      </c>
      <c r="D9029" t="inlineStr">
        <is>
          <t>VÄSTRA GÖTALANDS LÄN</t>
        </is>
      </c>
      <c r="E9029" t="inlineStr">
        <is>
          <t>TRANEMO</t>
        </is>
      </c>
      <c r="F9029" t="inlineStr">
        <is>
          <t>Sveaskog</t>
        </is>
      </c>
      <c r="G9029" t="n">
        <v>0.9</v>
      </c>
      <c r="H9029" t="n">
        <v>0</v>
      </c>
      <c r="I9029" t="n">
        <v>0</v>
      </c>
      <c r="J9029" t="n">
        <v>0</v>
      </c>
      <c r="K9029" t="n">
        <v>0</v>
      </c>
      <c r="L9029" t="n">
        <v>0</v>
      </c>
      <c r="M9029" t="n">
        <v>0</v>
      </c>
      <c r="N9029" t="n">
        <v>0</v>
      </c>
      <c r="O9029" t="n">
        <v>0</v>
      </c>
      <c r="P9029" t="n">
        <v>0</v>
      </c>
      <c r="Q9029" t="n">
        <v>0</v>
      </c>
      <c r="R9029" s="2" t="inlineStr"/>
    </row>
    <row r="9030" ht="15" customHeight="1">
      <c r="A9030" t="inlineStr">
        <is>
          <t>A 50610-2022</t>
        </is>
      </c>
      <c r="B9030" s="1" t="n">
        <v>44866</v>
      </c>
      <c r="C9030" s="1" t="n">
        <v>45212</v>
      </c>
      <c r="D9030" t="inlineStr">
        <is>
          <t>VÄSTRA GÖTALANDS LÄN</t>
        </is>
      </c>
      <c r="E9030" t="inlineStr">
        <is>
          <t>BENGTSFORS</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51260-2022</t>
        </is>
      </c>
      <c r="B9031" s="1" t="n">
        <v>44866</v>
      </c>
      <c r="C9031" s="1" t="n">
        <v>45212</v>
      </c>
      <c r="D9031" t="inlineStr">
        <is>
          <t>VÄSTRA GÖTALANDS LÄN</t>
        </is>
      </c>
      <c r="E9031" t="inlineStr">
        <is>
          <t>ÅMÅL</t>
        </is>
      </c>
      <c r="G9031" t="n">
        <v>0.8</v>
      </c>
      <c r="H9031" t="n">
        <v>0</v>
      </c>
      <c r="I9031" t="n">
        <v>0</v>
      </c>
      <c r="J9031" t="n">
        <v>0</v>
      </c>
      <c r="K9031" t="n">
        <v>0</v>
      </c>
      <c r="L9031" t="n">
        <v>0</v>
      </c>
      <c r="M9031" t="n">
        <v>0</v>
      </c>
      <c r="N9031" t="n">
        <v>0</v>
      </c>
      <c r="O9031" t="n">
        <v>0</v>
      </c>
      <c r="P9031" t="n">
        <v>0</v>
      </c>
      <c r="Q9031" t="n">
        <v>0</v>
      </c>
      <c r="R9031" s="2" t="inlineStr"/>
    </row>
    <row r="9032" ht="15" customHeight="1">
      <c r="A9032" t="inlineStr">
        <is>
          <t>A 51403-2022</t>
        </is>
      </c>
      <c r="B9032" s="1" t="n">
        <v>44866</v>
      </c>
      <c r="C9032" s="1" t="n">
        <v>45212</v>
      </c>
      <c r="D9032" t="inlineStr">
        <is>
          <t>VÄSTRA GÖTALANDS LÄN</t>
        </is>
      </c>
      <c r="E9032" t="inlineStr">
        <is>
          <t>BENGTSFORS</t>
        </is>
      </c>
      <c r="F9032" t="inlineStr">
        <is>
          <t>Kyrkan</t>
        </is>
      </c>
      <c r="G9032" t="n">
        <v>6</v>
      </c>
      <c r="H9032" t="n">
        <v>0</v>
      </c>
      <c r="I9032" t="n">
        <v>0</v>
      </c>
      <c r="J9032" t="n">
        <v>0</v>
      </c>
      <c r="K9032" t="n">
        <v>0</v>
      </c>
      <c r="L9032" t="n">
        <v>0</v>
      </c>
      <c r="M9032" t="n">
        <v>0</v>
      </c>
      <c r="N9032" t="n">
        <v>0</v>
      </c>
      <c r="O9032" t="n">
        <v>0</v>
      </c>
      <c r="P9032" t="n">
        <v>0</v>
      </c>
      <c r="Q9032" t="n">
        <v>0</v>
      </c>
      <c r="R9032" s="2" t="inlineStr"/>
    </row>
    <row r="9033" ht="15" customHeight="1">
      <c r="A9033" t="inlineStr">
        <is>
          <t>A 51411-2022</t>
        </is>
      </c>
      <c r="B9033" s="1" t="n">
        <v>44866</v>
      </c>
      <c r="C9033" s="1" t="n">
        <v>45212</v>
      </c>
      <c r="D9033" t="inlineStr">
        <is>
          <t>VÄSTRA GÖTALANDS LÄN</t>
        </is>
      </c>
      <c r="E9033" t="inlineStr">
        <is>
          <t>MUNKEDAL</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50382-2022</t>
        </is>
      </c>
      <c r="B9034" s="1" t="n">
        <v>44866</v>
      </c>
      <c r="C9034" s="1" t="n">
        <v>45212</v>
      </c>
      <c r="D9034" t="inlineStr">
        <is>
          <t>VÄSTRA GÖTALANDS LÄN</t>
        </is>
      </c>
      <c r="E9034" t="inlineStr">
        <is>
          <t>BORÅS</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50521-2022</t>
        </is>
      </c>
      <c r="B9035" s="1" t="n">
        <v>44866</v>
      </c>
      <c r="C9035" s="1" t="n">
        <v>45212</v>
      </c>
      <c r="D9035" t="inlineStr">
        <is>
          <t>VÄSTRA GÖTALANDS LÄN</t>
        </is>
      </c>
      <c r="E9035" t="inlineStr">
        <is>
          <t>TRANEMO</t>
        </is>
      </c>
      <c r="F9035" t="inlineStr">
        <is>
          <t>Sveaskog</t>
        </is>
      </c>
      <c r="G9035" t="n">
        <v>2.2</v>
      </c>
      <c r="H9035" t="n">
        <v>0</v>
      </c>
      <c r="I9035" t="n">
        <v>0</v>
      </c>
      <c r="J9035" t="n">
        <v>0</v>
      </c>
      <c r="K9035" t="n">
        <v>0</v>
      </c>
      <c r="L9035" t="n">
        <v>0</v>
      </c>
      <c r="M9035" t="n">
        <v>0</v>
      </c>
      <c r="N9035" t="n">
        <v>0</v>
      </c>
      <c r="O9035" t="n">
        <v>0</v>
      </c>
      <c r="P9035" t="n">
        <v>0</v>
      </c>
      <c r="Q9035" t="n">
        <v>0</v>
      </c>
      <c r="R9035" s="2" t="inlineStr"/>
    </row>
    <row r="9036" ht="15" customHeight="1">
      <c r="A9036" t="inlineStr">
        <is>
          <t>A 50605-2022</t>
        </is>
      </c>
      <c r="B9036" s="1" t="n">
        <v>44866</v>
      </c>
      <c r="C9036" s="1" t="n">
        <v>45212</v>
      </c>
      <c r="D9036" t="inlineStr">
        <is>
          <t>VÄSTRA GÖTALANDS LÄN</t>
        </is>
      </c>
      <c r="E9036" t="inlineStr">
        <is>
          <t>BORÅS</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51401-2022</t>
        </is>
      </c>
      <c r="B9037" s="1" t="n">
        <v>44866</v>
      </c>
      <c r="C9037" s="1" t="n">
        <v>45212</v>
      </c>
      <c r="D9037" t="inlineStr">
        <is>
          <t>VÄSTRA GÖTALANDS LÄN</t>
        </is>
      </c>
      <c r="E9037" t="inlineStr">
        <is>
          <t>MUNKEDAL</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51407-2022</t>
        </is>
      </c>
      <c r="B9038" s="1" t="n">
        <v>44866</v>
      </c>
      <c r="C9038" s="1" t="n">
        <v>45212</v>
      </c>
      <c r="D9038" t="inlineStr">
        <is>
          <t>VÄSTRA GÖTALANDS LÄN</t>
        </is>
      </c>
      <c r="E9038" t="inlineStr">
        <is>
          <t>MUNKEDAL</t>
        </is>
      </c>
      <c r="G9038" t="n">
        <v>0.4</v>
      </c>
      <c r="H9038" t="n">
        <v>0</v>
      </c>
      <c r="I9038" t="n">
        <v>0</v>
      </c>
      <c r="J9038" t="n">
        <v>0</v>
      </c>
      <c r="K9038" t="n">
        <v>0</v>
      </c>
      <c r="L9038" t="n">
        <v>0</v>
      </c>
      <c r="M9038" t="n">
        <v>0</v>
      </c>
      <c r="N9038" t="n">
        <v>0</v>
      </c>
      <c r="O9038" t="n">
        <v>0</v>
      </c>
      <c r="P9038" t="n">
        <v>0</v>
      </c>
      <c r="Q9038" t="n">
        <v>0</v>
      </c>
      <c r="R9038" s="2" t="inlineStr"/>
    </row>
    <row r="9039" ht="15" customHeight="1">
      <c r="A9039" t="inlineStr">
        <is>
          <t>A 51423-2022</t>
        </is>
      </c>
      <c r="B9039" s="1" t="n">
        <v>44866</v>
      </c>
      <c r="C9039" s="1" t="n">
        <v>45212</v>
      </c>
      <c r="D9039" t="inlineStr">
        <is>
          <t>VÄSTRA GÖTALANDS LÄN</t>
        </is>
      </c>
      <c r="E9039" t="inlineStr">
        <is>
          <t>MUNKEDAL</t>
        </is>
      </c>
      <c r="G9039" t="n">
        <v>11.6</v>
      </c>
      <c r="H9039" t="n">
        <v>0</v>
      </c>
      <c r="I9039" t="n">
        <v>0</v>
      </c>
      <c r="J9039" t="n">
        <v>0</v>
      </c>
      <c r="K9039" t="n">
        <v>0</v>
      </c>
      <c r="L9039" t="n">
        <v>0</v>
      </c>
      <c r="M9039" t="n">
        <v>0</v>
      </c>
      <c r="N9039" t="n">
        <v>0</v>
      </c>
      <c r="O9039" t="n">
        <v>0</v>
      </c>
      <c r="P9039" t="n">
        <v>0</v>
      </c>
      <c r="Q9039" t="n">
        <v>0</v>
      </c>
      <c r="R9039" s="2" t="inlineStr"/>
    </row>
    <row r="9040" ht="15" customHeight="1">
      <c r="A9040" t="inlineStr">
        <is>
          <t>A 50428-2022</t>
        </is>
      </c>
      <c r="B9040" s="1" t="n">
        <v>44866</v>
      </c>
      <c r="C9040" s="1" t="n">
        <v>45212</v>
      </c>
      <c r="D9040" t="inlineStr">
        <is>
          <t>VÄSTRA GÖTALANDS LÄN</t>
        </is>
      </c>
      <c r="E9040" t="inlineStr">
        <is>
          <t>ÅMÅL</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50523-2022</t>
        </is>
      </c>
      <c r="B9041" s="1" t="n">
        <v>44866</v>
      </c>
      <c r="C9041" s="1" t="n">
        <v>45212</v>
      </c>
      <c r="D9041" t="inlineStr">
        <is>
          <t>VÄSTRA GÖTALANDS LÄN</t>
        </is>
      </c>
      <c r="E9041" t="inlineStr">
        <is>
          <t>TRANEMO</t>
        </is>
      </c>
      <c r="F9041" t="inlineStr">
        <is>
          <t>Sveaskog</t>
        </is>
      </c>
      <c r="G9041" t="n">
        <v>1.3</v>
      </c>
      <c r="H9041" t="n">
        <v>0</v>
      </c>
      <c r="I9041" t="n">
        <v>0</v>
      </c>
      <c r="J9041" t="n">
        <v>0</v>
      </c>
      <c r="K9041" t="n">
        <v>0</v>
      </c>
      <c r="L9041" t="n">
        <v>0</v>
      </c>
      <c r="M9041" t="n">
        <v>0</v>
      </c>
      <c r="N9041" t="n">
        <v>0</v>
      </c>
      <c r="O9041" t="n">
        <v>0</v>
      </c>
      <c r="P9041" t="n">
        <v>0</v>
      </c>
      <c r="Q9041" t="n">
        <v>0</v>
      </c>
      <c r="R9041" s="2" t="inlineStr"/>
    </row>
    <row r="9042" ht="15" customHeight="1">
      <c r="A9042" t="inlineStr">
        <is>
          <t>A 50609-2022</t>
        </is>
      </c>
      <c r="B9042" s="1" t="n">
        <v>44866</v>
      </c>
      <c r="C9042" s="1" t="n">
        <v>45212</v>
      </c>
      <c r="D9042" t="inlineStr">
        <is>
          <t>VÄSTRA GÖTALANDS LÄN</t>
        </is>
      </c>
      <c r="E9042" t="inlineStr">
        <is>
          <t>BENGTSFORS</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50628-2022</t>
        </is>
      </c>
      <c r="B9043" s="1" t="n">
        <v>44866</v>
      </c>
      <c r="C9043" s="1" t="n">
        <v>45212</v>
      </c>
      <c r="D9043" t="inlineStr">
        <is>
          <t>VÄSTRA GÖTALANDS LÄN</t>
        </is>
      </c>
      <c r="E9043" t="inlineStr">
        <is>
          <t>LIDKÖPING</t>
        </is>
      </c>
      <c r="G9043" t="n">
        <v>3.3</v>
      </c>
      <c r="H9043" t="n">
        <v>0</v>
      </c>
      <c r="I9043" t="n">
        <v>0</v>
      </c>
      <c r="J9043" t="n">
        <v>0</v>
      </c>
      <c r="K9043" t="n">
        <v>0</v>
      </c>
      <c r="L9043" t="n">
        <v>0</v>
      </c>
      <c r="M9043" t="n">
        <v>0</v>
      </c>
      <c r="N9043" t="n">
        <v>0</v>
      </c>
      <c r="O9043" t="n">
        <v>0</v>
      </c>
      <c r="P9043" t="n">
        <v>0</v>
      </c>
      <c r="Q9043" t="n">
        <v>0</v>
      </c>
      <c r="R9043" s="2" t="inlineStr"/>
    </row>
    <row r="9044" ht="15" customHeight="1">
      <c r="A9044" t="inlineStr">
        <is>
          <t>A 50955-2022</t>
        </is>
      </c>
      <c r="B9044" s="1" t="n">
        <v>44866</v>
      </c>
      <c r="C9044" s="1" t="n">
        <v>45212</v>
      </c>
      <c r="D9044" t="inlineStr">
        <is>
          <t>VÄSTRA GÖTALANDS LÄN</t>
        </is>
      </c>
      <c r="E9044" t="inlineStr">
        <is>
          <t>HERRLJUNGA</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51257-2022</t>
        </is>
      </c>
      <c r="B9045" s="1" t="n">
        <v>44866</v>
      </c>
      <c r="C9045" s="1" t="n">
        <v>45212</v>
      </c>
      <c r="D9045" t="inlineStr">
        <is>
          <t>VÄSTRA GÖTALANDS LÄN</t>
        </is>
      </c>
      <c r="E9045" t="inlineStr">
        <is>
          <t>ÅMÅL</t>
        </is>
      </c>
      <c r="G9045" t="n">
        <v>1.2</v>
      </c>
      <c r="H9045" t="n">
        <v>0</v>
      </c>
      <c r="I9045" t="n">
        <v>0</v>
      </c>
      <c r="J9045" t="n">
        <v>0</v>
      </c>
      <c r="K9045" t="n">
        <v>0</v>
      </c>
      <c r="L9045" t="n">
        <v>0</v>
      </c>
      <c r="M9045" t="n">
        <v>0</v>
      </c>
      <c r="N9045" t="n">
        <v>0</v>
      </c>
      <c r="O9045" t="n">
        <v>0</v>
      </c>
      <c r="P9045" t="n">
        <v>0</v>
      </c>
      <c r="Q9045" t="n">
        <v>0</v>
      </c>
      <c r="R9045" s="2" t="inlineStr"/>
    </row>
    <row r="9046" ht="15" customHeight="1">
      <c r="A9046" t="inlineStr">
        <is>
          <t>A 51409-2022</t>
        </is>
      </c>
      <c r="B9046" s="1" t="n">
        <v>44866</v>
      </c>
      <c r="C9046" s="1" t="n">
        <v>45212</v>
      </c>
      <c r="D9046" t="inlineStr">
        <is>
          <t>VÄSTRA GÖTALANDS LÄN</t>
        </is>
      </c>
      <c r="E9046" t="inlineStr">
        <is>
          <t>MUNKEDAL</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51431-2022</t>
        </is>
      </c>
      <c r="B9047" s="1" t="n">
        <v>44866</v>
      </c>
      <c r="C9047" s="1" t="n">
        <v>45212</v>
      </c>
      <c r="D9047" t="inlineStr">
        <is>
          <t>VÄSTRA GÖTALANDS LÄN</t>
        </is>
      </c>
      <c r="E9047" t="inlineStr">
        <is>
          <t>MUNKEDAL</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50830-2022</t>
        </is>
      </c>
      <c r="B9048" s="1" t="n">
        <v>44867</v>
      </c>
      <c r="C9048" s="1" t="n">
        <v>45212</v>
      </c>
      <c r="D9048" t="inlineStr">
        <is>
          <t>VÄSTRA GÖTALANDS LÄN</t>
        </is>
      </c>
      <c r="E9048" t="inlineStr">
        <is>
          <t>TRANEMO</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50935-2022</t>
        </is>
      </c>
      <c r="B9049" s="1" t="n">
        <v>44867</v>
      </c>
      <c r="C9049" s="1" t="n">
        <v>45212</v>
      </c>
      <c r="D9049" t="inlineStr">
        <is>
          <t>VÄSTRA GÖTALANDS LÄN</t>
        </is>
      </c>
      <c r="E9049" t="inlineStr">
        <is>
          <t>TANUM</t>
        </is>
      </c>
      <c r="G9049" t="n">
        <v>2.2</v>
      </c>
      <c r="H9049" t="n">
        <v>0</v>
      </c>
      <c r="I9049" t="n">
        <v>0</v>
      </c>
      <c r="J9049" t="n">
        <v>0</v>
      </c>
      <c r="K9049" t="n">
        <v>0</v>
      </c>
      <c r="L9049" t="n">
        <v>0</v>
      </c>
      <c r="M9049" t="n">
        <v>0</v>
      </c>
      <c r="N9049" t="n">
        <v>0</v>
      </c>
      <c r="O9049" t="n">
        <v>0</v>
      </c>
      <c r="P9049" t="n">
        <v>0</v>
      </c>
      <c r="Q9049" t="n">
        <v>0</v>
      </c>
      <c r="R9049" s="2" t="inlineStr"/>
    </row>
    <row r="9050" ht="15" customHeight="1">
      <c r="A9050" t="inlineStr">
        <is>
          <t>A 50982-2022</t>
        </is>
      </c>
      <c r="B9050" s="1" t="n">
        <v>44867</v>
      </c>
      <c r="C9050" s="1" t="n">
        <v>45212</v>
      </c>
      <c r="D9050" t="inlineStr">
        <is>
          <t>VÄSTRA GÖTALANDS LÄN</t>
        </is>
      </c>
      <c r="E9050" t="inlineStr">
        <is>
          <t>VARA</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50941-2022</t>
        </is>
      </c>
      <c r="B9051" s="1" t="n">
        <v>44867</v>
      </c>
      <c r="C9051" s="1" t="n">
        <v>45212</v>
      </c>
      <c r="D9051" t="inlineStr">
        <is>
          <t>VÄSTRA GÖTALANDS LÄN</t>
        </is>
      </c>
      <c r="E9051" t="inlineStr">
        <is>
          <t>TANUM</t>
        </is>
      </c>
      <c r="G9051" t="n">
        <v>2.7</v>
      </c>
      <c r="H9051" t="n">
        <v>0</v>
      </c>
      <c r="I9051" t="n">
        <v>0</v>
      </c>
      <c r="J9051" t="n">
        <v>0</v>
      </c>
      <c r="K9051" t="n">
        <v>0</v>
      </c>
      <c r="L9051" t="n">
        <v>0</v>
      </c>
      <c r="M9051" t="n">
        <v>0</v>
      </c>
      <c r="N9051" t="n">
        <v>0</v>
      </c>
      <c r="O9051" t="n">
        <v>0</v>
      </c>
      <c r="P9051" t="n">
        <v>0</v>
      </c>
      <c r="Q9051" t="n">
        <v>0</v>
      </c>
      <c r="R9051" s="2" t="inlineStr"/>
    </row>
    <row r="9052" ht="15" customHeight="1">
      <c r="A9052" t="inlineStr">
        <is>
          <t>A 50985-2022</t>
        </is>
      </c>
      <c r="B9052" s="1" t="n">
        <v>44867</v>
      </c>
      <c r="C9052" s="1" t="n">
        <v>45212</v>
      </c>
      <c r="D9052" t="inlineStr">
        <is>
          <t>VÄSTRA GÖTALANDS LÄN</t>
        </is>
      </c>
      <c r="E9052" t="inlineStr">
        <is>
          <t>VARA</t>
        </is>
      </c>
      <c r="G9052" t="n">
        <v>0.9</v>
      </c>
      <c r="H9052" t="n">
        <v>0</v>
      </c>
      <c r="I9052" t="n">
        <v>0</v>
      </c>
      <c r="J9052" t="n">
        <v>0</v>
      </c>
      <c r="K9052" t="n">
        <v>0</v>
      </c>
      <c r="L9052" t="n">
        <v>0</v>
      </c>
      <c r="M9052" t="n">
        <v>0</v>
      </c>
      <c r="N9052" t="n">
        <v>0</v>
      </c>
      <c r="O9052" t="n">
        <v>0</v>
      </c>
      <c r="P9052" t="n">
        <v>0</v>
      </c>
      <c r="Q9052" t="n">
        <v>0</v>
      </c>
      <c r="R9052" s="2" t="inlineStr"/>
    </row>
    <row r="9053" ht="15" customHeight="1">
      <c r="A9053" t="inlineStr">
        <is>
          <t>A 50858-2022</t>
        </is>
      </c>
      <c r="B9053" s="1" t="n">
        <v>44867</v>
      </c>
      <c r="C9053" s="1" t="n">
        <v>45212</v>
      </c>
      <c r="D9053" t="inlineStr">
        <is>
          <t>VÄSTRA GÖTALANDS LÄN</t>
        </is>
      </c>
      <c r="E9053" t="inlineStr">
        <is>
          <t>TRANEMO</t>
        </is>
      </c>
      <c r="G9053" t="n">
        <v>2</v>
      </c>
      <c r="H9053" t="n">
        <v>0</v>
      </c>
      <c r="I9053" t="n">
        <v>0</v>
      </c>
      <c r="J9053" t="n">
        <v>0</v>
      </c>
      <c r="K9053" t="n">
        <v>0</v>
      </c>
      <c r="L9053" t="n">
        <v>0</v>
      </c>
      <c r="M9053" t="n">
        <v>0</v>
      </c>
      <c r="N9053" t="n">
        <v>0</v>
      </c>
      <c r="O9053" t="n">
        <v>0</v>
      </c>
      <c r="P9053" t="n">
        <v>0</v>
      </c>
      <c r="Q9053" t="n">
        <v>0</v>
      </c>
      <c r="R9053" s="2" t="inlineStr"/>
    </row>
    <row r="9054" ht="15" customHeight="1">
      <c r="A9054" t="inlineStr">
        <is>
          <t>A 50984-2022</t>
        </is>
      </c>
      <c r="B9054" s="1" t="n">
        <v>44867</v>
      </c>
      <c r="C9054" s="1" t="n">
        <v>45212</v>
      </c>
      <c r="D9054" t="inlineStr">
        <is>
          <t>VÄSTRA GÖTALANDS LÄN</t>
        </is>
      </c>
      <c r="E9054" t="inlineStr">
        <is>
          <t>VARA</t>
        </is>
      </c>
      <c r="G9054" t="n">
        <v>0.2</v>
      </c>
      <c r="H9054" t="n">
        <v>0</v>
      </c>
      <c r="I9054" t="n">
        <v>0</v>
      </c>
      <c r="J9054" t="n">
        <v>0</v>
      </c>
      <c r="K9054" t="n">
        <v>0</v>
      </c>
      <c r="L9054" t="n">
        <v>0</v>
      </c>
      <c r="M9054" t="n">
        <v>0</v>
      </c>
      <c r="N9054" t="n">
        <v>0</v>
      </c>
      <c r="O9054" t="n">
        <v>0</v>
      </c>
      <c r="P9054" t="n">
        <v>0</v>
      </c>
      <c r="Q9054" t="n">
        <v>0</v>
      </c>
      <c r="R9054" s="2" t="inlineStr"/>
    </row>
    <row r="9055" ht="15" customHeight="1">
      <c r="A9055" t="inlineStr">
        <is>
          <t>A 50807-2022</t>
        </is>
      </c>
      <c r="B9055" s="1" t="n">
        <v>44867</v>
      </c>
      <c r="C9055" s="1" t="n">
        <v>45212</v>
      </c>
      <c r="D9055" t="inlineStr">
        <is>
          <t>VÄSTRA GÖTALANDS LÄN</t>
        </is>
      </c>
      <c r="E9055" t="inlineStr">
        <is>
          <t>MELLERUD</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50827-2022</t>
        </is>
      </c>
      <c r="B9056" s="1" t="n">
        <v>44867</v>
      </c>
      <c r="C9056" s="1" t="n">
        <v>45212</v>
      </c>
      <c r="D9056" t="inlineStr">
        <is>
          <t>VÄSTRA GÖTALANDS LÄN</t>
        </is>
      </c>
      <c r="E9056" t="inlineStr">
        <is>
          <t>TRANEMO</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51221-2022</t>
        </is>
      </c>
      <c r="B9057" s="1" t="n">
        <v>44868</v>
      </c>
      <c r="C9057" s="1" t="n">
        <v>45212</v>
      </c>
      <c r="D9057" t="inlineStr">
        <is>
          <t>VÄSTRA GÖTALANDS LÄN</t>
        </is>
      </c>
      <c r="E9057" t="inlineStr">
        <is>
          <t>ALINGSÅS</t>
        </is>
      </c>
      <c r="G9057" t="n">
        <v>1.4</v>
      </c>
      <c r="H9057" t="n">
        <v>0</v>
      </c>
      <c r="I9057" t="n">
        <v>0</v>
      </c>
      <c r="J9057" t="n">
        <v>0</v>
      </c>
      <c r="K9057" t="n">
        <v>0</v>
      </c>
      <c r="L9057" t="n">
        <v>0</v>
      </c>
      <c r="M9057" t="n">
        <v>0</v>
      </c>
      <c r="N9057" t="n">
        <v>0</v>
      </c>
      <c r="O9057" t="n">
        <v>0</v>
      </c>
      <c r="P9057" t="n">
        <v>0</v>
      </c>
      <c r="Q9057" t="n">
        <v>0</v>
      </c>
      <c r="R9057" s="2" t="inlineStr"/>
    </row>
    <row r="9058" ht="15" customHeight="1">
      <c r="A9058" t="inlineStr">
        <is>
          <t>A 51916-2022</t>
        </is>
      </c>
      <c r="B9058" s="1" t="n">
        <v>44868</v>
      </c>
      <c r="C9058" s="1" t="n">
        <v>45212</v>
      </c>
      <c r="D9058" t="inlineStr">
        <is>
          <t>VÄSTRA GÖTALANDS LÄN</t>
        </is>
      </c>
      <c r="E9058" t="inlineStr">
        <is>
          <t>MELLERUD</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51032-2022</t>
        </is>
      </c>
      <c r="B9059" s="1" t="n">
        <v>44868</v>
      </c>
      <c r="C9059" s="1" t="n">
        <v>45212</v>
      </c>
      <c r="D9059" t="inlineStr">
        <is>
          <t>VÄSTRA GÖTALANDS LÄN</t>
        </is>
      </c>
      <c r="E9059" t="inlineStr">
        <is>
          <t>MARIESTAD</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51053-2022</t>
        </is>
      </c>
      <c r="B9060" s="1" t="n">
        <v>44868</v>
      </c>
      <c r="C9060" s="1" t="n">
        <v>45212</v>
      </c>
      <c r="D9060" t="inlineStr">
        <is>
          <t>VÄSTRA GÖTALANDS LÄN</t>
        </is>
      </c>
      <c r="E9060" t="inlineStr">
        <is>
          <t>BENGTSFORS</t>
        </is>
      </c>
      <c r="G9060" t="n">
        <v>4.1</v>
      </c>
      <c r="H9060" t="n">
        <v>0</v>
      </c>
      <c r="I9060" t="n">
        <v>0</v>
      </c>
      <c r="J9060" t="n">
        <v>0</v>
      </c>
      <c r="K9060" t="n">
        <v>0</v>
      </c>
      <c r="L9060" t="n">
        <v>0</v>
      </c>
      <c r="M9060" t="n">
        <v>0</v>
      </c>
      <c r="N9060" t="n">
        <v>0</v>
      </c>
      <c r="O9060" t="n">
        <v>0</v>
      </c>
      <c r="P9060" t="n">
        <v>0</v>
      </c>
      <c r="Q9060" t="n">
        <v>0</v>
      </c>
      <c r="R9060" s="2" t="inlineStr"/>
    </row>
    <row r="9061" ht="15" customHeight="1">
      <c r="A9061" t="inlineStr">
        <is>
          <t>A 51229-2022</t>
        </is>
      </c>
      <c r="B9061" s="1" t="n">
        <v>44868</v>
      </c>
      <c r="C9061" s="1" t="n">
        <v>45212</v>
      </c>
      <c r="D9061" t="inlineStr">
        <is>
          <t>VÄSTRA GÖTALANDS LÄN</t>
        </is>
      </c>
      <c r="E9061" t="inlineStr">
        <is>
          <t>BOLLEBYGD</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51056-2022</t>
        </is>
      </c>
      <c r="B9062" s="1" t="n">
        <v>44868</v>
      </c>
      <c r="C9062" s="1" t="n">
        <v>45212</v>
      </c>
      <c r="D9062" t="inlineStr">
        <is>
          <t>VÄSTRA GÖTALANDS LÄN</t>
        </is>
      </c>
      <c r="E9062" t="inlineStr">
        <is>
          <t>ÅMÅL</t>
        </is>
      </c>
      <c r="G9062" t="n">
        <v>0.1</v>
      </c>
      <c r="H9062" t="n">
        <v>0</v>
      </c>
      <c r="I9062" t="n">
        <v>0</v>
      </c>
      <c r="J9062" t="n">
        <v>0</v>
      </c>
      <c r="K9062" t="n">
        <v>0</v>
      </c>
      <c r="L9062" t="n">
        <v>0</v>
      </c>
      <c r="M9062" t="n">
        <v>0</v>
      </c>
      <c r="N9062" t="n">
        <v>0</v>
      </c>
      <c r="O9062" t="n">
        <v>0</v>
      </c>
      <c r="P9062" t="n">
        <v>0</v>
      </c>
      <c r="Q9062" t="n">
        <v>0</v>
      </c>
      <c r="R9062" s="2" t="inlineStr"/>
    </row>
    <row r="9063" ht="15" customHeight="1">
      <c r="A9063" t="inlineStr">
        <is>
          <t>A 51128-2022</t>
        </is>
      </c>
      <c r="B9063" s="1" t="n">
        <v>44868</v>
      </c>
      <c r="C9063" s="1" t="n">
        <v>45212</v>
      </c>
      <c r="D9063" t="inlineStr">
        <is>
          <t>VÄSTRA GÖTALANDS LÄN</t>
        </is>
      </c>
      <c r="E9063" t="inlineStr">
        <is>
          <t>LYSEKIL</t>
        </is>
      </c>
      <c r="G9063" t="n">
        <v>6.1</v>
      </c>
      <c r="H9063" t="n">
        <v>0</v>
      </c>
      <c r="I9063" t="n">
        <v>0</v>
      </c>
      <c r="J9063" t="n">
        <v>0</v>
      </c>
      <c r="K9063" t="n">
        <v>0</v>
      </c>
      <c r="L9063" t="n">
        <v>0</v>
      </c>
      <c r="M9063" t="n">
        <v>0</v>
      </c>
      <c r="N9063" t="n">
        <v>0</v>
      </c>
      <c r="O9063" t="n">
        <v>0</v>
      </c>
      <c r="P9063" t="n">
        <v>0</v>
      </c>
      <c r="Q9063" t="n">
        <v>0</v>
      </c>
      <c r="R9063" s="2" t="inlineStr"/>
    </row>
    <row r="9064" ht="15" customHeight="1">
      <c r="A9064" t="inlineStr">
        <is>
          <t>A 52066-2022</t>
        </is>
      </c>
      <c r="B9064" s="1" t="n">
        <v>44868</v>
      </c>
      <c r="C9064" s="1" t="n">
        <v>45212</v>
      </c>
      <c r="D9064" t="inlineStr">
        <is>
          <t>VÄSTRA GÖTALANDS LÄN</t>
        </is>
      </c>
      <c r="E9064" t="inlineStr">
        <is>
          <t>BENGTSFORS</t>
        </is>
      </c>
      <c r="F9064" t="inlineStr">
        <is>
          <t>Kyrkan</t>
        </is>
      </c>
      <c r="G9064" t="n">
        <v>4</v>
      </c>
      <c r="H9064" t="n">
        <v>0</v>
      </c>
      <c r="I9064" t="n">
        <v>0</v>
      </c>
      <c r="J9064" t="n">
        <v>0</v>
      </c>
      <c r="K9064" t="n">
        <v>0</v>
      </c>
      <c r="L9064" t="n">
        <v>0</v>
      </c>
      <c r="M9064" t="n">
        <v>0</v>
      </c>
      <c r="N9064" t="n">
        <v>0</v>
      </c>
      <c r="O9064" t="n">
        <v>0</v>
      </c>
      <c r="P9064" t="n">
        <v>0</v>
      </c>
      <c r="Q9064" t="n">
        <v>0</v>
      </c>
      <c r="R9064" s="2" t="inlineStr"/>
    </row>
    <row r="9065" ht="15" customHeight="1">
      <c r="A9065" t="inlineStr">
        <is>
          <t>A 52252-2022</t>
        </is>
      </c>
      <c r="B9065" s="1" t="n">
        <v>44869</v>
      </c>
      <c r="C9065" s="1" t="n">
        <v>45212</v>
      </c>
      <c r="D9065" t="inlineStr">
        <is>
          <t>VÄSTRA GÖTALANDS LÄN</t>
        </is>
      </c>
      <c r="E9065" t="inlineStr">
        <is>
          <t>FALKÖPING</t>
        </is>
      </c>
      <c r="G9065" t="n">
        <v>2.2</v>
      </c>
      <c r="H9065" t="n">
        <v>0</v>
      </c>
      <c r="I9065" t="n">
        <v>0</v>
      </c>
      <c r="J9065" t="n">
        <v>0</v>
      </c>
      <c r="K9065" t="n">
        <v>0</v>
      </c>
      <c r="L9065" t="n">
        <v>0</v>
      </c>
      <c r="M9065" t="n">
        <v>0</v>
      </c>
      <c r="N9065" t="n">
        <v>0</v>
      </c>
      <c r="O9065" t="n">
        <v>0</v>
      </c>
      <c r="P9065" t="n">
        <v>0</v>
      </c>
      <c r="Q9065" t="n">
        <v>0</v>
      </c>
      <c r="R9065" s="2" t="inlineStr"/>
    </row>
    <row r="9066" ht="15" customHeight="1">
      <c r="A9066" t="inlineStr">
        <is>
          <t>A 52291-2022</t>
        </is>
      </c>
      <c r="B9066" s="1" t="n">
        <v>44869</v>
      </c>
      <c r="C9066" s="1" t="n">
        <v>45212</v>
      </c>
      <c r="D9066" t="inlineStr">
        <is>
          <t>VÄSTRA GÖTALANDS LÄN</t>
        </is>
      </c>
      <c r="E9066" t="inlineStr">
        <is>
          <t>TROLLHÄTTAN</t>
        </is>
      </c>
      <c r="F9066" t="inlineStr">
        <is>
          <t>Kyrkan</t>
        </is>
      </c>
      <c r="G9066" t="n">
        <v>1.7</v>
      </c>
      <c r="H9066" t="n">
        <v>0</v>
      </c>
      <c r="I9066" t="n">
        <v>0</v>
      </c>
      <c r="J9066" t="n">
        <v>0</v>
      </c>
      <c r="K9066" t="n">
        <v>0</v>
      </c>
      <c r="L9066" t="n">
        <v>0</v>
      </c>
      <c r="M9066" t="n">
        <v>0</v>
      </c>
      <c r="N9066" t="n">
        <v>0</v>
      </c>
      <c r="O9066" t="n">
        <v>0</v>
      </c>
      <c r="P9066" t="n">
        <v>0</v>
      </c>
      <c r="Q9066" t="n">
        <v>0</v>
      </c>
      <c r="R9066" s="2" t="inlineStr"/>
    </row>
    <row r="9067" ht="15" customHeight="1">
      <c r="A9067" t="inlineStr">
        <is>
          <t>A 51495-2022</t>
        </is>
      </c>
      <c r="B9067" s="1" t="n">
        <v>44869</v>
      </c>
      <c r="C9067" s="1" t="n">
        <v>45212</v>
      </c>
      <c r="D9067" t="inlineStr">
        <is>
          <t>VÄSTRA GÖTALANDS LÄN</t>
        </is>
      </c>
      <c r="E9067" t="inlineStr">
        <is>
          <t>MARK</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51442-2022</t>
        </is>
      </c>
      <c r="B9068" s="1" t="n">
        <v>44869</v>
      </c>
      <c r="C9068" s="1" t="n">
        <v>45212</v>
      </c>
      <c r="D9068" t="inlineStr">
        <is>
          <t>VÄSTRA GÖTALANDS LÄN</t>
        </is>
      </c>
      <c r="E9068" t="inlineStr">
        <is>
          <t>MARK</t>
        </is>
      </c>
      <c r="G9068" t="n">
        <v>6.5</v>
      </c>
      <c r="H9068" t="n">
        <v>0</v>
      </c>
      <c r="I9068" t="n">
        <v>0</v>
      </c>
      <c r="J9068" t="n">
        <v>0</v>
      </c>
      <c r="K9068" t="n">
        <v>0</v>
      </c>
      <c r="L9068" t="n">
        <v>0</v>
      </c>
      <c r="M9068" t="n">
        <v>0</v>
      </c>
      <c r="N9068" t="n">
        <v>0</v>
      </c>
      <c r="O9068" t="n">
        <v>0</v>
      </c>
      <c r="P9068" t="n">
        <v>0</v>
      </c>
      <c r="Q9068" t="n">
        <v>0</v>
      </c>
      <c r="R9068" s="2" t="inlineStr"/>
    </row>
    <row r="9069" ht="15" customHeight="1">
      <c r="A9069" t="inlineStr">
        <is>
          <t>A 51497-2022</t>
        </is>
      </c>
      <c r="B9069" s="1" t="n">
        <v>44869</v>
      </c>
      <c r="C9069" s="1" t="n">
        <v>45212</v>
      </c>
      <c r="D9069" t="inlineStr">
        <is>
          <t>VÄSTRA GÖTALANDS LÄN</t>
        </is>
      </c>
      <c r="E9069" t="inlineStr">
        <is>
          <t>MARK</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51488-2022</t>
        </is>
      </c>
      <c r="B9070" s="1" t="n">
        <v>44869</v>
      </c>
      <c r="C9070" s="1" t="n">
        <v>45212</v>
      </c>
      <c r="D9070" t="inlineStr">
        <is>
          <t>VÄSTRA GÖTALANDS LÄN</t>
        </is>
      </c>
      <c r="E9070" t="inlineStr">
        <is>
          <t>LILLA EDET</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51905-2022</t>
        </is>
      </c>
      <c r="B9071" s="1" t="n">
        <v>44872</v>
      </c>
      <c r="C9071" s="1" t="n">
        <v>45212</v>
      </c>
      <c r="D9071" t="inlineStr">
        <is>
          <t>VÄSTRA GÖTALANDS LÄN</t>
        </is>
      </c>
      <c r="E9071" t="inlineStr">
        <is>
          <t>SVENLJUNGA</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51760-2022</t>
        </is>
      </c>
      <c r="B9072" s="1" t="n">
        <v>44872</v>
      </c>
      <c r="C9072" s="1" t="n">
        <v>45212</v>
      </c>
      <c r="D9072" t="inlineStr">
        <is>
          <t>VÄSTRA GÖTALANDS LÄN</t>
        </is>
      </c>
      <c r="E9072" t="inlineStr">
        <is>
          <t>LILLA EDET</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51812-2022</t>
        </is>
      </c>
      <c r="B9073" s="1" t="n">
        <v>44872</v>
      </c>
      <c r="C9073" s="1" t="n">
        <v>45212</v>
      </c>
      <c r="D9073" t="inlineStr">
        <is>
          <t>VÄSTRA GÖTALANDS LÄN</t>
        </is>
      </c>
      <c r="E9073" t="inlineStr">
        <is>
          <t>TANUM</t>
        </is>
      </c>
      <c r="G9073" t="n">
        <v>6.6</v>
      </c>
      <c r="H9073" t="n">
        <v>0</v>
      </c>
      <c r="I9073" t="n">
        <v>0</v>
      </c>
      <c r="J9073" t="n">
        <v>0</v>
      </c>
      <c r="K9073" t="n">
        <v>0</v>
      </c>
      <c r="L9073" t="n">
        <v>0</v>
      </c>
      <c r="M9073" t="n">
        <v>0</v>
      </c>
      <c r="N9073" t="n">
        <v>0</v>
      </c>
      <c r="O9073" t="n">
        <v>0</v>
      </c>
      <c r="P9073" t="n">
        <v>0</v>
      </c>
      <c r="Q9073" t="n">
        <v>0</v>
      </c>
      <c r="R9073" s="2" t="inlineStr"/>
    </row>
    <row r="9074" ht="15" customHeight="1">
      <c r="A9074" t="inlineStr">
        <is>
          <t>A 51825-2022</t>
        </is>
      </c>
      <c r="B9074" s="1" t="n">
        <v>44872</v>
      </c>
      <c r="C9074" s="1" t="n">
        <v>45212</v>
      </c>
      <c r="D9074" t="inlineStr">
        <is>
          <t>VÄSTRA GÖTALANDS LÄN</t>
        </is>
      </c>
      <c r="E9074" t="inlineStr">
        <is>
          <t>TANUM</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51985-2022</t>
        </is>
      </c>
      <c r="B9075" s="1" t="n">
        <v>44872</v>
      </c>
      <c r="C9075" s="1" t="n">
        <v>45212</v>
      </c>
      <c r="D9075" t="inlineStr">
        <is>
          <t>VÄSTRA GÖTALANDS LÄN</t>
        </is>
      </c>
      <c r="E9075" t="inlineStr">
        <is>
          <t>VÄNERSBORG</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51854-2022</t>
        </is>
      </c>
      <c r="B9076" s="1" t="n">
        <v>44872</v>
      </c>
      <c r="C9076" s="1" t="n">
        <v>45212</v>
      </c>
      <c r="D9076" t="inlineStr">
        <is>
          <t>VÄSTRA GÖTALANDS LÄN</t>
        </is>
      </c>
      <c r="E9076" t="inlineStr">
        <is>
          <t>FÄRGELANDA</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51993-2022</t>
        </is>
      </c>
      <c r="B9077" s="1" t="n">
        <v>44872</v>
      </c>
      <c r="C9077" s="1" t="n">
        <v>45212</v>
      </c>
      <c r="D9077" t="inlineStr">
        <is>
          <t>VÄSTRA GÖTALANDS LÄN</t>
        </is>
      </c>
      <c r="E9077" t="inlineStr">
        <is>
          <t>ORUST</t>
        </is>
      </c>
      <c r="G9077" t="n">
        <v>2.2</v>
      </c>
      <c r="H9077" t="n">
        <v>0</v>
      </c>
      <c r="I9077" t="n">
        <v>0</v>
      </c>
      <c r="J9077" t="n">
        <v>0</v>
      </c>
      <c r="K9077" t="n">
        <v>0</v>
      </c>
      <c r="L9077" t="n">
        <v>0</v>
      </c>
      <c r="M9077" t="n">
        <v>0</v>
      </c>
      <c r="N9077" t="n">
        <v>0</v>
      </c>
      <c r="O9077" t="n">
        <v>0</v>
      </c>
      <c r="P9077" t="n">
        <v>0</v>
      </c>
      <c r="Q9077" t="n">
        <v>0</v>
      </c>
      <c r="R9077" s="2" t="inlineStr"/>
    </row>
    <row r="9078" ht="15" customHeight="1">
      <c r="A9078" t="inlineStr">
        <is>
          <t>A 52151-2022</t>
        </is>
      </c>
      <c r="B9078" s="1" t="n">
        <v>44873</v>
      </c>
      <c r="C9078" s="1" t="n">
        <v>45212</v>
      </c>
      <c r="D9078" t="inlineStr">
        <is>
          <t>VÄSTRA GÖTALANDS LÄN</t>
        </is>
      </c>
      <c r="E9078" t="inlineStr">
        <is>
          <t>FÄRGELANDA</t>
        </is>
      </c>
      <c r="G9078" t="n">
        <v>7.1</v>
      </c>
      <c r="H9078" t="n">
        <v>0</v>
      </c>
      <c r="I9078" t="n">
        <v>0</v>
      </c>
      <c r="J9078" t="n">
        <v>0</v>
      </c>
      <c r="K9078" t="n">
        <v>0</v>
      </c>
      <c r="L9078" t="n">
        <v>0</v>
      </c>
      <c r="M9078" t="n">
        <v>0</v>
      </c>
      <c r="N9078" t="n">
        <v>0</v>
      </c>
      <c r="O9078" t="n">
        <v>0</v>
      </c>
      <c r="P9078" t="n">
        <v>0</v>
      </c>
      <c r="Q9078" t="n">
        <v>0</v>
      </c>
      <c r="R9078" s="2" t="inlineStr"/>
    </row>
    <row r="9079" ht="15" customHeight="1">
      <c r="A9079" t="inlineStr">
        <is>
          <t>A 52302-2022</t>
        </is>
      </c>
      <c r="B9079" s="1" t="n">
        <v>44873</v>
      </c>
      <c r="C9079" s="1" t="n">
        <v>45212</v>
      </c>
      <c r="D9079" t="inlineStr">
        <is>
          <t>VÄSTRA GÖTALANDS LÄN</t>
        </is>
      </c>
      <c r="E9079" t="inlineStr">
        <is>
          <t>MUNKEDAL</t>
        </is>
      </c>
      <c r="G9079" t="n">
        <v>9.300000000000001</v>
      </c>
      <c r="H9079" t="n">
        <v>0</v>
      </c>
      <c r="I9079" t="n">
        <v>0</v>
      </c>
      <c r="J9079" t="n">
        <v>0</v>
      </c>
      <c r="K9079" t="n">
        <v>0</v>
      </c>
      <c r="L9079" t="n">
        <v>0</v>
      </c>
      <c r="M9079" t="n">
        <v>0</v>
      </c>
      <c r="N9079" t="n">
        <v>0</v>
      </c>
      <c r="O9079" t="n">
        <v>0</v>
      </c>
      <c r="P9079" t="n">
        <v>0</v>
      </c>
      <c r="Q9079" t="n">
        <v>0</v>
      </c>
      <c r="R9079" s="2" t="inlineStr"/>
    </row>
    <row r="9080" ht="15" customHeight="1">
      <c r="A9080" t="inlineStr">
        <is>
          <t>A 52307-2022</t>
        </is>
      </c>
      <c r="B9080" s="1" t="n">
        <v>44873</v>
      </c>
      <c r="C9080" s="1" t="n">
        <v>45212</v>
      </c>
      <c r="D9080" t="inlineStr">
        <is>
          <t>VÄSTRA GÖTALANDS LÄN</t>
        </is>
      </c>
      <c r="E9080" t="inlineStr">
        <is>
          <t>BORÅS</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53084-2022</t>
        </is>
      </c>
      <c r="B9081" s="1" t="n">
        <v>44873</v>
      </c>
      <c r="C9081" s="1" t="n">
        <v>45212</v>
      </c>
      <c r="D9081" t="inlineStr">
        <is>
          <t>VÄSTRA GÖTALANDS LÄN</t>
        </is>
      </c>
      <c r="E9081" t="inlineStr">
        <is>
          <t>DALS-ED</t>
        </is>
      </c>
      <c r="G9081" t="n">
        <v>9.4</v>
      </c>
      <c r="H9081" t="n">
        <v>0</v>
      </c>
      <c r="I9081" t="n">
        <v>0</v>
      </c>
      <c r="J9081" t="n">
        <v>0</v>
      </c>
      <c r="K9081" t="n">
        <v>0</v>
      </c>
      <c r="L9081" t="n">
        <v>0</v>
      </c>
      <c r="M9081" t="n">
        <v>0</v>
      </c>
      <c r="N9081" t="n">
        <v>0</v>
      </c>
      <c r="O9081" t="n">
        <v>0</v>
      </c>
      <c r="P9081" t="n">
        <v>0</v>
      </c>
      <c r="Q9081" t="n">
        <v>0</v>
      </c>
      <c r="R9081" s="2" t="inlineStr"/>
    </row>
    <row r="9082" ht="15" customHeight="1">
      <c r="A9082" t="inlineStr">
        <is>
          <t>A 52242-2022</t>
        </is>
      </c>
      <c r="B9082" s="1" t="n">
        <v>44873</v>
      </c>
      <c r="C9082" s="1" t="n">
        <v>45212</v>
      </c>
      <c r="D9082" t="inlineStr">
        <is>
          <t>VÄSTRA GÖTALANDS LÄN</t>
        </is>
      </c>
      <c r="E9082" t="inlineStr">
        <is>
          <t>STENUNGSUND</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52269-2022</t>
        </is>
      </c>
      <c r="B9083" s="1" t="n">
        <v>44873</v>
      </c>
      <c r="C9083" s="1" t="n">
        <v>45212</v>
      </c>
      <c r="D9083" t="inlineStr">
        <is>
          <t>VÄSTRA GÖTALANDS LÄN</t>
        </is>
      </c>
      <c r="E9083" t="inlineStr">
        <is>
          <t>MELLERUD</t>
        </is>
      </c>
      <c r="G9083" t="n">
        <v>4.6</v>
      </c>
      <c r="H9083" t="n">
        <v>0</v>
      </c>
      <c r="I9083" t="n">
        <v>0</v>
      </c>
      <c r="J9083" t="n">
        <v>0</v>
      </c>
      <c r="K9083" t="n">
        <v>0</v>
      </c>
      <c r="L9083" t="n">
        <v>0</v>
      </c>
      <c r="M9083" t="n">
        <v>0</v>
      </c>
      <c r="N9083" t="n">
        <v>0</v>
      </c>
      <c r="O9083" t="n">
        <v>0</v>
      </c>
      <c r="P9083" t="n">
        <v>0</v>
      </c>
      <c r="Q9083" t="n">
        <v>0</v>
      </c>
      <c r="R9083" s="2" t="inlineStr"/>
    </row>
    <row r="9084" ht="15" customHeight="1">
      <c r="A9084" t="inlineStr">
        <is>
          <t>A 52308-2022</t>
        </is>
      </c>
      <c r="B9084" s="1" t="n">
        <v>44873</v>
      </c>
      <c r="C9084" s="1" t="n">
        <v>45212</v>
      </c>
      <c r="D9084" t="inlineStr">
        <is>
          <t>VÄSTRA GÖTALANDS LÄN</t>
        </is>
      </c>
      <c r="E9084" t="inlineStr">
        <is>
          <t>BORÅS</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52537-2022</t>
        </is>
      </c>
      <c r="B9085" s="1" t="n">
        <v>44874</v>
      </c>
      <c r="C9085" s="1" t="n">
        <v>45212</v>
      </c>
      <c r="D9085" t="inlineStr">
        <is>
          <t>VÄSTRA GÖTALANDS LÄN</t>
        </is>
      </c>
      <c r="E9085" t="inlineStr">
        <is>
          <t>SKARA</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52918-2022</t>
        </is>
      </c>
      <c r="B9086" s="1" t="n">
        <v>44875</v>
      </c>
      <c r="C9086" s="1" t="n">
        <v>45212</v>
      </c>
      <c r="D9086" t="inlineStr">
        <is>
          <t>VÄSTRA GÖTALANDS LÄN</t>
        </is>
      </c>
      <c r="E9086" t="inlineStr">
        <is>
          <t>TIDAHOLM</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52902-2022</t>
        </is>
      </c>
      <c r="B9087" s="1" t="n">
        <v>44875</v>
      </c>
      <c r="C9087" s="1" t="n">
        <v>45212</v>
      </c>
      <c r="D9087" t="inlineStr">
        <is>
          <t>VÄSTRA GÖTALANDS LÄN</t>
        </is>
      </c>
      <c r="E9087" t="inlineStr">
        <is>
          <t>BENGTSFORS</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52973-2022</t>
        </is>
      </c>
      <c r="B9088" s="1" t="n">
        <v>44875</v>
      </c>
      <c r="C9088" s="1" t="n">
        <v>45212</v>
      </c>
      <c r="D9088" t="inlineStr">
        <is>
          <t>VÄSTRA GÖTALANDS LÄN</t>
        </is>
      </c>
      <c r="E9088" t="inlineStr">
        <is>
          <t>LERUM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52982-2022</t>
        </is>
      </c>
      <c r="B9089" s="1" t="n">
        <v>44875</v>
      </c>
      <c r="C9089" s="1" t="n">
        <v>45212</v>
      </c>
      <c r="D9089" t="inlineStr">
        <is>
          <t>VÄSTRA GÖTALANDS LÄN</t>
        </is>
      </c>
      <c r="E9089" t="inlineStr">
        <is>
          <t>VARA</t>
        </is>
      </c>
      <c r="G9089" t="n">
        <v>3.6</v>
      </c>
      <c r="H9089" t="n">
        <v>0</v>
      </c>
      <c r="I9089" t="n">
        <v>0</v>
      </c>
      <c r="J9089" t="n">
        <v>0</v>
      </c>
      <c r="K9089" t="n">
        <v>0</v>
      </c>
      <c r="L9089" t="n">
        <v>0</v>
      </c>
      <c r="M9089" t="n">
        <v>0</v>
      </c>
      <c r="N9089" t="n">
        <v>0</v>
      </c>
      <c r="O9089" t="n">
        <v>0</v>
      </c>
      <c r="P9089" t="n">
        <v>0</v>
      </c>
      <c r="Q9089" t="n">
        <v>0</v>
      </c>
      <c r="R9089" s="2" t="inlineStr"/>
    </row>
    <row r="9090" ht="15" customHeight="1">
      <c r="A9090" t="inlineStr">
        <is>
          <t>A 52778-2022</t>
        </is>
      </c>
      <c r="B9090" s="1" t="n">
        <v>44875</v>
      </c>
      <c r="C9090" s="1" t="n">
        <v>45212</v>
      </c>
      <c r="D9090" t="inlineStr">
        <is>
          <t>VÄSTRA GÖTALANDS LÄN</t>
        </is>
      </c>
      <c r="E9090" t="inlineStr">
        <is>
          <t>VARA</t>
        </is>
      </c>
      <c r="G9090" t="n">
        <v>8.4</v>
      </c>
      <c r="H9090" t="n">
        <v>0</v>
      </c>
      <c r="I9090" t="n">
        <v>0</v>
      </c>
      <c r="J9090" t="n">
        <v>0</v>
      </c>
      <c r="K9090" t="n">
        <v>0</v>
      </c>
      <c r="L9090" t="n">
        <v>0</v>
      </c>
      <c r="M9090" t="n">
        <v>0</v>
      </c>
      <c r="N9090" t="n">
        <v>0</v>
      </c>
      <c r="O9090" t="n">
        <v>0</v>
      </c>
      <c r="P9090" t="n">
        <v>0</v>
      </c>
      <c r="Q9090" t="n">
        <v>0</v>
      </c>
      <c r="R9090" s="2" t="inlineStr"/>
    </row>
    <row r="9091" ht="15" customHeight="1">
      <c r="A9091" t="inlineStr">
        <is>
          <t>A 54476-2022</t>
        </is>
      </c>
      <c r="B9091" s="1" t="n">
        <v>44876</v>
      </c>
      <c r="C9091" s="1" t="n">
        <v>45212</v>
      </c>
      <c r="D9091" t="inlineStr">
        <is>
          <t>VÄSTRA GÖTALANDS LÄN</t>
        </is>
      </c>
      <c r="E9091" t="inlineStr">
        <is>
          <t>BENGTSFORS</t>
        </is>
      </c>
      <c r="F9091" t="inlineStr">
        <is>
          <t>Bergvik skog väst AB</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53885-2022</t>
        </is>
      </c>
      <c r="B9092" s="1" t="n">
        <v>44876</v>
      </c>
      <c r="C9092" s="1" t="n">
        <v>45212</v>
      </c>
      <c r="D9092" t="inlineStr">
        <is>
          <t>VÄSTRA GÖTALANDS LÄN</t>
        </is>
      </c>
      <c r="E9092" t="inlineStr">
        <is>
          <t>ÅMÅL</t>
        </is>
      </c>
      <c r="G9092" t="n">
        <v>4.2</v>
      </c>
      <c r="H9092" t="n">
        <v>0</v>
      </c>
      <c r="I9092" t="n">
        <v>0</v>
      </c>
      <c r="J9092" t="n">
        <v>0</v>
      </c>
      <c r="K9092" t="n">
        <v>0</v>
      </c>
      <c r="L9092" t="n">
        <v>0</v>
      </c>
      <c r="M9092" t="n">
        <v>0</v>
      </c>
      <c r="N9092" t="n">
        <v>0</v>
      </c>
      <c r="O9092" t="n">
        <v>0</v>
      </c>
      <c r="P9092" t="n">
        <v>0</v>
      </c>
      <c r="Q9092" t="n">
        <v>0</v>
      </c>
      <c r="R9092" s="2" t="inlineStr"/>
    </row>
    <row r="9093" ht="15" customHeight="1">
      <c r="A9093" t="inlineStr">
        <is>
          <t>A 53348-2022</t>
        </is>
      </c>
      <c r="B9093" s="1" t="n">
        <v>44879</v>
      </c>
      <c r="C9093" s="1" t="n">
        <v>45212</v>
      </c>
      <c r="D9093" t="inlineStr">
        <is>
          <t>VÄSTRA GÖTALANDS LÄN</t>
        </is>
      </c>
      <c r="E9093" t="inlineStr">
        <is>
          <t>GULLSPÅNG</t>
        </is>
      </c>
      <c r="G9093" t="n">
        <v>0.6</v>
      </c>
      <c r="H9093" t="n">
        <v>0</v>
      </c>
      <c r="I9093" t="n">
        <v>0</v>
      </c>
      <c r="J9093" t="n">
        <v>0</v>
      </c>
      <c r="K9093" t="n">
        <v>0</v>
      </c>
      <c r="L9093" t="n">
        <v>0</v>
      </c>
      <c r="M9093" t="n">
        <v>0</v>
      </c>
      <c r="N9093" t="n">
        <v>0</v>
      </c>
      <c r="O9093" t="n">
        <v>0</v>
      </c>
      <c r="P9093" t="n">
        <v>0</v>
      </c>
      <c r="Q9093" t="n">
        <v>0</v>
      </c>
      <c r="R9093" s="2" t="inlineStr"/>
    </row>
    <row r="9094" ht="15" customHeight="1">
      <c r="A9094" t="inlineStr">
        <is>
          <t>A 53429-2022</t>
        </is>
      </c>
      <c r="B9094" s="1" t="n">
        <v>44879</v>
      </c>
      <c r="C9094" s="1" t="n">
        <v>45212</v>
      </c>
      <c r="D9094" t="inlineStr">
        <is>
          <t>VÄSTRA GÖTALANDS LÄN</t>
        </is>
      </c>
      <c r="E9094" t="inlineStr">
        <is>
          <t>TROLLHÄTTAN</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53537-2022</t>
        </is>
      </c>
      <c r="B9095" s="1" t="n">
        <v>44879</v>
      </c>
      <c r="C9095" s="1" t="n">
        <v>45212</v>
      </c>
      <c r="D9095" t="inlineStr">
        <is>
          <t>VÄSTRA GÖTALANDS LÄN</t>
        </is>
      </c>
      <c r="E9095" t="inlineStr">
        <is>
          <t>VÄNERSBORG</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53617-2022</t>
        </is>
      </c>
      <c r="B9096" s="1" t="n">
        <v>44879</v>
      </c>
      <c r="C9096" s="1" t="n">
        <v>45212</v>
      </c>
      <c r="D9096" t="inlineStr">
        <is>
          <t>VÄSTRA GÖTALANDS LÄN</t>
        </is>
      </c>
      <c r="E9096" t="inlineStr">
        <is>
          <t>ÅMÅL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53354-2022</t>
        </is>
      </c>
      <c r="B9097" s="1" t="n">
        <v>44879</v>
      </c>
      <c r="C9097" s="1" t="n">
        <v>45212</v>
      </c>
      <c r="D9097" t="inlineStr">
        <is>
          <t>VÄSTRA GÖTALANDS LÄN</t>
        </is>
      </c>
      <c r="E9097" t="inlineStr">
        <is>
          <t>GULLSPÅNG</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53421-2022</t>
        </is>
      </c>
      <c r="B9098" s="1" t="n">
        <v>44879</v>
      </c>
      <c r="C9098" s="1" t="n">
        <v>45212</v>
      </c>
      <c r="D9098" t="inlineStr">
        <is>
          <t>VÄSTRA GÖTALANDS LÄN</t>
        </is>
      </c>
      <c r="E9098" t="inlineStr">
        <is>
          <t>TANUM</t>
        </is>
      </c>
      <c r="G9098" t="n">
        <v>2.1</v>
      </c>
      <c r="H9098" t="n">
        <v>0</v>
      </c>
      <c r="I9098" t="n">
        <v>0</v>
      </c>
      <c r="J9098" t="n">
        <v>0</v>
      </c>
      <c r="K9098" t="n">
        <v>0</v>
      </c>
      <c r="L9098" t="n">
        <v>0</v>
      </c>
      <c r="M9098" t="n">
        <v>0</v>
      </c>
      <c r="N9098" t="n">
        <v>0</v>
      </c>
      <c r="O9098" t="n">
        <v>0</v>
      </c>
      <c r="P9098" t="n">
        <v>0</v>
      </c>
      <c r="Q9098" t="n">
        <v>0</v>
      </c>
      <c r="R9098" s="2" t="inlineStr"/>
    </row>
    <row r="9099" ht="15" customHeight="1">
      <c r="A9099" t="inlineStr">
        <is>
          <t>A 53557-2022</t>
        </is>
      </c>
      <c r="B9099" s="1" t="n">
        <v>44879</v>
      </c>
      <c r="C9099" s="1" t="n">
        <v>45212</v>
      </c>
      <c r="D9099" t="inlineStr">
        <is>
          <t>VÄSTRA GÖTALANDS LÄN</t>
        </is>
      </c>
      <c r="E9099" t="inlineStr">
        <is>
          <t>BORÅS</t>
        </is>
      </c>
      <c r="G9099" t="n">
        <v>3.8</v>
      </c>
      <c r="H9099" t="n">
        <v>0</v>
      </c>
      <c r="I9099" t="n">
        <v>0</v>
      </c>
      <c r="J9099" t="n">
        <v>0</v>
      </c>
      <c r="K9099" t="n">
        <v>0</v>
      </c>
      <c r="L9099" t="n">
        <v>0</v>
      </c>
      <c r="M9099" t="n">
        <v>0</v>
      </c>
      <c r="N9099" t="n">
        <v>0</v>
      </c>
      <c r="O9099" t="n">
        <v>0</v>
      </c>
      <c r="P9099" t="n">
        <v>0</v>
      </c>
      <c r="Q9099" t="n">
        <v>0</v>
      </c>
      <c r="R9099" s="2" t="inlineStr"/>
    </row>
    <row r="9100" ht="15" customHeight="1">
      <c r="A9100" t="inlineStr">
        <is>
          <t>A 53579-2022</t>
        </is>
      </c>
      <c r="B9100" s="1" t="n">
        <v>44879</v>
      </c>
      <c r="C9100" s="1" t="n">
        <v>45212</v>
      </c>
      <c r="D9100" t="inlineStr">
        <is>
          <t>VÄSTRA GÖTALANDS LÄN</t>
        </is>
      </c>
      <c r="E9100" t="inlineStr">
        <is>
          <t>MARIESTAD</t>
        </is>
      </c>
      <c r="G9100" t="n">
        <v>7.1</v>
      </c>
      <c r="H9100" t="n">
        <v>0</v>
      </c>
      <c r="I9100" t="n">
        <v>0</v>
      </c>
      <c r="J9100" t="n">
        <v>0</v>
      </c>
      <c r="K9100" t="n">
        <v>0</v>
      </c>
      <c r="L9100" t="n">
        <v>0</v>
      </c>
      <c r="M9100" t="n">
        <v>0</v>
      </c>
      <c r="N9100" t="n">
        <v>0</v>
      </c>
      <c r="O9100" t="n">
        <v>0</v>
      </c>
      <c r="P9100" t="n">
        <v>0</v>
      </c>
      <c r="Q9100" t="n">
        <v>0</v>
      </c>
      <c r="R9100" s="2" t="inlineStr"/>
    </row>
    <row r="9101" ht="15" customHeight="1">
      <c r="A9101" t="inlineStr">
        <is>
          <t>A 53615-2022</t>
        </is>
      </c>
      <c r="B9101" s="1" t="n">
        <v>44879</v>
      </c>
      <c r="C9101" s="1" t="n">
        <v>45212</v>
      </c>
      <c r="D9101" t="inlineStr">
        <is>
          <t>VÄSTRA GÖTALANDS LÄN</t>
        </is>
      </c>
      <c r="E9101" t="inlineStr">
        <is>
          <t>ÅMÅL</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53575-2022</t>
        </is>
      </c>
      <c r="B9102" s="1" t="n">
        <v>44879</v>
      </c>
      <c r="C9102" s="1" t="n">
        <v>45212</v>
      </c>
      <c r="D9102" t="inlineStr">
        <is>
          <t>VÄSTRA GÖTALANDS LÄN</t>
        </is>
      </c>
      <c r="E9102" t="inlineStr">
        <is>
          <t>ULRICEHAMN</t>
        </is>
      </c>
      <c r="G9102" t="n">
        <v>6.5</v>
      </c>
      <c r="H9102" t="n">
        <v>0</v>
      </c>
      <c r="I9102" t="n">
        <v>0</v>
      </c>
      <c r="J9102" t="n">
        <v>0</v>
      </c>
      <c r="K9102" t="n">
        <v>0</v>
      </c>
      <c r="L9102" t="n">
        <v>0</v>
      </c>
      <c r="M9102" t="n">
        <v>0</v>
      </c>
      <c r="N9102" t="n">
        <v>0</v>
      </c>
      <c r="O9102" t="n">
        <v>0</v>
      </c>
      <c r="P9102" t="n">
        <v>0</v>
      </c>
      <c r="Q9102" t="n">
        <v>0</v>
      </c>
      <c r="R9102" s="2" t="inlineStr"/>
    </row>
    <row r="9103" ht="15" customHeight="1">
      <c r="A9103" t="inlineStr">
        <is>
          <t>A 53614-2022</t>
        </is>
      </c>
      <c r="B9103" s="1" t="n">
        <v>44879</v>
      </c>
      <c r="C9103" s="1" t="n">
        <v>45212</v>
      </c>
      <c r="D9103" t="inlineStr">
        <is>
          <t>VÄSTRA GÖTALANDS LÄN</t>
        </is>
      </c>
      <c r="E9103" t="inlineStr">
        <is>
          <t>BOLLEBYGD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54374-2022</t>
        </is>
      </c>
      <c r="B9104" s="1" t="n">
        <v>44879</v>
      </c>
      <c r="C9104" s="1" t="n">
        <v>45212</v>
      </c>
      <c r="D9104" t="inlineStr">
        <is>
          <t>VÄSTRA GÖTALANDS LÄN</t>
        </is>
      </c>
      <c r="E9104" t="inlineStr">
        <is>
          <t>STRÖMSTAD</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53344-2022</t>
        </is>
      </c>
      <c r="B9105" s="1" t="n">
        <v>44879</v>
      </c>
      <c r="C9105" s="1" t="n">
        <v>45212</v>
      </c>
      <c r="D9105" t="inlineStr">
        <is>
          <t>VÄSTRA GÖTALANDS LÄN</t>
        </is>
      </c>
      <c r="E9105" t="inlineStr">
        <is>
          <t>TÖREBODA</t>
        </is>
      </c>
      <c r="G9105" t="n">
        <v>10</v>
      </c>
      <c r="H9105" t="n">
        <v>0</v>
      </c>
      <c r="I9105" t="n">
        <v>0</v>
      </c>
      <c r="J9105" t="n">
        <v>0</v>
      </c>
      <c r="K9105" t="n">
        <v>0</v>
      </c>
      <c r="L9105" t="n">
        <v>0</v>
      </c>
      <c r="M9105" t="n">
        <v>0</v>
      </c>
      <c r="N9105" t="n">
        <v>0</v>
      </c>
      <c r="O9105" t="n">
        <v>0</v>
      </c>
      <c r="P9105" t="n">
        <v>0</v>
      </c>
      <c r="Q9105" t="n">
        <v>0</v>
      </c>
      <c r="R9105" s="2" t="inlineStr"/>
    </row>
    <row r="9106" ht="15" customHeight="1">
      <c r="A9106" t="inlineStr">
        <is>
          <t>A 53406-2022</t>
        </is>
      </c>
      <c r="B9106" s="1" t="n">
        <v>44879</v>
      </c>
      <c r="C9106" s="1" t="n">
        <v>45212</v>
      </c>
      <c r="D9106" t="inlineStr">
        <is>
          <t>VÄSTRA GÖTALANDS LÄN</t>
        </is>
      </c>
      <c r="E9106" t="inlineStr">
        <is>
          <t>TANUM</t>
        </is>
      </c>
      <c r="G9106" t="n">
        <v>6.1</v>
      </c>
      <c r="H9106" t="n">
        <v>0</v>
      </c>
      <c r="I9106" t="n">
        <v>0</v>
      </c>
      <c r="J9106" t="n">
        <v>0</v>
      </c>
      <c r="K9106" t="n">
        <v>0</v>
      </c>
      <c r="L9106" t="n">
        <v>0</v>
      </c>
      <c r="M9106" t="n">
        <v>0</v>
      </c>
      <c r="N9106" t="n">
        <v>0</v>
      </c>
      <c r="O9106" t="n">
        <v>0</v>
      </c>
      <c r="P9106" t="n">
        <v>0</v>
      </c>
      <c r="Q9106" t="n">
        <v>0</v>
      </c>
      <c r="R9106" s="2" t="inlineStr"/>
    </row>
    <row r="9107" ht="15" customHeight="1">
      <c r="A9107" t="inlineStr">
        <is>
          <t>A 53426-2022</t>
        </is>
      </c>
      <c r="B9107" s="1" t="n">
        <v>44879</v>
      </c>
      <c r="C9107" s="1" t="n">
        <v>45212</v>
      </c>
      <c r="D9107" t="inlineStr">
        <is>
          <t>VÄSTRA GÖTALANDS LÄN</t>
        </is>
      </c>
      <c r="E9107" t="inlineStr">
        <is>
          <t>TROLLHÄTTAN</t>
        </is>
      </c>
      <c r="G9107" t="n">
        <v>13.2</v>
      </c>
      <c r="H9107" t="n">
        <v>0</v>
      </c>
      <c r="I9107" t="n">
        <v>0</v>
      </c>
      <c r="J9107" t="n">
        <v>0</v>
      </c>
      <c r="K9107" t="n">
        <v>0</v>
      </c>
      <c r="L9107" t="n">
        <v>0</v>
      </c>
      <c r="M9107" t="n">
        <v>0</v>
      </c>
      <c r="N9107" t="n">
        <v>0</v>
      </c>
      <c r="O9107" t="n">
        <v>0</v>
      </c>
      <c r="P9107" t="n">
        <v>0</v>
      </c>
      <c r="Q9107" t="n">
        <v>0</v>
      </c>
      <c r="R9107" s="2" t="inlineStr"/>
    </row>
    <row r="9108" ht="15" customHeight="1">
      <c r="A9108" t="inlineStr">
        <is>
          <t>A 53533-2022</t>
        </is>
      </c>
      <c r="B9108" s="1" t="n">
        <v>44879</v>
      </c>
      <c r="C9108" s="1" t="n">
        <v>45212</v>
      </c>
      <c r="D9108" t="inlineStr">
        <is>
          <t>VÄSTRA GÖTALANDS LÄN</t>
        </is>
      </c>
      <c r="E9108" t="inlineStr">
        <is>
          <t>BORÅS</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53559-2022</t>
        </is>
      </c>
      <c r="B9109" s="1" t="n">
        <v>44879</v>
      </c>
      <c r="C9109" s="1" t="n">
        <v>45212</v>
      </c>
      <c r="D9109" t="inlineStr">
        <is>
          <t>VÄSTRA GÖTALANDS LÄN</t>
        </is>
      </c>
      <c r="E9109" t="inlineStr">
        <is>
          <t>FÄRGELANDA</t>
        </is>
      </c>
      <c r="G9109" t="n">
        <v>0.4</v>
      </c>
      <c r="H9109" t="n">
        <v>0</v>
      </c>
      <c r="I9109" t="n">
        <v>0</v>
      </c>
      <c r="J9109" t="n">
        <v>0</v>
      </c>
      <c r="K9109" t="n">
        <v>0</v>
      </c>
      <c r="L9109" t="n">
        <v>0</v>
      </c>
      <c r="M9109" t="n">
        <v>0</v>
      </c>
      <c r="N9109" t="n">
        <v>0</v>
      </c>
      <c r="O9109" t="n">
        <v>0</v>
      </c>
      <c r="P9109" t="n">
        <v>0</v>
      </c>
      <c r="Q9109" t="n">
        <v>0</v>
      </c>
      <c r="R9109" s="2" t="inlineStr"/>
    </row>
    <row r="9110" ht="15" customHeight="1">
      <c r="A9110" t="inlineStr">
        <is>
          <t>A 53612-2022</t>
        </is>
      </c>
      <c r="B9110" s="1" t="n">
        <v>44879</v>
      </c>
      <c r="C9110" s="1" t="n">
        <v>45212</v>
      </c>
      <c r="D9110" t="inlineStr">
        <is>
          <t>VÄSTRA GÖTALANDS LÄN</t>
        </is>
      </c>
      <c r="E9110" t="inlineStr">
        <is>
          <t>BOLLEBYGD</t>
        </is>
      </c>
      <c r="G9110" t="n">
        <v>1.4</v>
      </c>
      <c r="H9110" t="n">
        <v>0</v>
      </c>
      <c r="I9110" t="n">
        <v>0</v>
      </c>
      <c r="J9110" t="n">
        <v>0</v>
      </c>
      <c r="K9110" t="n">
        <v>0</v>
      </c>
      <c r="L9110" t="n">
        <v>0</v>
      </c>
      <c r="M9110" t="n">
        <v>0</v>
      </c>
      <c r="N9110" t="n">
        <v>0</v>
      </c>
      <c r="O9110" t="n">
        <v>0</v>
      </c>
      <c r="P9110" t="n">
        <v>0</v>
      </c>
      <c r="Q9110" t="n">
        <v>0</v>
      </c>
      <c r="R9110" s="2" t="inlineStr"/>
    </row>
    <row r="9111" ht="15" customHeight="1">
      <c r="A9111" t="inlineStr">
        <is>
          <t>A 53616-2022</t>
        </is>
      </c>
      <c r="B9111" s="1" t="n">
        <v>44879</v>
      </c>
      <c r="C9111" s="1" t="n">
        <v>45212</v>
      </c>
      <c r="D9111" t="inlineStr">
        <is>
          <t>VÄSTRA GÖTALANDS LÄN</t>
        </is>
      </c>
      <c r="E9111" t="inlineStr">
        <is>
          <t>BOLLEBYGD</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53823-2022</t>
        </is>
      </c>
      <c r="B9112" s="1" t="n">
        <v>44880</v>
      </c>
      <c r="C9112" s="1" t="n">
        <v>45212</v>
      </c>
      <c r="D9112" t="inlineStr">
        <is>
          <t>VÄSTRA GÖTALANDS LÄN</t>
        </is>
      </c>
      <c r="E9112" t="inlineStr">
        <is>
          <t>GULLSPÅNG</t>
        </is>
      </c>
      <c r="G9112" t="n">
        <v>0</v>
      </c>
      <c r="H9112" t="n">
        <v>0</v>
      </c>
      <c r="I9112" t="n">
        <v>0</v>
      </c>
      <c r="J9112" t="n">
        <v>0</v>
      </c>
      <c r="K9112" t="n">
        <v>0</v>
      </c>
      <c r="L9112" t="n">
        <v>0</v>
      </c>
      <c r="M9112" t="n">
        <v>0</v>
      </c>
      <c r="N9112" t="n">
        <v>0</v>
      </c>
      <c r="O9112" t="n">
        <v>0</v>
      </c>
      <c r="P9112" t="n">
        <v>0</v>
      </c>
      <c r="Q9112" t="n">
        <v>0</v>
      </c>
      <c r="R9112" s="2" t="inlineStr"/>
    </row>
    <row r="9113" ht="15" customHeight="1">
      <c r="A9113" t="inlineStr">
        <is>
          <t>A 53712-2022</t>
        </is>
      </c>
      <c r="B9113" s="1" t="n">
        <v>44880</v>
      </c>
      <c r="C9113" s="1" t="n">
        <v>45212</v>
      </c>
      <c r="D9113" t="inlineStr">
        <is>
          <t>VÄSTRA GÖTALANDS LÄN</t>
        </is>
      </c>
      <c r="E9113" t="inlineStr">
        <is>
          <t>FALKÖPING</t>
        </is>
      </c>
      <c r="G9113" t="n">
        <v>8.5</v>
      </c>
      <c r="H9113" t="n">
        <v>0</v>
      </c>
      <c r="I9113" t="n">
        <v>0</v>
      </c>
      <c r="J9113" t="n">
        <v>0</v>
      </c>
      <c r="K9113" t="n">
        <v>0</v>
      </c>
      <c r="L9113" t="n">
        <v>0</v>
      </c>
      <c r="M9113" t="n">
        <v>0</v>
      </c>
      <c r="N9113" t="n">
        <v>0</v>
      </c>
      <c r="O9113" t="n">
        <v>0</v>
      </c>
      <c r="P9113" t="n">
        <v>0</v>
      </c>
      <c r="Q9113" t="n">
        <v>0</v>
      </c>
      <c r="R9113" s="2" t="inlineStr"/>
    </row>
    <row r="9114" ht="15" customHeight="1">
      <c r="A9114" t="inlineStr">
        <is>
          <t>A 53825-2022</t>
        </is>
      </c>
      <c r="B9114" s="1" t="n">
        <v>44880</v>
      </c>
      <c r="C9114" s="1" t="n">
        <v>45212</v>
      </c>
      <c r="D9114" t="inlineStr">
        <is>
          <t>VÄSTRA GÖTALANDS LÄN</t>
        </is>
      </c>
      <c r="E9114" t="inlineStr">
        <is>
          <t>FALKÖPING</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54501-2022</t>
        </is>
      </c>
      <c r="B9115" s="1" t="n">
        <v>44880</v>
      </c>
      <c r="C9115" s="1" t="n">
        <v>45212</v>
      </c>
      <c r="D9115" t="inlineStr">
        <is>
          <t>VÄSTRA GÖTALANDS LÄN</t>
        </is>
      </c>
      <c r="E9115" t="inlineStr">
        <is>
          <t>SKÖVDE</t>
        </is>
      </c>
      <c r="G9115" t="n">
        <v>1.3</v>
      </c>
      <c r="H9115" t="n">
        <v>0</v>
      </c>
      <c r="I9115" t="n">
        <v>0</v>
      </c>
      <c r="J9115" t="n">
        <v>0</v>
      </c>
      <c r="K9115" t="n">
        <v>0</v>
      </c>
      <c r="L9115" t="n">
        <v>0</v>
      </c>
      <c r="M9115" t="n">
        <v>0</v>
      </c>
      <c r="N9115" t="n">
        <v>0</v>
      </c>
      <c r="O9115" t="n">
        <v>0</v>
      </c>
      <c r="P9115" t="n">
        <v>0</v>
      </c>
      <c r="Q9115" t="n">
        <v>0</v>
      </c>
      <c r="R9115" s="2" t="inlineStr"/>
    </row>
    <row r="9116" ht="15" customHeight="1">
      <c r="A9116" t="inlineStr">
        <is>
          <t>A 53776-2022</t>
        </is>
      </c>
      <c r="B9116" s="1" t="n">
        <v>44880</v>
      </c>
      <c r="C9116" s="1" t="n">
        <v>45212</v>
      </c>
      <c r="D9116" t="inlineStr">
        <is>
          <t>VÄSTRA GÖTALANDS LÄN</t>
        </is>
      </c>
      <c r="E9116" t="inlineStr">
        <is>
          <t>ESSUNGA</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53859-2022</t>
        </is>
      </c>
      <c r="B9117" s="1" t="n">
        <v>44880</v>
      </c>
      <c r="C9117" s="1" t="n">
        <v>45212</v>
      </c>
      <c r="D9117" t="inlineStr">
        <is>
          <t>VÄSTRA GÖTALANDS LÄN</t>
        </is>
      </c>
      <c r="E9117" t="inlineStr">
        <is>
          <t>BORÅS</t>
        </is>
      </c>
      <c r="G9117" t="n">
        <v>4.4</v>
      </c>
      <c r="H9117" t="n">
        <v>0</v>
      </c>
      <c r="I9117" t="n">
        <v>0</v>
      </c>
      <c r="J9117" t="n">
        <v>0</v>
      </c>
      <c r="K9117" t="n">
        <v>0</v>
      </c>
      <c r="L9117" t="n">
        <v>0</v>
      </c>
      <c r="M9117" t="n">
        <v>0</v>
      </c>
      <c r="N9117" t="n">
        <v>0</v>
      </c>
      <c r="O9117" t="n">
        <v>0</v>
      </c>
      <c r="P9117" t="n">
        <v>0</v>
      </c>
      <c r="Q9117" t="n">
        <v>0</v>
      </c>
      <c r="R9117" s="2" t="inlineStr"/>
    </row>
    <row r="9118" ht="15" customHeight="1">
      <c r="A9118" t="inlineStr">
        <is>
          <t>A 53758-2022</t>
        </is>
      </c>
      <c r="B9118" s="1" t="n">
        <v>44880</v>
      </c>
      <c r="C9118" s="1" t="n">
        <v>45212</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53822-2022</t>
        </is>
      </c>
      <c r="B9119" s="1" t="n">
        <v>44880</v>
      </c>
      <c r="C9119" s="1" t="n">
        <v>45212</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54047-2022</t>
        </is>
      </c>
      <c r="B9120" s="1" t="n">
        <v>44881</v>
      </c>
      <c r="C9120" s="1" t="n">
        <v>45212</v>
      </c>
      <c r="D9120" t="inlineStr">
        <is>
          <t>VÄSTRA GÖTALANDS LÄN</t>
        </is>
      </c>
      <c r="E9120" t="inlineStr">
        <is>
          <t>UDDEVALLA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54221-2022</t>
        </is>
      </c>
      <c r="B9121" s="1" t="n">
        <v>44881</v>
      </c>
      <c r="C9121" s="1" t="n">
        <v>45212</v>
      </c>
      <c r="D9121" t="inlineStr">
        <is>
          <t>VÄSTRA GÖTALANDS LÄN</t>
        </is>
      </c>
      <c r="E9121" t="inlineStr">
        <is>
          <t>VÄNERSBORG</t>
        </is>
      </c>
      <c r="G9121" t="n">
        <v>1.4</v>
      </c>
      <c r="H9121" t="n">
        <v>0</v>
      </c>
      <c r="I9121" t="n">
        <v>0</v>
      </c>
      <c r="J9121" t="n">
        <v>0</v>
      </c>
      <c r="K9121" t="n">
        <v>0</v>
      </c>
      <c r="L9121" t="n">
        <v>0</v>
      </c>
      <c r="M9121" t="n">
        <v>0</v>
      </c>
      <c r="N9121" t="n">
        <v>0</v>
      </c>
      <c r="O9121" t="n">
        <v>0</v>
      </c>
      <c r="P9121" t="n">
        <v>0</v>
      </c>
      <c r="Q9121" t="n">
        <v>0</v>
      </c>
      <c r="R9121" s="2" t="inlineStr"/>
    </row>
    <row r="9122" ht="15" customHeight="1">
      <c r="A9122" t="inlineStr">
        <is>
          <t>A 54072-2022</t>
        </is>
      </c>
      <c r="B9122" s="1" t="n">
        <v>44881</v>
      </c>
      <c r="C9122" s="1" t="n">
        <v>45212</v>
      </c>
      <c r="D9122" t="inlineStr">
        <is>
          <t>VÄSTRA GÖTALANDS LÄN</t>
        </is>
      </c>
      <c r="E9122" t="inlineStr">
        <is>
          <t>ORUST</t>
        </is>
      </c>
      <c r="G9122" t="n">
        <v>4.8</v>
      </c>
      <c r="H9122" t="n">
        <v>0</v>
      </c>
      <c r="I9122" t="n">
        <v>0</v>
      </c>
      <c r="J9122" t="n">
        <v>0</v>
      </c>
      <c r="K9122" t="n">
        <v>0</v>
      </c>
      <c r="L9122" t="n">
        <v>0</v>
      </c>
      <c r="M9122" t="n">
        <v>0</v>
      </c>
      <c r="N9122" t="n">
        <v>0</v>
      </c>
      <c r="O9122" t="n">
        <v>0</v>
      </c>
      <c r="P9122" t="n">
        <v>0</v>
      </c>
      <c r="Q9122" t="n">
        <v>0</v>
      </c>
      <c r="R9122" s="2" t="inlineStr"/>
    </row>
    <row r="9123" ht="15" customHeight="1">
      <c r="A9123" t="inlineStr">
        <is>
          <t>A 54226-2022</t>
        </is>
      </c>
      <c r="B9123" s="1" t="n">
        <v>44881</v>
      </c>
      <c r="C9123" s="1" t="n">
        <v>45212</v>
      </c>
      <c r="D9123" t="inlineStr">
        <is>
          <t>VÄSTRA GÖTALANDS LÄN</t>
        </is>
      </c>
      <c r="E9123" t="inlineStr">
        <is>
          <t>MARK</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54937-2022</t>
        </is>
      </c>
      <c r="B9124" s="1" t="n">
        <v>44881</v>
      </c>
      <c r="C9124" s="1" t="n">
        <v>45212</v>
      </c>
      <c r="D9124" t="inlineStr">
        <is>
          <t>VÄSTRA GÖTALANDS LÄN</t>
        </is>
      </c>
      <c r="E9124" t="inlineStr">
        <is>
          <t>VÅRGÅRDA</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53998-2022</t>
        </is>
      </c>
      <c r="B9125" s="1" t="n">
        <v>44881</v>
      </c>
      <c r="C9125" s="1" t="n">
        <v>45212</v>
      </c>
      <c r="D9125" t="inlineStr">
        <is>
          <t>VÄSTRA GÖTALANDS LÄN</t>
        </is>
      </c>
      <c r="E9125" t="inlineStr">
        <is>
          <t>ÅMÅL</t>
        </is>
      </c>
      <c r="G9125" t="n">
        <v>3</v>
      </c>
      <c r="H9125" t="n">
        <v>0</v>
      </c>
      <c r="I9125" t="n">
        <v>0</v>
      </c>
      <c r="J9125" t="n">
        <v>0</v>
      </c>
      <c r="K9125" t="n">
        <v>0</v>
      </c>
      <c r="L9125" t="n">
        <v>0</v>
      </c>
      <c r="M9125" t="n">
        <v>0</v>
      </c>
      <c r="N9125" t="n">
        <v>0</v>
      </c>
      <c r="O9125" t="n">
        <v>0</v>
      </c>
      <c r="P9125" t="n">
        <v>0</v>
      </c>
      <c r="Q9125" t="n">
        <v>0</v>
      </c>
      <c r="R9125" s="2" t="inlineStr"/>
    </row>
    <row r="9126" ht="15" customHeight="1">
      <c r="A9126" t="inlineStr">
        <is>
          <t>A 54234-2022</t>
        </is>
      </c>
      <c r="B9126" s="1" t="n">
        <v>44881</v>
      </c>
      <c r="C9126" s="1" t="n">
        <v>45212</v>
      </c>
      <c r="D9126" t="inlineStr">
        <is>
          <t>VÄSTRA GÖTALANDS LÄN</t>
        </is>
      </c>
      <c r="E9126" t="inlineStr">
        <is>
          <t>GULLSPÅNG</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54144-2022</t>
        </is>
      </c>
      <c r="B9127" s="1" t="n">
        <v>44881</v>
      </c>
      <c r="C9127" s="1" t="n">
        <v>45212</v>
      </c>
      <c r="D9127" t="inlineStr">
        <is>
          <t>VÄSTRA GÖTALANDS LÄN</t>
        </is>
      </c>
      <c r="E9127" t="inlineStr">
        <is>
          <t>BOLLEBYGD</t>
        </is>
      </c>
      <c r="G9127" t="n">
        <v>0.4</v>
      </c>
      <c r="H9127" t="n">
        <v>0</v>
      </c>
      <c r="I9127" t="n">
        <v>0</v>
      </c>
      <c r="J9127" t="n">
        <v>0</v>
      </c>
      <c r="K9127" t="n">
        <v>0</v>
      </c>
      <c r="L9127" t="n">
        <v>0</v>
      </c>
      <c r="M9127" t="n">
        <v>0</v>
      </c>
      <c r="N9127" t="n">
        <v>0</v>
      </c>
      <c r="O9127" t="n">
        <v>0</v>
      </c>
      <c r="P9127" t="n">
        <v>0</v>
      </c>
      <c r="Q9127" t="n">
        <v>0</v>
      </c>
      <c r="R9127" s="2" t="inlineStr"/>
    </row>
    <row r="9128" ht="15" customHeight="1">
      <c r="A9128" t="inlineStr">
        <is>
          <t>A 54225-2022</t>
        </is>
      </c>
      <c r="B9128" s="1" t="n">
        <v>44881</v>
      </c>
      <c r="C9128" s="1" t="n">
        <v>45212</v>
      </c>
      <c r="D9128" t="inlineStr">
        <is>
          <t>VÄSTRA GÖTALANDS LÄN</t>
        </is>
      </c>
      <c r="E9128" t="inlineStr">
        <is>
          <t>MARIESTAD</t>
        </is>
      </c>
      <c r="G9128" t="n">
        <v>4.3</v>
      </c>
      <c r="H9128" t="n">
        <v>0</v>
      </c>
      <c r="I9128" t="n">
        <v>0</v>
      </c>
      <c r="J9128" t="n">
        <v>0</v>
      </c>
      <c r="K9128" t="n">
        <v>0</v>
      </c>
      <c r="L9128" t="n">
        <v>0</v>
      </c>
      <c r="M9128" t="n">
        <v>0</v>
      </c>
      <c r="N9128" t="n">
        <v>0</v>
      </c>
      <c r="O9128" t="n">
        <v>0</v>
      </c>
      <c r="P9128" t="n">
        <v>0</v>
      </c>
      <c r="Q9128" t="n">
        <v>0</v>
      </c>
      <c r="R9128" s="2" t="inlineStr"/>
    </row>
    <row r="9129" ht="15" customHeight="1">
      <c r="A9129" t="inlineStr">
        <is>
          <t>A 54528-2022</t>
        </is>
      </c>
      <c r="B9129" s="1" t="n">
        <v>44882</v>
      </c>
      <c r="C9129" s="1" t="n">
        <v>45212</v>
      </c>
      <c r="D9129" t="inlineStr">
        <is>
          <t>VÄSTRA GÖTALANDS LÄN</t>
        </is>
      </c>
      <c r="E9129" t="inlineStr">
        <is>
          <t>ULRICEHAMN</t>
        </is>
      </c>
      <c r="G9129" t="n">
        <v>2.2</v>
      </c>
      <c r="H9129" t="n">
        <v>0</v>
      </c>
      <c r="I9129" t="n">
        <v>0</v>
      </c>
      <c r="J9129" t="n">
        <v>0</v>
      </c>
      <c r="K9129" t="n">
        <v>0</v>
      </c>
      <c r="L9129" t="n">
        <v>0</v>
      </c>
      <c r="M9129" t="n">
        <v>0</v>
      </c>
      <c r="N9129" t="n">
        <v>0</v>
      </c>
      <c r="O9129" t="n">
        <v>0</v>
      </c>
      <c r="P9129" t="n">
        <v>0</v>
      </c>
      <c r="Q9129" t="n">
        <v>0</v>
      </c>
      <c r="R9129" s="2" t="inlineStr"/>
    </row>
    <row r="9130" ht="15" customHeight="1">
      <c r="A9130" t="inlineStr">
        <is>
          <t>A 55491-2022</t>
        </is>
      </c>
      <c r="B9130" s="1" t="n">
        <v>44882</v>
      </c>
      <c r="C9130" s="1" t="n">
        <v>45212</v>
      </c>
      <c r="D9130" t="inlineStr">
        <is>
          <t>VÄSTRA GÖTALANDS LÄN</t>
        </is>
      </c>
      <c r="E9130" t="inlineStr">
        <is>
          <t>KARLSBORG</t>
        </is>
      </c>
      <c r="G9130" t="n">
        <v>1.7</v>
      </c>
      <c r="H9130" t="n">
        <v>0</v>
      </c>
      <c r="I9130" t="n">
        <v>0</v>
      </c>
      <c r="J9130" t="n">
        <v>0</v>
      </c>
      <c r="K9130" t="n">
        <v>0</v>
      </c>
      <c r="L9130" t="n">
        <v>0</v>
      </c>
      <c r="M9130" t="n">
        <v>0</v>
      </c>
      <c r="N9130" t="n">
        <v>0</v>
      </c>
      <c r="O9130" t="n">
        <v>0</v>
      </c>
      <c r="P9130" t="n">
        <v>0</v>
      </c>
      <c r="Q9130" t="n">
        <v>0</v>
      </c>
      <c r="R9130" s="2" t="inlineStr"/>
    </row>
    <row r="9131" ht="15" customHeight="1">
      <c r="A9131" t="inlineStr">
        <is>
          <t>A 54519-2022</t>
        </is>
      </c>
      <c r="B9131" s="1" t="n">
        <v>44882</v>
      </c>
      <c r="C9131" s="1" t="n">
        <v>45212</v>
      </c>
      <c r="D9131" t="inlineStr">
        <is>
          <t>VÄSTRA GÖTALANDS LÄN</t>
        </is>
      </c>
      <c r="E9131" t="inlineStr">
        <is>
          <t>ULRICEHAMN</t>
        </is>
      </c>
      <c r="G9131" t="n">
        <v>1.2</v>
      </c>
      <c r="H9131" t="n">
        <v>0</v>
      </c>
      <c r="I9131" t="n">
        <v>0</v>
      </c>
      <c r="J9131" t="n">
        <v>0</v>
      </c>
      <c r="K9131" t="n">
        <v>0</v>
      </c>
      <c r="L9131" t="n">
        <v>0</v>
      </c>
      <c r="M9131" t="n">
        <v>0</v>
      </c>
      <c r="N9131" t="n">
        <v>0</v>
      </c>
      <c r="O9131" t="n">
        <v>0</v>
      </c>
      <c r="P9131" t="n">
        <v>0</v>
      </c>
      <c r="Q9131" t="n">
        <v>0</v>
      </c>
      <c r="R9131" s="2" t="inlineStr"/>
    </row>
    <row r="9132" ht="15" customHeight="1">
      <c r="A9132" t="inlineStr">
        <is>
          <t>A 55312-2022</t>
        </is>
      </c>
      <c r="B9132" s="1" t="n">
        <v>44882</v>
      </c>
      <c r="C9132" s="1" t="n">
        <v>45212</v>
      </c>
      <c r="D9132" t="inlineStr">
        <is>
          <t>VÄSTRA GÖTALANDS LÄN</t>
        </is>
      </c>
      <c r="E9132" t="inlineStr">
        <is>
          <t>FALKÖPING</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54289-2022</t>
        </is>
      </c>
      <c r="B9133" s="1" t="n">
        <v>44882</v>
      </c>
      <c r="C9133" s="1" t="n">
        <v>45212</v>
      </c>
      <c r="D9133" t="inlineStr">
        <is>
          <t>VÄSTRA GÖTALANDS LÄN</t>
        </is>
      </c>
      <c r="E9133" t="inlineStr">
        <is>
          <t>BOLLEBYGD</t>
        </is>
      </c>
      <c r="G9133" t="n">
        <v>1.1</v>
      </c>
      <c r="H9133" t="n">
        <v>0</v>
      </c>
      <c r="I9133" t="n">
        <v>0</v>
      </c>
      <c r="J9133" t="n">
        <v>0</v>
      </c>
      <c r="K9133" t="n">
        <v>0</v>
      </c>
      <c r="L9133" t="n">
        <v>0</v>
      </c>
      <c r="M9133" t="n">
        <v>0</v>
      </c>
      <c r="N9133" t="n">
        <v>0</v>
      </c>
      <c r="O9133" t="n">
        <v>0</v>
      </c>
      <c r="P9133" t="n">
        <v>0</v>
      </c>
      <c r="Q9133" t="n">
        <v>0</v>
      </c>
      <c r="R9133" s="2" t="inlineStr"/>
    </row>
    <row r="9134" ht="15" customHeight="1">
      <c r="A9134" t="inlineStr">
        <is>
          <t>A 54308-2022</t>
        </is>
      </c>
      <c r="B9134" s="1" t="n">
        <v>44882</v>
      </c>
      <c r="C9134" s="1" t="n">
        <v>45212</v>
      </c>
      <c r="D9134" t="inlineStr">
        <is>
          <t>VÄSTRA GÖTALANDS LÄN</t>
        </is>
      </c>
      <c r="E9134" t="inlineStr">
        <is>
          <t>STRÖMSTAD</t>
        </is>
      </c>
      <c r="G9134" t="n">
        <v>4.5</v>
      </c>
      <c r="H9134" t="n">
        <v>0</v>
      </c>
      <c r="I9134" t="n">
        <v>0</v>
      </c>
      <c r="J9134" t="n">
        <v>0</v>
      </c>
      <c r="K9134" t="n">
        <v>0</v>
      </c>
      <c r="L9134" t="n">
        <v>0</v>
      </c>
      <c r="M9134" t="n">
        <v>0</v>
      </c>
      <c r="N9134" t="n">
        <v>0</v>
      </c>
      <c r="O9134" t="n">
        <v>0</v>
      </c>
      <c r="P9134" t="n">
        <v>0</v>
      </c>
      <c r="Q9134" t="n">
        <v>0</v>
      </c>
      <c r="R9134" s="2" t="inlineStr"/>
    </row>
    <row r="9135" ht="15" customHeight="1">
      <c r="A9135" t="inlineStr">
        <is>
          <t>A 54402-2022</t>
        </is>
      </c>
      <c r="B9135" s="1" t="n">
        <v>44882</v>
      </c>
      <c r="C9135" s="1" t="n">
        <v>45212</v>
      </c>
      <c r="D9135" t="inlineStr">
        <is>
          <t>VÄSTRA GÖTALANDS LÄN</t>
        </is>
      </c>
      <c r="E9135" t="inlineStr">
        <is>
          <t>UDDEVALLA</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54277-2022</t>
        </is>
      </c>
      <c r="B9136" s="1" t="n">
        <v>44882</v>
      </c>
      <c r="C9136" s="1" t="n">
        <v>45212</v>
      </c>
      <c r="D9136" t="inlineStr">
        <is>
          <t>VÄSTRA GÖTALANDS LÄN</t>
        </is>
      </c>
      <c r="E9136" t="inlineStr">
        <is>
          <t>MARK</t>
        </is>
      </c>
      <c r="G9136" t="n">
        <v>7.8</v>
      </c>
      <c r="H9136" t="n">
        <v>0</v>
      </c>
      <c r="I9136" t="n">
        <v>0</v>
      </c>
      <c r="J9136" t="n">
        <v>0</v>
      </c>
      <c r="K9136" t="n">
        <v>0</v>
      </c>
      <c r="L9136" t="n">
        <v>0</v>
      </c>
      <c r="M9136" t="n">
        <v>0</v>
      </c>
      <c r="N9136" t="n">
        <v>0</v>
      </c>
      <c r="O9136" t="n">
        <v>0</v>
      </c>
      <c r="P9136" t="n">
        <v>0</v>
      </c>
      <c r="Q9136" t="n">
        <v>0</v>
      </c>
      <c r="R9136" s="2" t="inlineStr"/>
    </row>
    <row r="9137" ht="15" customHeight="1">
      <c r="A9137" t="inlineStr">
        <is>
          <t>A 54361-2022</t>
        </is>
      </c>
      <c r="B9137" s="1" t="n">
        <v>44882</v>
      </c>
      <c r="C9137" s="1" t="n">
        <v>45212</v>
      </c>
      <c r="D9137" t="inlineStr">
        <is>
          <t>VÄSTRA GÖTALANDS LÄN</t>
        </is>
      </c>
      <c r="E9137" t="inlineStr">
        <is>
          <t>BORÅS</t>
        </is>
      </c>
      <c r="G9137" t="n">
        <v>2</v>
      </c>
      <c r="H9137" t="n">
        <v>0</v>
      </c>
      <c r="I9137" t="n">
        <v>0</v>
      </c>
      <c r="J9137" t="n">
        <v>0</v>
      </c>
      <c r="K9137" t="n">
        <v>0</v>
      </c>
      <c r="L9137" t="n">
        <v>0</v>
      </c>
      <c r="M9137" t="n">
        <v>0</v>
      </c>
      <c r="N9137" t="n">
        <v>0</v>
      </c>
      <c r="O9137" t="n">
        <v>0</v>
      </c>
      <c r="P9137" t="n">
        <v>0</v>
      </c>
      <c r="Q9137" t="n">
        <v>0</v>
      </c>
      <c r="R9137" s="2" t="inlineStr"/>
    </row>
    <row r="9138" ht="15" customHeight="1">
      <c r="A9138" t="inlineStr">
        <is>
          <t>A 54377-2022</t>
        </is>
      </c>
      <c r="B9138" s="1" t="n">
        <v>44882</v>
      </c>
      <c r="C9138" s="1" t="n">
        <v>45212</v>
      </c>
      <c r="D9138" t="inlineStr">
        <is>
          <t>VÄSTRA GÖTALANDS LÄN</t>
        </is>
      </c>
      <c r="E9138" t="inlineStr">
        <is>
          <t>HERRLJUNGA</t>
        </is>
      </c>
      <c r="G9138" t="n">
        <v>5.9</v>
      </c>
      <c r="H9138" t="n">
        <v>0</v>
      </c>
      <c r="I9138" t="n">
        <v>0</v>
      </c>
      <c r="J9138" t="n">
        <v>0</v>
      </c>
      <c r="K9138" t="n">
        <v>0</v>
      </c>
      <c r="L9138" t="n">
        <v>0</v>
      </c>
      <c r="M9138" t="n">
        <v>0</v>
      </c>
      <c r="N9138" t="n">
        <v>0</v>
      </c>
      <c r="O9138" t="n">
        <v>0</v>
      </c>
      <c r="P9138" t="n">
        <v>0</v>
      </c>
      <c r="Q9138" t="n">
        <v>0</v>
      </c>
      <c r="R9138" s="2" t="inlineStr"/>
    </row>
    <row r="9139" ht="15" customHeight="1">
      <c r="A9139" t="inlineStr">
        <is>
          <t>A 54459-2022</t>
        </is>
      </c>
      <c r="B9139" s="1" t="n">
        <v>44882</v>
      </c>
      <c r="C9139" s="1" t="n">
        <v>45212</v>
      </c>
      <c r="D9139" t="inlineStr">
        <is>
          <t>VÄSTRA GÖTALANDS LÄN</t>
        </is>
      </c>
      <c r="E9139" t="inlineStr">
        <is>
          <t>TRANEMO</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54740-2022</t>
        </is>
      </c>
      <c r="B9140" s="1" t="n">
        <v>44883</v>
      </c>
      <c r="C9140" s="1" t="n">
        <v>45212</v>
      </c>
      <c r="D9140" t="inlineStr">
        <is>
          <t>VÄSTRA GÖTALANDS LÄN</t>
        </is>
      </c>
      <c r="E9140" t="inlineStr">
        <is>
          <t>LYSEKIL</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54659-2022</t>
        </is>
      </c>
      <c r="B9141" s="1" t="n">
        <v>44883</v>
      </c>
      <c r="C9141" s="1" t="n">
        <v>45212</v>
      </c>
      <c r="D9141" t="inlineStr">
        <is>
          <t>VÄSTRA GÖTALANDS LÄN</t>
        </is>
      </c>
      <c r="E9141" t="inlineStr">
        <is>
          <t>BOLLEBYGD</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54804-2022</t>
        </is>
      </c>
      <c r="B9142" s="1" t="n">
        <v>44883</v>
      </c>
      <c r="C9142" s="1" t="n">
        <v>45212</v>
      </c>
      <c r="D9142" t="inlineStr">
        <is>
          <t>VÄSTRA GÖTALANDS LÄN</t>
        </is>
      </c>
      <c r="E9142" t="inlineStr">
        <is>
          <t>LILLA EDET</t>
        </is>
      </c>
      <c r="G9142" t="n">
        <v>22.6</v>
      </c>
      <c r="H9142" t="n">
        <v>0</v>
      </c>
      <c r="I9142" t="n">
        <v>0</v>
      </c>
      <c r="J9142" t="n">
        <v>0</v>
      </c>
      <c r="K9142" t="n">
        <v>0</v>
      </c>
      <c r="L9142" t="n">
        <v>0</v>
      </c>
      <c r="M9142" t="n">
        <v>0</v>
      </c>
      <c r="N9142" t="n">
        <v>0</v>
      </c>
      <c r="O9142" t="n">
        <v>0</v>
      </c>
      <c r="P9142" t="n">
        <v>0</v>
      </c>
      <c r="Q9142" t="n">
        <v>0</v>
      </c>
      <c r="R9142" s="2" t="inlineStr"/>
    </row>
    <row r="9143" ht="15" customHeight="1">
      <c r="A9143" t="inlineStr">
        <is>
          <t>A 55624-2022</t>
        </is>
      </c>
      <c r="B9143" s="1" t="n">
        <v>44883</v>
      </c>
      <c r="C9143" s="1" t="n">
        <v>45212</v>
      </c>
      <c r="D9143" t="inlineStr">
        <is>
          <t>VÄSTRA GÖTALANDS LÄN</t>
        </is>
      </c>
      <c r="E9143" t="inlineStr">
        <is>
          <t>GULLSPÅNG</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54796-2022</t>
        </is>
      </c>
      <c r="B9144" s="1" t="n">
        <v>44883</v>
      </c>
      <c r="C9144" s="1" t="n">
        <v>45212</v>
      </c>
      <c r="D9144" t="inlineStr">
        <is>
          <t>VÄSTRA GÖTALANDS LÄN</t>
        </is>
      </c>
      <c r="E9144" t="inlineStr">
        <is>
          <t>MELLERUD</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55712-2022</t>
        </is>
      </c>
      <c r="B9145" s="1" t="n">
        <v>44885</v>
      </c>
      <c r="C9145" s="1" t="n">
        <v>45212</v>
      </c>
      <c r="D9145" t="inlineStr">
        <is>
          <t>VÄSTRA GÖTALANDS LÄN</t>
        </is>
      </c>
      <c r="E9145" t="inlineStr">
        <is>
          <t>STRÖMSTAD</t>
        </is>
      </c>
      <c r="G9145" t="n">
        <v>2.4</v>
      </c>
      <c r="H9145" t="n">
        <v>0</v>
      </c>
      <c r="I9145" t="n">
        <v>0</v>
      </c>
      <c r="J9145" t="n">
        <v>0</v>
      </c>
      <c r="K9145" t="n">
        <v>0</v>
      </c>
      <c r="L9145" t="n">
        <v>0</v>
      </c>
      <c r="M9145" t="n">
        <v>0</v>
      </c>
      <c r="N9145" t="n">
        <v>0</v>
      </c>
      <c r="O9145" t="n">
        <v>0</v>
      </c>
      <c r="P9145" t="n">
        <v>0</v>
      </c>
      <c r="Q9145" t="n">
        <v>0</v>
      </c>
      <c r="R9145" s="2" t="inlineStr"/>
    </row>
    <row r="9146" ht="15" customHeight="1">
      <c r="A9146" t="inlineStr">
        <is>
          <t>A 55180-2022</t>
        </is>
      </c>
      <c r="B9146" s="1" t="n">
        <v>44886</v>
      </c>
      <c r="C9146" s="1" t="n">
        <v>45212</v>
      </c>
      <c r="D9146" t="inlineStr">
        <is>
          <t>VÄSTRA GÖTALANDS LÄN</t>
        </is>
      </c>
      <c r="E9146" t="inlineStr">
        <is>
          <t>ESSUNGA</t>
        </is>
      </c>
      <c r="G9146" t="n">
        <v>2.1</v>
      </c>
      <c r="H9146" t="n">
        <v>0</v>
      </c>
      <c r="I9146" t="n">
        <v>0</v>
      </c>
      <c r="J9146" t="n">
        <v>0</v>
      </c>
      <c r="K9146" t="n">
        <v>0</v>
      </c>
      <c r="L9146" t="n">
        <v>0</v>
      </c>
      <c r="M9146" t="n">
        <v>0</v>
      </c>
      <c r="N9146" t="n">
        <v>0</v>
      </c>
      <c r="O9146" t="n">
        <v>0</v>
      </c>
      <c r="P9146" t="n">
        <v>0</v>
      </c>
      <c r="Q9146" t="n">
        <v>0</v>
      </c>
      <c r="R9146" s="2" t="inlineStr"/>
    </row>
    <row r="9147" ht="15" customHeight="1">
      <c r="A9147" t="inlineStr">
        <is>
          <t>A 55834-2022</t>
        </is>
      </c>
      <c r="B9147" s="1" t="n">
        <v>44886</v>
      </c>
      <c r="C9147" s="1" t="n">
        <v>45212</v>
      </c>
      <c r="D9147" t="inlineStr">
        <is>
          <t>VÄSTRA GÖTALANDS LÄN</t>
        </is>
      </c>
      <c r="E9147" t="inlineStr">
        <is>
          <t>TRANEMO</t>
        </is>
      </c>
      <c r="F9147" t="inlineStr">
        <is>
          <t>Kommuner</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54878-2022</t>
        </is>
      </c>
      <c r="B9148" s="1" t="n">
        <v>44886</v>
      </c>
      <c r="C9148" s="1" t="n">
        <v>45212</v>
      </c>
      <c r="D9148" t="inlineStr">
        <is>
          <t>VÄSTRA GÖTALANDS LÄN</t>
        </is>
      </c>
      <c r="E9148" t="inlineStr">
        <is>
          <t>BORÅS</t>
        </is>
      </c>
      <c r="G9148" t="n">
        <v>0.3</v>
      </c>
      <c r="H9148" t="n">
        <v>0</v>
      </c>
      <c r="I9148" t="n">
        <v>0</v>
      </c>
      <c r="J9148" t="n">
        <v>0</v>
      </c>
      <c r="K9148" t="n">
        <v>0</v>
      </c>
      <c r="L9148" t="n">
        <v>0</v>
      </c>
      <c r="M9148" t="n">
        <v>0</v>
      </c>
      <c r="N9148" t="n">
        <v>0</v>
      </c>
      <c r="O9148" t="n">
        <v>0</v>
      </c>
      <c r="P9148" t="n">
        <v>0</v>
      </c>
      <c r="Q9148" t="n">
        <v>0</v>
      </c>
      <c r="R9148" s="2" t="inlineStr"/>
    </row>
    <row r="9149" ht="15" customHeight="1">
      <c r="A9149" t="inlineStr">
        <is>
          <t>A 55830-2022</t>
        </is>
      </c>
      <c r="B9149" s="1" t="n">
        <v>44886</v>
      </c>
      <c r="C9149" s="1" t="n">
        <v>45212</v>
      </c>
      <c r="D9149" t="inlineStr">
        <is>
          <t>VÄSTRA GÖTALANDS LÄN</t>
        </is>
      </c>
      <c r="E9149" t="inlineStr">
        <is>
          <t>TRANEMO</t>
        </is>
      </c>
      <c r="F9149" t="inlineStr">
        <is>
          <t>Kommuner</t>
        </is>
      </c>
      <c r="G9149" t="n">
        <v>4</v>
      </c>
      <c r="H9149" t="n">
        <v>0</v>
      </c>
      <c r="I9149" t="n">
        <v>0</v>
      </c>
      <c r="J9149" t="n">
        <v>0</v>
      </c>
      <c r="K9149" t="n">
        <v>0</v>
      </c>
      <c r="L9149" t="n">
        <v>0</v>
      </c>
      <c r="M9149" t="n">
        <v>0</v>
      </c>
      <c r="N9149" t="n">
        <v>0</v>
      </c>
      <c r="O9149" t="n">
        <v>0</v>
      </c>
      <c r="P9149" t="n">
        <v>0</v>
      </c>
      <c r="Q9149" t="n">
        <v>0</v>
      </c>
      <c r="R9149" s="2" t="inlineStr"/>
    </row>
    <row r="9150" ht="15" customHeight="1">
      <c r="A9150" t="inlineStr">
        <is>
          <t>A 56130-2022</t>
        </is>
      </c>
      <c r="B9150" s="1" t="n">
        <v>44886</v>
      </c>
      <c r="C9150" s="1" t="n">
        <v>45212</v>
      </c>
      <c r="D9150" t="inlineStr">
        <is>
          <t>VÄSTRA GÖTALANDS LÄN</t>
        </is>
      </c>
      <c r="E9150" t="inlineStr">
        <is>
          <t>STRÖMSTAD</t>
        </is>
      </c>
      <c r="G9150" t="n">
        <v>4.2</v>
      </c>
      <c r="H9150" t="n">
        <v>0</v>
      </c>
      <c r="I9150" t="n">
        <v>0</v>
      </c>
      <c r="J9150" t="n">
        <v>0</v>
      </c>
      <c r="K9150" t="n">
        <v>0</v>
      </c>
      <c r="L9150" t="n">
        <v>0</v>
      </c>
      <c r="M9150" t="n">
        <v>0</v>
      </c>
      <c r="N9150" t="n">
        <v>0</v>
      </c>
      <c r="O9150" t="n">
        <v>0</v>
      </c>
      <c r="P9150" t="n">
        <v>0</v>
      </c>
      <c r="Q9150" t="n">
        <v>0</v>
      </c>
      <c r="R9150" s="2" t="inlineStr"/>
    </row>
    <row r="9151" ht="15" customHeight="1">
      <c r="A9151" t="inlineStr">
        <is>
          <t>A 54899-2022</t>
        </is>
      </c>
      <c r="B9151" s="1" t="n">
        <v>44886</v>
      </c>
      <c r="C9151" s="1" t="n">
        <v>45212</v>
      </c>
      <c r="D9151" t="inlineStr">
        <is>
          <t>VÄSTRA GÖTALANDS LÄN</t>
        </is>
      </c>
      <c r="E9151" t="inlineStr">
        <is>
          <t>VÄNERSBORG</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55186-2022</t>
        </is>
      </c>
      <c r="B9152" s="1" t="n">
        <v>44886</v>
      </c>
      <c r="C9152" s="1" t="n">
        <v>45212</v>
      </c>
      <c r="D9152" t="inlineStr">
        <is>
          <t>VÄSTRA GÖTALANDS LÄN</t>
        </is>
      </c>
      <c r="E9152" t="inlineStr">
        <is>
          <t>ESSUNGA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55303-2022</t>
        </is>
      </c>
      <c r="B9153" s="1" t="n">
        <v>44887</v>
      </c>
      <c r="C9153" s="1" t="n">
        <v>45212</v>
      </c>
      <c r="D9153" t="inlineStr">
        <is>
          <t>VÄSTRA GÖTALANDS LÄN</t>
        </is>
      </c>
      <c r="E9153" t="inlineStr">
        <is>
          <t>TROLLHÄTTAN</t>
        </is>
      </c>
      <c r="G9153" t="n">
        <v>1.5</v>
      </c>
      <c r="H9153" t="n">
        <v>0</v>
      </c>
      <c r="I9153" t="n">
        <v>0</v>
      </c>
      <c r="J9153" t="n">
        <v>0</v>
      </c>
      <c r="K9153" t="n">
        <v>0</v>
      </c>
      <c r="L9153" t="n">
        <v>0</v>
      </c>
      <c r="M9153" t="n">
        <v>0</v>
      </c>
      <c r="N9153" t="n">
        <v>0</v>
      </c>
      <c r="O9153" t="n">
        <v>0</v>
      </c>
      <c r="P9153" t="n">
        <v>0</v>
      </c>
      <c r="Q9153" t="n">
        <v>0</v>
      </c>
      <c r="R9153" s="2" t="inlineStr"/>
    </row>
    <row r="9154" ht="15" customHeight="1">
      <c r="A9154" t="inlineStr">
        <is>
          <t>A 55349-2022</t>
        </is>
      </c>
      <c r="B9154" s="1" t="n">
        <v>44887</v>
      </c>
      <c r="C9154" s="1" t="n">
        <v>45212</v>
      </c>
      <c r="D9154" t="inlineStr">
        <is>
          <t>VÄSTRA GÖTALANDS LÄN</t>
        </is>
      </c>
      <c r="E9154" t="inlineStr">
        <is>
          <t>TRANEMO</t>
        </is>
      </c>
      <c r="G9154" t="n">
        <v>3.1</v>
      </c>
      <c r="H9154" t="n">
        <v>0</v>
      </c>
      <c r="I9154" t="n">
        <v>0</v>
      </c>
      <c r="J9154" t="n">
        <v>0</v>
      </c>
      <c r="K9154" t="n">
        <v>0</v>
      </c>
      <c r="L9154" t="n">
        <v>0</v>
      </c>
      <c r="M9154" t="n">
        <v>0</v>
      </c>
      <c r="N9154" t="n">
        <v>0</v>
      </c>
      <c r="O9154" t="n">
        <v>0</v>
      </c>
      <c r="P9154" t="n">
        <v>0</v>
      </c>
      <c r="Q9154" t="n">
        <v>0</v>
      </c>
      <c r="R9154" s="2" t="inlineStr"/>
    </row>
    <row r="9155" ht="15" customHeight="1">
      <c r="A9155" t="inlineStr">
        <is>
          <t>A 55995-2022</t>
        </is>
      </c>
      <c r="B9155" s="1" t="n">
        <v>44887</v>
      </c>
      <c r="C9155" s="1" t="n">
        <v>45212</v>
      </c>
      <c r="D9155" t="inlineStr">
        <is>
          <t>VÄSTRA GÖTALANDS LÄN</t>
        </is>
      </c>
      <c r="E9155" t="inlineStr">
        <is>
          <t>TANUM</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55488-2022</t>
        </is>
      </c>
      <c r="B9156" s="1" t="n">
        <v>44887</v>
      </c>
      <c r="C9156" s="1" t="n">
        <v>45212</v>
      </c>
      <c r="D9156" t="inlineStr">
        <is>
          <t>VÄSTRA GÖTALANDS LÄN</t>
        </is>
      </c>
      <c r="E9156" t="inlineStr">
        <is>
          <t>ALE</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56090-2022</t>
        </is>
      </c>
      <c r="B9157" s="1" t="n">
        <v>44887</v>
      </c>
      <c r="C9157" s="1" t="n">
        <v>45212</v>
      </c>
      <c r="D9157" t="inlineStr">
        <is>
          <t>VÄSTRA GÖTALANDS LÄN</t>
        </is>
      </c>
      <c r="E9157" t="inlineStr">
        <is>
          <t>BENGTSFORS</t>
        </is>
      </c>
      <c r="F9157" t="inlineStr">
        <is>
          <t>Kyrkan</t>
        </is>
      </c>
      <c r="G9157" t="n">
        <v>12.8</v>
      </c>
      <c r="H9157" t="n">
        <v>0</v>
      </c>
      <c r="I9157" t="n">
        <v>0</v>
      </c>
      <c r="J9157" t="n">
        <v>0</v>
      </c>
      <c r="K9157" t="n">
        <v>0</v>
      </c>
      <c r="L9157" t="n">
        <v>0</v>
      </c>
      <c r="M9157" t="n">
        <v>0</v>
      </c>
      <c r="N9157" t="n">
        <v>0</v>
      </c>
      <c r="O9157" t="n">
        <v>0</v>
      </c>
      <c r="P9157" t="n">
        <v>0</v>
      </c>
      <c r="Q9157" t="n">
        <v>0</v>
      </c>
      <c r="R9157" s="2" t="inlineStr"/>
    </row>
    <row r="9158" ht="15" customHeight="1">
      <c r="A9158" t="inlineStr">
        <is>
          <t>A 56310-2022</t>
        </is>
      </c>
      <c r="B9158" s="1" t="n">
        <v>44887</v>
      </c>
      <c r="C9158" s="1" t="n">
        <v>45212</v>
      </c>
      <c r="D9158" t="inlineStr">
        <is>
          <t>VÄSTRA GÖTALANDS LÄN</t>
        </is>
      </c>
      <c r="E9158" t="inlineStr">
        <is>
          <t>DALS-ED</t>
        </is>
      </c>
      <c r="F9158" t="inlineStr">
        <is>
          <t>Kyrkan</t>
        </is>
      </c>
      <c r="G9158" t="n">
        <v>6.1</v>
      </c>
      <c r="H9158" t="n">
        <v>0</v>
      </c>
      <c r="I9158" t="n">
        <v>0</v>
      </c>
      <c r="J9158" t="n">
        <v>0</v>
      </c>
      <c r="K9158" t="n">
        <v>0</v>
      </c>
      <c r="L9158" t="n">
        <v>0</v>
      </c>
      <c r="M9158" t="n">
        <v>0</v>
      </c>
      <c r="N9158" t="n">
        <v>0</v>
      </c>
      <c r="O9158" t="n">
        <v>0</v>
      </c>
      <c r="P9158" t="n">
        <v>0</v>
      </c>
      <c r="Q9158" t="n">
        <v>0</v>
      </c>
      <c r="R9158" s="2" t="inlineStr"/>
    </row>
    <row r="9159" ht="15" customHeight="1">
      <c r="A9159" t="inlineStr">
        <is>
          <t>A 55363-2022</t>
        </is>
      </c>
      <c r="B9159" s="1" t="n">
        <v>44887</v>
      </c>
      <c r="C9159" s="1" t="n">
        <v>45212</v>
      </c>
      <c r="D9159" t="inlineStr">
        <is>
          <t>VÄSTRA GÖTALANDS LÄN</t>
        </is>
      </c>
      <c r="E9159" t="inlineStr">
        <is>
          <t>ULRICEHAMN</t>
        </is>
      </c>
      <c r="F9159" t="inlineStr">
        <is>
          <t>Sveaskog</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55604-2022</t>
        </is>
      </c>
      <c r="B9160" s="1" t="n">
        <v>44888</v>
      </c>
      <c r="C9160" s="1" t="n">
        <v>45212</v>
      </c>
      <c r="D9160" t="inlineStr">
        <is>
          <t>VÄSTRA GÖTALANDS LÄN</t>
        </is>
      </c>
      <c r="E9160" t="inlineStr">
        <is>
          <t>MUNKEDAL</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56684-2022</t>
        </is>
      </c>
      <c r="B9161" s="1" t="n">
        <v>44888</v>
      </c>
      <c r="C9161" s="1" t="n">
        <v>45212</v>
      </c>
      <c r="D9161" t="inlineStr">
        <is>
          <t>VÄSTRA GÖTALANDS LÄN</t>
        </is>
      </c>
      <c r="E9161" t="inlineStr">
        <is>
          <t>BORÅS</t>
        </is>
      </c>
      <c r="F9161" t="inlineStr">
        <is>
          <t>Kyrkan</t>
        </is>
      </c>
      <c r="G9161" t="n">
        <v>2.4</v>
      </c>
      <c r="H9161" t="n">
        <v>0</v>
      </c>
      <c r="I9161" t="n">
        <v>0</v>
      </c>
      <c r="J9161" t="n">
        <v>0</v>
      </c>
      <c r="K9161" t="n">
        <v>0</v>
      </c>
      <c r="L9161" t="n">
        <v>0</v>
      </c>
      <c r="M9161" t="n">
        <v>0</v>
      </c>
      <c r="N9161" t="n">
        <v>0</v>
      </c>
      <c r="O9161" t="n">
        <v>0</v>
      </c>
      <c r="P9161" t="n">
        <v>0</v>
      </c>
      <c r="Q9161" t="n">
        <v>0</v>
      </c>
      <c r="R9161" s="2" t="inlineStr"/>
    </row>
    <row r="9162" ht="15" customHeight="1">
      <c r="A9162" t="inlineStr">
        <is>
          <t>A 56692-2022</t>
        </is>
      </c>
      <c r="B9162" s="1" t="n">
        <v>44888</v>
      </c>
      <c r="C9162" s="1" t="n">
        <v>45212</v>
      </c>
      <c r="D9162" t="inlineStr">
        <is>
          <t>VÄSTRA GÖTALANDS LÄN</t>
        </is>
      </c>
      <c r="E9162" t="inlineStr">
        <is>
          <t>BORÅS</t>
        </is>
      </c>
      <c r="F9162" t="inlineStr">
        <is>
          <t>Kyrkan</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56789-2022</t>
        </is>
      </c>
      <c r="B9163" s="1" t="n">
        <v>44888</v>
      </c>
      <c r="C9163" s="1" t="n">
        <v>45212</v>
      </c>
      <c r="D9163" t="inlineStr">
        <is>
          <t>VÄSTRA GÖTALANDS LÄN</t>
        </is>
      </c>
      <c r="E9163" t="inlineStr">
        <is>
          <t>BORÅS</t>
        </is>
      </c>
      <c r="F9163" t="inlineStr">
        <is>
          <t>Kyrkan</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57335-2022</t>
        </is>
      </c>
      <c r="B9164" s="1" t="n">
        <v>44889</v>
      </c>
      <c r="C9164" s="1" t="n">
        <v>45212</v>
      </c>
      <c r="D9164" t="inlineStr">
        <is>
          <t>VÄSTRA GÖTALANDS LÄN</t>
        </is>
      </c>
      <c r="E9164" t="inlineStr">
        <is>
          <t>TROLLHÄTTAN</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57344-2022</t>
        </is>
      </c>
      <c r="B9165" s="1" t="n">
        <v>44889</v>
      </c>
      <c r="C9165" s="1" t="n">
        <v>45212</v>
      </c>
      <c r="D9165" t="inlineStr">
        <is>
          <t>VÄSTRA GÖTALANDS LÄN</t>
        </is>
      </c>
      <c r="E9165" t="inlineStr">
        <is>
          <t>HJO</t>
        </is>
      </c>
      <c r="G9165" t="n">
        <v>3.9</v>
      </c>
      <c r="H9165" t="n">
        <v>0</v>
      </c>
      <c r="I9165" t="n">
        <v>0</v>
      </c>
      <c r="J9165" t="n">
        <v>0</v>
      </c>
      <c r="K9165" t="n">
        <v>0</v>
      </c>
      <c r="L9165" t="n">
        <v>0</v>
      </c>
      <c r="M9165" t="n">
        <v>0</v>
      </c>
      <c r="N9165" t="n">
        <v>0</v>
      </c>
      <c r="O9165" t="n">
        <v>0</v>
      </c>
      <c r="P9165" t="n">
        <v>0</v>
      </c>
      <c r="Q9165" t="n">
        <v>0</v>
      </c>
      <c r="R9165" s="2" t="inlineStr"/>
    </row>
    <row r="9166" ht="15" customHeight="1">
      <c r="A9166" t="inlineStr">
        <is>
          <t>A 55972-2022</t>
        </is>
      </c>
      <c r="B9166" s="1" t="n">
        <v>44889</v>
      </c>
      <c r="C9166" s="1" t="n">
        <v>45212</v>
      </c>
      <c r="D9166" t="inlineStr">
        <is>
          <t>VÄSTRA GÖTALANDS LÄN</t>
        </is>
      </c>
      <c r="E9166" t="inlineStr">
        <is>
          <t>LILLA EDET</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55991-2022</t>
        </is>
      </c>
      <c r="B9167" s="1" t="n">
        <v>44889</v>
      </c>
      <c r="C9167" s="1" t="n">
        <v>45212</v>
      </c>
      <c r="D9167" t="inlineStr">
        <is>
          <t>VÄSTRA GÖTALANDS LÄN</t>
        </is>
      </c>
      <c r="E9167" t="inlineStr">
        <is>
          <t>LILLA EDET</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56379-2022</t>
        </is>
      </c>
      <c r="B9168" s="1" t="n">
        <v>44890</v>
      </c>
      <c r="C9168" s="1" t="n">
        <v>45212</v>
      </c>
      <c r="D9168" t="inlineStr">
        <is>
          <t>VÄSTRA GÖTALANDS LÄN</t>
        </is>
      </c>
      <c r="E9168" t="inlineStr">
        <is>
          <t>TANUM</t>
        </is>
      </c>
      <c r="G9168" t="n">
        <v>4.4</v>
      </c>
      <c r="H9168" t="n">
        <v>0</v>
      </c>
      <c r="I9168" t="n">
        <v>0</v>
      </c>
      <c r="J9168" t="n">
        <v>0</v>
      </c>
      <c r="K9168" t="n">
        <v>0</v>
      </c>
      <c r="L9168" t="n">
        <v>0</v>
      </c>
      <c r="M9168" t="n">
        <v>0</v>
      </c>
      <c r="N9168" t="n">
        <v>0</v>
      </c>
      <c r="O9168" t="n">
        <v>0</v>
      </c>
      <c r="P9168" t="n">
        <v>0</v>
      </c>
      <c r="Q9168" t="n">
        <v>0</v>
      </c>
      <c r="R9168" s="2" t="inlineStr"/>
    </row>
    <row r="9169" ht="15" customHeight="1">
      <c r="A9169" t="inlineStr">
        <is>
          <t>A 56273-2022</t>
        </is>
      </c>
      <c r="B9169" s="1" t="n">
        <v>44890</v>
      </c>
      <c r="C9169" s="1" t="n">
        <v>45212</v>
      </c>
      <c r="D9169" t="inlineStr">
        <is>
          <t>VÄSTRA GÖTALANDS LÄN</t>
        </is>
      </c>
      <c r="E9169" t="inlineStr">
        <is>
          <t>TÖREBODA</t>
        </is>
      </c>
      <c r="F9169" t="inlineStr">
        <is>
          <t>Övriga statliga verk och myndigheter</t>
        </is>
      </c>
      <c r="G9169" t="n">
        <v>12.6</v>
      </c>
      <c r="H9169" t="n">
        <v>0</v>
      </c>
      <c r="I9169" t="n">
        <v>0</v>
      </c>
      <c r="J9169" t="n">
        <v>0</v>
      </c>
      <c r="K9169" t="n">
        <v>0</v>
      </c>
      <c r="L9169" t="n">
        <v>0</v>
      </c>
      <c r="M9169" t="n">
        <v>0</v>
      </c>
      <c r="N9169" t="n">
        <v>0</v>
      </c>
      <c r="O9169" t="n">
        <v>0</v>
      </c>
      <c r="P9169" t="n">
        <v>0</v>
      </c>
      <c r="Q9169" t="n">
        <v>0</v>
      </c>
      <c r="R9169" s="2" t="inlineStr"/>
    </row>
    <row r="9170" ht="15" customHeight="1">
      <c r="A9170" t="inlineStr">
        <is>
          <t>A 56378-2022</t>
        </is>
      </c>
      <c r="B9170" s="1" t="n">
        <v>44890</v>
      </c>
      <c r="C9170" s="1" t="n">
        <v>45212</v>
      </c>
      <c r="D9170" t="inlineStr">
        <is>
          <t>VÄSTRA GÖTALANDS LÄN</t>
        </is>
      </c>
      <c r="E9170" t="inlineStr">
        <is>
          <t>TANUM</t>
        </is>
      </c>
      <c r="G9170" t="n">
        <v>6.9</v>
      </c>
      <c r="H9170" t="n">
        <v>0</v>
      </c>
      <c r="I9170" t="n">
        <v>0</v>
      </c>
      <c r="J9170" t="n">
        <v>0</v>
      </c>
      <c r="K9170" t="n">
        <v>0</v>
      </c>
      <c r="L9170" t="n">
        <v>0</v>
      </c>
      <c r="M9170" t="n">
        <v>0</v>
      </c>
      <c r="N9170" t="n">
        <v>0</v>
      </c>
      <c r="O9170" t="n">
        <v>0</v>
      </c>
      <c r="P9170" t="n">
        <v>0</v>
      </c>
      <c r="Q9170" t="n">
        <v>0</v>
      </c>
      <c r="R9170" s="2" t="inlineStr"/>
    </row>
    <row r="9171" ht="15" customHeight="1">
      <c r="A9171" t="inlineStr">
        <is>
          <t>A 56428-2022</t>
        </is>
      </c>
      <c r="B9171" s="1" t="n">
        <v>44891</v>
      </c>
      <c r="C9171" s="1" t="n">
        <v>45212</v>
      </c>
      <c r="D9171" t="inlineStr">
        <is>
          <t>VÄSTRA GÖTALANDS LÄN</t>
        </is>
      </c>
      <c r="E9171" t="inlineStr">
        <is>
          <t>UDDEVALLA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57768-2022</t>
        </is>
      </c>
      <c r="B9172" s="1" t="n">
        <v>44892</v>
      </c>
      <c r="C9172" s="1" t="n">
        <v>45212</v>
      </c>
      <c r="D9172" t="inlineStr">
        <is>
          <t>VÄSTRA GÖTALANDS LÄN</t>
        </is>
      </c>
      <c r="E9172" t="inlineStr">
        <is>
          <t>STRÖMSTAD</t>
        </is>
      </c>
      <c r="G9172" t="n">
        <v>0.5</v>
      </c>
      <c r="H9172" t="n">
        <v>0</v>
      </c>
      <c r="I9172" t="n">
        <v>0</v>
      </c>
      <c r="J9172" t="n">
        <v>0</v>
      </c>
      <c r="K9172" t="n">
        <v>0</v>
      </c>
      <c r="L9172" t="n">
        <v>0</v>
      </c>
      <c r="M9172" t="n">
        <v>0</v>
      </c>
      <c r="N9172" t="n">
        <v>0</v>
      </c>
      <c r="O9172" t="n">
        <v>0</v>
      </c>
      <c r="P9172" t="n">
        <v>0</v>
      </c>
      <c r="Q9172" t="n">
        <v>0</v>
      </c>
      <c r="R9172" s="2" t="inlineStr"/>
    </row>
    <row r="9173" ht="15" customHeight="1">
      <c r="A9173" t="inlineStr">
        <is>
          <t>A 57989-2022</t>
        </is>
      </c>
      <c r="B9173" s="1" t="n">
        <v>44892</v>
      </c>
      <c r="C9173" s="1" t="n">
        <v>45212</v>
      </c>
      <c r="D9173" t="inlineStr">
        <is>
          <t>VÄSTRA GÖTALANDS LÄN</t>
        </is>
      </c>
      <c r="E9173" t="inlineStr">
        <is>
          <t>STRÖMSTAD</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56444-2022</t>
        </is>
      </c>
      <c r="B9174" s="1" t="n">
        <v>44892</v>
      </c>
      <c r="C9174" s="1" t="n">
        <v>45212</v>
      </c>
      <c r="D9174" t="inlineStr">
        <is>
          <t>VÄSTRA GÖTALANDS LÄN</t>
        </is>
      </c>
      <c r="E9174" t="inlineStr">
        <is>
          <t>SKARA</t>
        </is>
      </c>
      <c r="G9174" t="n">
        <v>3.3</v>
      </c>
      <c r="H9174" t="n">
        <v>0</v>
      </c>
      <c r="I9174" t="n">
        <v>0</v>
      </c>
      <c r="J9174" t="n">
        <v>0</v>
      </c>
      <c r="K9174" t="n">
        <v>0</v>
      </c>
      <c r="L9174" t="n">
        <v>0</v>
      </c>
      <c r="M9174" t="n">
        <v>0</v>
      </c>
      <c r="N9174" t="n">
        <v>0</v>
      </c>
      <c r="O9174" t="n">
        <v>0</v>
      </c>
      <c r="P9174" t="n">
        <v>0</v>
      </c>
      <c r="Q9174" t="n">
        <v>0</v>
      </c>
      <c r="R9174" s="2" t="inlineStr"/>
    </row>
    <row r="9175" ht="15" customHeight="1">
      <c r="A9175" t="inlineStr">
        <is>
          <t>A 57942-2022</t>
        </is>
      </c>
      <c r="B9175" s="1" t="n">
        <v>44892</v>
      </c>
      <c r="C9175" s="1" t="n">
        <v>45212</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56689-2022</t>
        </is>
      </c>
      <c r="B9176" s="1" t="n">
        <v>44893</v>
      </c>
      <c r="C9176" s="1" t="n">
        <v>45212</v>
      </c>
      <c r="D9176" t="inlineStr">
        <is>
          <t>VÄSTRA GÖTALANDS LÄN</t>
        </is>
      </c>
      <c r="E9176" t="inlineStr">
        <is>
          <t>ULRICEHAMN</t>
        </is>
      </c>
      <c r="G9176" t="n">
        <v>3.4</v>
      </c>
      <c r="H9176" t="n">
        <v>0</v>
      </c>
      <c r="I9176" t="n">
        <v>0</v>
      </c>
      <c r="J9176" t="n">
        <v>0</v>
      </c>
      <c r="K9176" t="n">
        <v>0</v>
      </c>
      <c r="L9176" t="n">
        <v>0</v>
      </c>
      <c r="M9176" t="n">
        <v>0</v>
      </c>
      <c r="N9176" t="n">
        <v>0</v>
      </c>
      <c r="O9176" t="n">
        <v>0</v>
      </c>
      <c r="P9176" t="n">
        <v>0</v>
      </c>
      <c r="Q9176" t="n">
        <v>0</v>
      </c>
      <c r="R9176" s="2" t="inlineStr"/>
    </row>
    <row r="9177" ht="15" customHeight="1">
      <c r="A9177" t="inlineStr">
        <is>
          <t>A 56489-2022</t>
        </is>
      </c>
      <c r="B9177" s="1" t="n">
        <v>44893</v>
      </c>
      <c r="C9177" s="1" t="n">
        <v>45212</v>
      </c>
      <c r="D9177" t="inlineStr">
        <is>
          <t>VÄSTRA GÖTALANDS LÄN</t>
        </is>
      </c>
      <c r="E9177" t="inlineStr">
        <is>
          <t>ULRICEHAMN</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56681-2022</t>
        </is>
      </c>
      <c r="B9178" s="1" t="n">
        <v>44893</v>
      </c>
      <c r="C9178" s="1" t="n">
        <v>45212</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56978-2022</t>
        </is>
      </c>
      <c r="B9179" s="1" t="n">
        <v>44894</v>
      </c>
      <c r="C9179" s="1" t="n">
        <v>45212</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56830-2022</t>
        </is>
      </c>
      <c r="B9180" s="1" t="n">
        <v>44894</v>
      </c>
      <c r="C9180" s="1" t="n">
        <v>45212</v>
      </c>
      <c r="D9180" t="inlineStr">
        <is>
          <t>VÄSTRA GÖTALANDS LÄN</t>
        </is>
      </c>
      <c r="E9180" t="inlineStr">
        <is>
          <t>ULRICEHAMN</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58597-2022</t>
        </is>
      </c>
      <c r="B9181" s="1" t="n">
        <v>44894</v>
      </c>
      <c r="C9181" s="1" t="n">
        <v>45212</v>
      </c>
      <c r="D9181" t="inlineStr">
        <is>
          <t>VÄSTRA GÖTALANDS LÄN</t>
        </is>
      </c>
      <c r="E9181" t="inlineStr">
        <is>
          <t>HJO</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56831-2022</t>
        </is>
      </c>
      <c r="B9182" s="1" t="n">
        <v>44894</v>
      </c>
      <c r="C9182" s="1" t="n">
        <v>45212</v>
      </c>
      <c r="D9182" t="inlineStr">
        <is>
          <t>VÄSTRA GÖTALANDS LÄN</t>
        </is>
      </c>
      <c r="E9182" t="inlineStr">
        <is>
          <t>TÖREBODA</t>
        </is>
      </c>
      <c r="G9182" t="n">
        <v>1</v>
      </c>
      <c r="H9182" t="n">
        <v>0</v>
      </c>
      <c r="I9182" t="n">
        <v>0</v>
      </c>
      <c r="J9182" t="n">
        <v>0</v>
      </c>
      <c r="K9182" t="n">
        <v>0</v>
      </c>
      <c r="L9182" t="n">
        <v>0</v>
      </c>
      <c r="M9182" t="n">
        <v>0</v>
      </c>
      <c r="N9182" t="n">
        <v>0</v>
      </c>
      <c r="O9182" t="n">
        <v>0</v>
      </c>
      <c r="P9182" t="n">
        <v>0</v>
      </c>
      <c r="Q9182" t="n">
        <v>0</v>
      </c>
      <c r="R9182" s="2" t="inlineStr"/>
    </row>
    <row r="9183" ht="15" customHeight="1">
      <c r="A9183" t="inlineStr">
        <is>
          <t>A 56773-2022</t>
        </is>
      </c>
      <c r="B9183" s="1" t="n">
        <v>44894</v>
      </c>
      <c r="C9183" s="1" t="n">
        <v>45212</v>
      </c>
      <c r="D9183" t="inlineStr">
        <is>
          <t>VÄSTRA GÖTALANDS LÄN</t>
        </is>
      </c>
      <c r="E9183" t="inlineStr">
        <is>
          <t>LILLA EDET</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57186-2022</t>
        </is>
      </c>
      <c r="B9184" s="1" t="n">
        <v>44895</v>
      </c>
      <c r="C9184" s="1" t="n">
        <v>45212</v>
      </c>
      <c r="D9184" t="inlineStr">
        <is>
          <t>VÄSTRA GÖTALANDS LÄN</t>
        </is>
      </c>
      <c r="E9184" t="inlineStr">
        <is>
          <t>LERUM</t>
        </is>
      </c>
      <c r="G9184" t="n">
        <v>1.5</v>
      </c>
      <c r="H9184" t="n">
        <v>0</v>
      </c>
      <c r="I9184" t="n">
        <v>0</v>
      </c>
      <c r="J9184" t="n">
        <v>0</v>
      </c>
      <c r="K9184" t="n">
        <v>0</v>
      </c>
      <c r="L9184" t="n">
        <v>0</v>
      </c>
      <c r="M9184" t="n">
        <v>0</v>
      </c>
      <c r="N9184" t="n">
        <v>0</v>
      </c>
      <c r="O9184" t="n">
        <v>0</v>
      </c>
      <c r="P9184" t="n">
        <v>0</v>
      </c>
      <c r="Q9184" t="n">
        <v>0</v>
      </c>
      <c r="R9184" s="2" t="inlineStr"/>
    </row>
    <row r="9185" ht="15" customHeight="1">
      <c r="A9185" t="inlineStr">
        <is>
          <t>A 57195-2022</t>
        </is>
      </c>
      <c r="B9185" s="1" t="n">
        <v>44895</v>
      </c>
      <c r="C9185" s="1" t="n">
        <v>45212</v>
      </c>
      <c r="D9185" t="inlineStr">
        <is>
          <t>VÄSTRA GÖTALANDS LÄN</t>
        </is>
      </c>
      <c r="E9185" t="inlineStr">
        <is>
          <t>LERUM</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57201-2022</t>
        </is>
      </c>
      <c r="B9186" s="1" t="n">
        <v>44895</v>
      </c>
      <c r="C9186" s="1" t="n">
        <v>45212</v>
      </c>
      <c r="D9186" t="inlineStr">
        <is>
          <t>VÄSTRA GÖTALANDS LÄN</t>
        </is>
      </c>
      <c r="E9186" t="inlineStr">
        <is>
          <t>LERUM</t>
        </is>
      </c>
      <c r="G9186" t="n">
        <v>9.5</v>
      </c>
      <c r="H9186" t="n">
        <v>0</v>
      </c>
      <c r="I9186" t="n">
        <v>0</v>
      </c>
      <c r="J9186" t="n">
        <v>0</v>
      </c>
      <c r="K9186" t="n">
        <v>0</v>
      </c>
      <c r="L9186" t="n">
        <v>0</v>
      </c>
      <c r="M9186" t="n">
        <v>0</v>
      </c>
      <c r="N9186" t="n">
        <v>0</v>
      </c>
      <c r="O9186" t="n">
        <v>0</v>
      </c>
      <c r="P9186" t="n">
        <v>0</v>
      </c>
      <c r="Q9186" t="n">
        <v>0</v>
      </c>
      <c r="R9186" s="2" t="inlineStr"/>
    </row>
    <row r="9187" ht="15" customHeight="1">
      <c r="A9187" t="inlineStr">
        <is>
          <t>A 57238-2022</t>
        </is>
      </c>
      <c r="B9187" s="1" t="n">
        <v>44895</v>
      </c>
      <c r="C9187" s="1" t="n">
        <v>45212</v>
      </c>
      <c r="D9187" t="inlineStr">
        <is>
          <t>VÄSTRA GÖTALANDS LÄN</t>
        </is>
      </c>
      <c r="E9187" t="inlineStr">
        <is>
          <t>SKARA</t>
        </is>
      </c>
      <c r="G9187" t="n">
        <v>0.9</v>
      </c>
      <c r="H9187" t="n">
        <v>0</v>
      </c>
      <c r="I9187" t="n">
        <v>0</v>
      </c>
      <c r="J9187" t="n">
        <v>0</v>
      </c>
      <c r="K9187" t="n">
        <v>0</v>
      </c>
      <c r="L9187" t="n">
        <v>0</v>
      </c>
      <c r="M9187" t="n">
        <v>0</v>
      </c>
      <c r="N9187" t="n">
        <v>0</v>
      </c>
      <c r="O9187" t="n">
        <v>0</v>
      </c>
      <c r="P9187" t="n">
        <v>0</v>
      </c>
      <c r="Q9187" t="n">
        <v>0</v>
      </c>
      <c r="R9187" s="2" t="inlineStr"/>
    </row>
    <row r="9188" ht="15" customHeight="1">
      <c r="A9188" t="inlineStr">
        <is>
          <t>A 57258-2022</t>
        </is>
      </c>
      <c r="B9188" s="1" t="n">
        <v>44895</v>
      </c>
      <c r="C9188" s="1" t="n">
        <v>45212</v>
      </c>
      <c r="D9188" t="inlineStr">
        <is>
          <t>VÄSTRA GÖTALANDS LÄN</t>
        </is>
      </c>
      <c r="E9188" t="inlineStr">
        <is>
          <t>SKARA</t>
        </is>
      </c>
      <c r="G9188" t="n">
        <v>4.3</v>
      </c>
      <c r="H9188" t="n">
        <v>0</v>
      </c>
      <c r="I9188" t="n">
        <v>0</v>
      </c>
      <c r="J9188" t="n">
        <v>0</v>
      </c>
      <c r="K9188" t="n">
        <v>0</v>
      </c>
      <c r="L9188" t="n">
        <v>0</v>
      </c>
      <c r="M9188" t="n">
        <v>0</v>
      </c>
      <c r="N9188" t="n">
        <v>0</v>
      </c>
      <c r="O9188" t="n">
        <v>0</v>
      </c>
      <c r="P9188" t="n">
        <v>0</v>
      </c>
      <c r="Q9188" t="n">
        <v>0</v>
      </c>
      <c r="R9188" s="2" t="inlineStr"/>
    </row>
    <row r="9189" ht="15" customHeight="1">
      <c r="A9189" t="inlineStr">
        <is>
          <t>A 57178-2022</t>
        </is>
      </c>
      <c r="B9189" s="1" t="n">
        <v>44895</v>
      </c>
      <c r="C9189" s="1" t="n">
        <v>45212</v>
      </c>
      <c r="D9189" t="inlineStr">
        <is>
          <t>VÄSTRA GÖTALANDS LÄN</t>
        </is>
      </c>
      <c r="E9189" t="inlineStr">
        <is>
          <t>LERUM</t>
        </is>
      </c>
      <c r="G9189" t="n">
        <v>0.5</v>
      </c>
      <c r="H9189" t="n">
        <v>0</v>
      </c>
      <c r="I9189" t="n">
        <v>0</v>
      </c>
      <c r="J9189" t="n">
        <v>0</v>
      </c>
      <c r="K9189" t="n">
        <v>0</v>
      </c>
      <c r="L9189" t="n">
        <v>0</v>
      </c>
      <c r="M9189" t="n">
        <v>0</v>
      </c>
      <c r="N9189" t="n">
        <v>0</v>
      </c>
      <c r="O9189" t="n">
        <v>0</v>
      </c>
      <c r="P9189" t="n">
        <v>0</v>
      </c>
      <c r="Q9189" t="n">
        <v>0</v>
      </c>
      <c r="R9189" s="2" t="inlineStr"/>
    </row>
    <row r="9190" ht="15" customHeight="1">
      <c r="A9190" t="inlineStr">
        <is>
          <t>A 57202-2022</t>
        </is>
      </c>
      <c r="B9190" s="1" t="n">
        <v>44895</v>
      </c>
      <c r="C9190" s="1" t="n">
        <v>45212</v>
      </c>
      <c r="D9190" t="inlineStr">
        <is>
          <t>VÄSTRA GÖTALANDS LÄN</t>
        </is>
      </c>
      <c r="E9190" t="inlineStr">
        <is>
          <t>BENGTSFORS</t>
        </is>
      </c>
      <c r="G9190" t="n">
        <v>0.8</v>
      </c>
      <c r="H9190" t="n">
        <v>0</v>
      </c>
      <c r="I9190" t="n">
        <v>0</v>
      </c>
      <c r="J9190" t="n">
        <v>0</v>
      </c>
      <c r="K9190" t="n">
        <v>0</v>
      </c>
      <c r="L9190" t="n">
        <v>0</v>
      </c>
      <c r="M9190" t="n">
        <v>0</v>
      </c>
      <c r="N9190" t="n">
        <v>0</v>
      </c>
      <c r="O9190" t="n">
        <v>0</v>
      </c>
      <c r="P9190" t="n">
        <v>0</v>
      </c>
      <c r="Q9190" t="n">
        <v>0</v>
      </c>
      <c r="R9190" s="2" t="inlineStr"/>
    </row>
    <row r="9191" ht="15" customHeight="1">
      <c r="A9191" t="inlineStr">
        <is>
          <t>A 57262-2022</t>
        </is>
      </c>
      <c r="B9191" s="1" t="n">
        <v>44895</v>
      </c>
      <c r="C9191" s="1" t="n">
        <v>45212</v>
      </c>
      <c r="D9191" t="inlineStr">
        <is>
          <t>VÄSTRA GÖTALANDS LÄN</t>
        </is>
      </c>
      <c r="E9191" t="inlineStr">
        <is>
          <t>DALS-ED</t>
        </is>
      </c>
      <c r="F9191" t="inlineStr">
        <is>
          <t>Kommuner</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58701-2022</t>
        </is>
      </c>
      <c r="B9192" s="1" t="n">
        <v>44895</v>
      </c>
      <c r="C9192" s="1" t="n">
        <v>45212</v>
      </c>
      <c r="D9192" t="inlineStr">
        <is>
          <t>VÄSTRA GÖTALANDS LÄN</t>
        </is>
      </c>
      <c r="E9192" t="inlineStr">
        <is>
          <t>FALKÖPING</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57185-2022</t>
        </is>
      </c>
      <c r="B9193" s="1" t="n">
        <v>44895</v>
      </c>
      <c r="C9193" s="1" t="n">
        <v>45212</v>
      </c>
      <c r="D9193" t="inlineStr">
        <is>
          <t>VÄSTRA GÖTALANDS LÄN</t>
        </is>
      </c>
      <c r="E9193" t="inlineStr">
        <is>
          <t>SVENLJUNGA</t>
        </is>
      </c>
      <c r="G9193" t="n">
        <v>0.7</v>
      </c>
      <c r="H9193" t="n">
        <v>0</v>
      </c>
      <c r="I9193" t="n">
        <v>0</v>
      </c>
      <c r="J9193" t="n">
        <v>0</v>
      </c>
      <c r="K9193" t="n">
        <v>0</v>
      </c>
      <c r="L9193" t="n">
        <v>0</v>
      </c>
      <c r="M9193" t="n">
        <v>0</v>
      </c>
      <c r="N9193" t="n">
        <v>0</v>
      </c>
      <c r="O9193" t="n">
        <v>0</v>
      </c>
      <c r="P9193" t="n">
        <v>0</v>
      </c>
      <c r="Q9193" t="n">
        <v>0</v>
      </c>
      <c r="R9193" s="2" t="inlineStr"/>
    </row>
    <row r="9194" ht="15" customHeight="1">
      <c r="A9194" t="inlineStr">
        <is>
          <t>A 57227-2022</t>
        </is>
      </c>
      <c r="B9194" s="1" t="n">
        <v>44895</v>
      </c>
      <c r="C9194" s="1" t="n">
        <v>45212</v>
      </c>
      <c r="D9194" t="inlineStr">
        <is>
          <t>VÄSTRA GÖTALANDS LÄN</t>
        </is>
      </c>
      <c r="E9194" t="inlineStr">
        <is>
          <t>SVENLJUNGA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58703-2022</t>
        </is>
      </c>
      <c r="B9195" s="1" t="n">
        <v>44895</v>
      </c>
      <c r="C9195" s="1" t="n">
        <v>45212</v>
      </c>
      <c r="D9195" t="inlineStr">
        <is>
          <t>VÄSTRA GÖTALANDS LÄN</t>
        </is>
      </c>
      <c r="E9195" t="inlineStr">
        <is>
          <t>HERRLJUNGA</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57560-2022</t>
        </is>
      </c>
      <c r="B9196" s="1" t="n">
        <v>44896</v>
      </c>
      <c r="C9196" s="1" t="n">
        <v>45212</v>
      </c>
      <c r="D9196" t="inlineStr">
        <is>
          <t>VÄSTRA GÖTALANDS LÄN</t>
        </is>
      </c>
      <c r="E9196" t="inlineStr">
        <is>
          <t>ULRICEHAMN</t>
        </is>
      </c>
      <c r="G9196" t="n">
        <v>6.7</v>
      </c>
      <c r="H9196" t="n">
        <v>0</v>
      </c>
      <c r="I9196" t="n">
        <v>0</v>
      </c>
      <c r="J9196" t="n">
        <v>0</v>
      </c>
      <c r="K9196" t="n">
        <v>0</v>
      </c>
      <c r="L9196" t="n">
        <v>0</v>
      </c>
      <c r="M9196" t="n">
        <v>0</v>
      </c>
      <c r="N9196" t="n">
        <v>0</v>
      </c>
      <c r="O9196" t="n">
        <v>0</v>
      </c>
      <c r="P9196" t="n">
        <v>0</v>
      </c>
      <c r="Q9196" t="n">
        <v>0</v>
      </c>
      <c r="R9196" s="2" t="inlineStr"/>
    </row>
    <row r="9197" ht="15" customHeight="1">
      <c r="A9197" t="inlineStr">
        <is>
          <t>A 58932-2022</t>
        </is>
      </c>
      <c r="B9197" s="1" t="n">
        <v>44896</v>
      </c>
      <c r="C9197" s="1" t="n">
        <v>45212</v>
      </c>
      <c r="D9197" t="inlineStr">
        <is>
          <t>VÄSTRA GÖTALANDS LÄN</t>
        </is>
      </c>
      <c r="E9197" t="inlineStr">
        <is>
          <t>ALINGSÅS</t>
        </is>
      </c>
      <c r="F9197" t="inlineStr">
        <is>
          <t>Allmännings- och besparingsskogar</t>
        </is>
      </c>
      <c r="G9197" t="n">
        <v>8.300000000000001</v>
      </c>
      <c r="H9197" t="n">
        <v>0</v>
      </c>
      <c r="I9197" t="n">
        <v>0</v>
      </c>
      <c r="J9197" t="n">
        <v>0</v>
      </c>
      <c r="K9197" t="n">
        <v>0</v>
      </c>
      <c r="L9197" t="n">
        <v>0</v>
      </c>
      <c r="M9197" t="n">
        <v>0</v>
      </c>
      <c r="N9197" t="n">
        <v>0</v>
      </c>
      <c r="O9197" t="n">
        <v>0</v>
      </c>
      <c r="P9197" t="n">
        <v>0</v>
      </c>
      <c r="Q9197" t="n">
        <v>0</v>
      </c>
      <c r="R9197" s="2" t="inlineStr"/>
    </row>
    <row r="9198" ht="15" customHeight="1">
      <c r="A9198" t="inlineStr">
        <is>
          <t>A 59192-2022</t>
        </is>
      </c>
      <c r="B9198" s="1" t="n">
        <v>44896</v>
      </c>
      <c r="C9198" s="1" t="n">
        <v>45212</v>
      </c>
      <c r="D9198" t="inlineStr">
        <is>
          <t>VÄSTRA GÖTALANDS LÄN</t>
        </is>
      </c>
      <c r="E9198" t="inlineStr">
        <is>
          <t>TJÖRN</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57399-2022</t>
        </is>
      </c>
      <c r="B9199" s="1" t="n">
        <v>44896</v>
      </c>
      <c r="C9199" s="1" t="n">
        <v>45212</v>
      </c>
      <c r="D9199" t="inlineStr">
        <is>
          <t>VÄSTRA GÖTALANDS LÄN</t>
        </is>
      </c>
      <c r="E9199" t="inlineStr">
        <is>
          <t>MARK</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57381-2022</t>
        </is>
      </c>
      <c r="B9200" s="1" t="n">
        <v>44896</v>
      </c>
      <c r="C9200" s="1" t="n">
        <v>45212</v>
      </c>
      <c r="D9200" t="inlineStr">
        <is>
          <t>VÄSTRA GÖTALANDS LÄN</t>
        </is>
      </c>
      <c r="E9200" t="inlineStr">
        <is>
          <t>LILLA EDET</t>
        </is>
      </c>
      <c r="G9200" t="n">
        <v>2.7</v>
      </c>
      <c r="H9200" t="n">
        <v>0</v>
      </c>
      <c r="I9200" t="n">
        <v>0</v>
      </c>
      <c r="J9200" t="n">
        <v>0</v>
      </c>
      <c r="K9200" t="n">
        <v>0</v>
      </c>
      <c r="L9200" t="n">
        <v>0</v>
      </c>
      <c r="M9200" t="n">
        <v>0</v>
      </c>
      <c r="N9200" t="n">
        <v>0</v>
      </c>
      <c r="O9200" t="n">
        <v>0</v>
      </c>
      <c r="P9200" t="n">
        <v>0</v>
      </c>
      <c r="Q9200" t="n">
        <v>0</v>
      </c>
      <c r="R9200" s="2" t="inlineStr"/>
    </row>
    <row r="9201" ht="15" customHeight="1">
      <c r="A9201" t="inlineStr">
        <is>
          <t>A 57410-2022</t>
        </is>
      </c>
      <c r="B9201" s="1" t="n">
        <v>44896</v>
      </c>
      <c r="C9201" s="1" t="n">
        <v>45212</v>
      </c>
      <c r="D9201" t="inlineStr">
        <is>
          <t>VÄSTRA GÖTALANDS LÄN</t>
        </is>
      </c>
      <c r="E9201" t="inlineStr">
        <is>
          <t>TJÖRN</t>
        </is>
      </c>
      <c r="G9201" t="n">
        <v>7.5</v>
      </c>
      <c r="H9201" t="n">
        <v>0</v>
      </c>
      <c r="I9201" t="n">
        <v>0</v>
      </c>
      <c r="J9201" t="n">
        <v>0</v>
      </c>
      <c r="K9201" t="n">
        <v>0</v>
      </c>
      <c r="L9201" t="n">
        <v>0</v>
      </c>
      <c r="M9201" t="n">
        <v>0</v>
      </c>
      <c r="N9201" t="n">
        <v>0</v>
      </c>
      <c r="O9201" t="n">
        <v>0</v>
      </c>
      <c r="P9201" t="n">
        <v>0</v>
      </c>
      <c r="Q9201" t="n">
        <v>0</v>
      </c>
      <c r="R9201" s="2" t="inlineStr"/>
    </row>
    <row r="9202" ht="15" customHeight="1">
      <c r="A9202" t="inlineStr">
        <is>
          <t>A 57489-2022</t>
        </is>
      </c>
      <c r="B9202" s="1" t="n">
        <v>44896</v>
      </c>
      <c r="C9202" s="1" t="n">
        <v>45212</v>
      </c>
      <c r="D9202" t="inlineStr">
        <is>
          <t>VÄSTRA GÖTALANDS LÄN</t>
        </is>
      </c>
      <c r="E9202" t="inlineStr">
        <is>
          <t>ALINGSÅS</t>
        </is>
      </c>
      <c r="G9202" t="n">
        <v>10</v>
      </c>
      <c r="H9202" t="n">
        <v>0</v>
      </c>
      <c r="I9202" t="n">
        <v>0</v>
      </c>
      <c r="J9202" t="n">
        <v>0</v>
      </c>
      <c r="K9202" t="n">
        <v>0</v>
      </c>
      <c r="L9202" t="n">
        <v>0</v>
      </c>
      <c r="M9202" t="n">
        <v>0</v>
      </c>
      <c r="N9202" t="n">
        <v>0</v>
      </c>
      <c r="O9202" t="n">
        <v>0</v>
      </c>
      <c r="P9202" t="n">
        <v>0</v>
      </c>
      <c r="Q9202" t="n">
        <v>0</v>
      </c>
      <c r="R9202" s="2" t="inlineStr"/>
    </row>
    <row r="9203" ht="15" customHeight="1">
      <c r="A9203" t="inlineStr">
        <is>
          <t>A 57397-2022</t>
        </is>
      </c>
      <c r="B9203" s="1" t="n">
        <v>44896</v>
      </c>
      <c r="C9203" s="1" t="n">
        <v>45212</v>
      </c>
      <c r="D9203" t="inlineStr">
        <is>
          <t>VÄSTRA GÖTALANDS LÄN</t>
        </is>
      </c>
      <c r="E9203" t="inlineStr">
        <is>
          <t>TRANEMO</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57473-2022</t>
        </is>
      </c>
      <c r="B9204" s="1" t="n">
        <v>44896</v>
      </c>
      <c r="C9204" s="1" t="n">
        <v>45212</v>
      </c>
      <c r="D9204" t="inlineStr">
        <is>
          <t>VÄSTRA GÖTALANDS LÄN</t>
        </is>
      </c>
      <c r="E9204" t="inlineStr">
        <is>
          <t>ALE</t>
        </is>
      </c>
      <c r="G9204" t="n">
        <v>0.7</v>
      </c>
      <c r="H9204" t="n">
        <v>0</v>
      </c>
      <c r="I9204" t="n">
        <v>0</v>
      </c>
      <c r="J9204" t="n">
        <v>0</v>
      </c>
      <c r="K9204" t="n">
        <v>0</v>
      </c>
      <c r="L9204" t="n">
        <v>0</v>
      </c>
      <c r="M9204" t="n">
        <v>0</v>
      </c>
      <c r="N9204" t="n">
        <v>0</v>
      </c>
      <c r="O9204" t="n">
        <v>0</v>
      </c>
      <c r="P9204" t="n">
        <v>0</v>
      </c>
      <c r="Q9204" t="n">
        <v>0</v>
      </c>
      <c r="R9204" s="2" t="inlineStr"/>
    </row>
    <row r="9205" ht="15" customHeight="1">
      <c r="A9205" t="inlineStr">
        <is>
          <t>A 57491-2022</t>
        </is>
      </c>
      <c r="B9205" s="1" t="n">
        <v>44896</v>
      </c>
      <c r="C9205" s="1" t="n">
        <v>45212</v>
      </c>
      <c r="D9205" t="inlineStr">
        <is>
          <t>VÄSTRA GÖTALANDS LÄN</t>
        </is>
      </c>
      <c r="E9205" t="inlineStr">
        <is>
          <t>ALINGSÅS</t>
        </is>
      </c>
      <c r="G9205" t="n">
        <v>1.9</v>
      </c>
      <c r="H9205" t="n">
        <v>0</v>
      </c>
      <c r="I9205" t="n">
        <v>0</v>
      </c>
      <c r="J9205" t="n">
        <v>0</v>
      </c>
      <c r="K9205" t="n">
        <v>0</v>
      </c>
      <c r="L9205" t="n">
        <v>0</v>
      </c>
      <c r="M9205" t="n">
        <v>0</v>
      </c>
      <c r="N9205" t="n">
        <v>0</v>
      </c>
      <c r="O9205" t="n">
        <v>0</v>
      </c>
      <c r="P9205" t="n">
        <v>0</v>
      </c>
      <c r="Q9205" t="n">
        <v>0</v>
      </c>
      <c r="R9205" s="2" t="inlineStr"/>
    </row>
    <row r="9206" ht="15" customHeight="1">
      <c r="A9206" t="inlineStr">
        <is>
          <t>A 57561-2022</t>
        </is>
      </c>
      <c r="B9206" s="1" t="n">
        <v>44896</v>
      </c>
      <c r="C9206" s="1" t="n">
        <v>45212</v>
      </c>
      <c r="D9206" t="inlineStr">
        <is>
          <t>VÄSTRA GÖTALANDS LÄN</t>
        </is>
      </c>
      <c r="E9206" t="inlineStr">
        <is>
          <t>ULRICEHAMN</t>
        </is>
      </c>
      <c r="G9206" t="n">
        <v>3.9</v>
      </c>
      <c r="H9206" t="n">
        <v>0</v>
      </c>
      <c r="I9206" t="n">
        <v>0</v>
      </c>
      <c r="J9206" t="n">
        <v>0</v>
      </c>
      <c r="K9206" t="n">
        <v>0</v>
      </c>
      <c r="L9206" t="n">
        <v>0</v>
      </c>
      <c r="M9206" t="n">
        <v>0</v>
      </c>
      <c r="N9206" t="n">
        <v>0</v>
      </c>
      <c r="O9206" t="n">
        <v>0</v>
      </c>
      <c r="P9206" t="n">
        <v>0</v>
      </c>
      <c r="Q9206" t="n">
        <v>0</v>
      </c>
      <c r="R9206" s="2" t="inlineStr"/>
    </row>
    <row r="9207" ht="15" customHeight="1">
      <c r="A9207" t="inlineStr">
        <is>
          <t>A 57400-2022</t>
        </is>
      </c>
      <c r="B9207" s="1" t="n">
        <v>44896</v>
      </c>
      <c r="C9207" s="1" t="n">
        <v>45212</v>
      </c>
      <c r="D9207" t="inlineStr">
        <is>
          <t>VÄSTRA GÖTALANDS LÄN</t>
        </is>
      </c>
      <c r="E9207" t="inlineStr">
        <is>
          <t>TRANEMO</t>
        </is>
      </c>
      <c r="G9207" t="n">
        <v>2.2</v>
      </c>
      <c r="H9207" t="n">
        <v>0</v>
      </c>
      <c r="I9207" t="n">
        <v>0</v>
      </c>
      <c r="J9207" t="n">
        <v>0</v>
      </c>
      <c r="K9207" t="n">
        <v>0</v>
      </c>
      <c r="L9207" t="n">
        <v>0</v>
      </c>
      <c r="M9207" t="n">
        <v>0</v>
      </c>
      <c r="N9207" t="n">
        <v>0</v>
      </c>
      <c r="O9207" t="n">
        <v>0</v>
      </c>
      <c r="P9207" t="n">
        <v>0</v>
      </c>
      <c r="Q9207" t="n">
        <v>0</v>
      </c>
      <c r="R9207" s="2" t="inlineStr"/>
    </row>
    <row r="9208" ht="15" customHeight="1">
      <c r="A9208" t="inlineStr">
        <is>
          <t>A 57523-2022</t>
        </is>
      </c>
      <c r="B9208" s="1" t="n">
        <v>44896</v>
      </c>
      <c r="C9208" s="1" t="n">
        <v>45212</v>
      </c>
      <c r="D9208" t="inlineStr">
        <is>
          <t>VÄSTRA GÖTALANDS LÄN</t>
        </is>
      </c>
      <c r="E9208" t="inlineStr">
        <is>
          <t>MARK</t>
        </is>
      </c>
      <c r="G9208" t="n">
        <v>1.7</v>
      </c>
      <c r="H9208" t="n">
        <v>0</v>
      </c>
      <c r="I9208" t="n">
        <v>0</v>
      </c>
      <c r="J9208" t="n">
        <v>0</v>
      </c>
      <c r="K9208" t="n">
        <v>0</v>
      </c>
      <c r="L9208" t="n">
        <v>0</v>
      </c>
      <c r="M9208" t="n">
        <v>0</v>
      </c>
      <c r="N9208" t="n">
        <v>0</v>
      </c>
      <c r="O9208" t="n">
        <v>0</v>
      </c>
      <c r="P9208" t="n">
        <v>0</v>
      </c>
      <c r="Q9208" t="n">
        <v>0</v>
      </c>
      <c r="R9208" s="2" t="inlineStr"/>
    </row>
    <row r="9209" ht="15" customHeight="1">
      <c r="A9209" t="inlineStr">
        <is>
          <t>A 57766-2022</t>
        </is>
      </c>
      <c r="B9209" s="1" t="n">
        <v>44897</v>
      </c>
      <c r="C9209" s="1" t="n">
        <v>45212</v>
      </c>
      <c r="D9209" t="inlineStr">
        <is>
          <t>VÄSTRA GÖTALANDS LÄN</t>
        </is>
      </c>
      <c r="E9209" t="inlineStr">
        <is>
          <t>MARK</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57782-2022</t>
        </is>
      </c>
      <c r="B9210" s="1" t="n">
        <v>44897</v>
      </c>
      <c r="C9210" s="1" t="n">
        <v>45212</v>
      </c>
      <c r="D9210" t="inlineStr">
        <is>
          <t>VÄSTRA GÖTALANDS LÄN</t>
        </is>
      </c>
      <c r="E9210" t="inlineStr">
        <is>
          <t>BORÅS</t>
        </is>
      </c>
      <c r="G9210" t="n">
        <v>5.6</v>
      </c>
      <c r="H9210" t="n">
        <v>0</v>
      </c>
      <c r="I9210" t="n">
        <v>0</v>
      </c>
      <c r="J9210" t="n">
        <v>0</v>
      </c>
      <c r="K9210" t="n">
        <v>0</v>
      </c>
      <c r="L9210" t="n">
        <v>0</v>
      </c>
      <c r="M9210" t="n">
        <v>0</v>
      </c>
      <c r="N9210" t="n">
        <v>0</v>
      </c>
      <c r="O9210" t="n">
        <v>0</v>
      </c>
      <c r="P9210" t="n">
        <v>0</v>
      </c>
      <c r="Q9210" t="n">
        <v>0</v>
      </c>
      <c r="R9210" s="2" t="inlineStr"/>
    </row>
    <row r="9211" ht="15" customHeight="1">
      <c r="A9211" t="inlineStr">
        <is>
          <t>A 59150-2022</t>
        </is>
      </c>
      <c r="B9211" s="1" t="n">
        <v>44897</v>
      </c>
      <c r="C9211" s="1" t="n">
        <v>45212</v>
      </c>
      <c r="D9211" t="inlineStr">
        <is>
          <t>VÄSTRA GÖTALANDS LÄN</t>
        </is>
      </c>
      <c r="E9211" t="inlineStr">
        <is>
          <t>MUNKEDAL</t>
        </is>
      </c>
      <c r="F9211" t="inlineStr">
        <is>
          <t>Kyrkan</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57605-2022</t>
        </is>
      </c>
      <c r="B9212" s="1" t="n">
        <v>44897</v>
      </c>
      <c r="C9212" s="1" t="n">
        <v>45212</v>
      </c>
      <c r="D9212" t="inlineStr">
        <is>
          <t>VÄSTRA GÖTALANDS LÄN</t>
        </is>
      </c>
      <c r="E9212" t="inlineStr">
        <is>
          <t>MARK</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57615-2022</t>
        </is>
      </c>
      <c r="B9213" s="1" t="n">
        <v>44897</v>
      </c>
      <c r="C9213" s="1" t="n">
        <v>45212</v>
      </c>
      <c r="D9213" t="inlineStr">
        <is>
          <t>VÄSTRA GÖTALANDS LÄN</t>
        </is>
      </c>
      <c r="E9213" t="inlineStr">
        <is>
          <t>SVENLJUNGA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57786-2022</t>
        </is>
      </c>
      <c r="B9214" s="1" t="n">
        <v>44897</v>
      </c>
      <c r="C9214" s="1" t="n">
        <v>45212</v>
      </c>
      <c r="D9214" t="inlineStr">
        <is>
          <t>VÄSTRA GÖTALANDS LÄN</t>
        </is>
      </c>
      <c r="E9214" t="inlineStr">
        <is>
          <t>BORÅS</t>
        </is>
      </c>
      <c r="G9214" t="n">
        <v>3.6</v>
      </c>
      <c r="H9214" t="n">
        <v>0</v>
      </c>
      <c r="I9214" t="n">
        <v>0</v>
      </c>
      <c r="J9214" t="n">
        <v>0</v>
      </c>
      <c r="K9214" t="n">
        <v>0</v>
      </c>
      <c r="L9214" t="n">
        <v>0</v>
      </c>
      <c r="M9214" t="n">
        <v>0</v>
      </c>
      <c r="N9214" t="n">
        <v>0</v>
      </c>
      <c r="O9214" t="n">
        <v>0</v>
      </c>
      <c r="P9214" t="n">
        <v>0</v>
      </c>
      <c r="Q9214" t="n">
        <v>0</v>
      </c>
      <c r="R9214" s="2" t="inlineStr"/>
    </row>
    <row r="9215" ht="15" customHeight="1">
      <c r="A9215" t="inlineStr">
        <is>
          <t>A 59171-2022</t>
        </is>
      </c>
      <c r="B9215" s="1" t="n">
        <v>44897</v>
      </c>
      <c r="C9215" s="1" t="n">
        <v>45212</v>
      </c>
      <c r="D9215" t="inlineStr">
        <is>
          <t>VÄSTRA GÖTALANDS LÄN</t>
        </is>
      </c>
      <c r="E9215" t="inlineStr">
        <is>
          <t>MUNKEDAL</t>
        </is>
      </c>
      <c r="F9215" t="inlineStr">
        <is>
          <t>Kyrkan</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57647-2022</t>
        </is>
      </c>
      <c r="B9216" s="1" t="n">
        <v>44897</v>
      </c>
      <c r="C9216" s="1" t="n">
        <v>45212</v>
      </c>
      <c r="D9216" t="inlineStr">
        <is>
          <t>VÄSTRA GÖTALANDS LÄN</t>
        </is>
      </c>
      <c r="E9216" t="inlineStr">
        <is>
          <t>HJO</t>
        </is>
      </c>
      <c r="G9216" t="n">
        <v>8.699999999999999</v>
      </c>
      <c r="H9216" t="n">
        <v>0</v>
      </c>
      <c r="I9216" t="n">
        <v>0</v>
      </c>
      <c r="J9216" t="n">
        <v>0</v>
      </c>
      <c r="K9216" t="n">
        <v>0</v>
      </c>
      <c r="L9216" t="n">
        <v>0</v>
      </c>
      <c r="M9216" t="n">
        <v>0</v>
      </c>
      <c r="N9216" t="n">
        <v>0</v>
      </c>
      <c r="O9216" t="n">
        <v>0</v>
      </c>
      <c r="P9216" t="n">
        <v>0</v>
      </c>
      <c r="Q9216" t="n">
        <v>0</v>
      </c>
      <c r="R9216" s="2" t="inlineStr"/>
    </row>
    <row r="9217" ht="15" customHeight="1">
      <c r="A9217" t="inlineStr">
        <is>
          <t>A 59160-2022</t>
        </is>
      </c>
      <c r="B9217" s="1" t="n">
        <v>44897</v>
      </c>
      <c r="C9217" s="1" t="n">
        <v>45212</v>
      </c>
      <c r="D9217" t="inlineStr">
        <is>
          <t>VÄSTRA GÖTALANDS LÄN</t>
        </is>
      </c>
      <c r="E9217" t="inlineStr">
        <is>
          <t>MUNKEDAL</t>
        </is>
      </c>
      <c r="F9217" t="inlineStr">
        <is>
          <t>Kyrkan</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59204-2022</t>
        </is>
      </c>
      <c r="B9218" s="1" t="n">
        <v>44897</v>
      </c>
      <c r="C9218" s="1" t="n">
        <v>45212</v>
      </c>
      <c r="D9218" t="inlineStr">
        <is>
          <t>VÄSTRA GÖTALANDS LÄN</t>
        </is>
      </c>
      <c r="E9218" t="inlineStr">
        <is>
          <t>GULLSPÅNG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57855-2022</t>
        </is>
      </c>
      <c r="B9219" s="1" t="n">
        <v>44898</v>
      </c>
      <c r="C9219" s="1" t="n">
        <v>45212</v>
      </c>
      <c r="D9219" t="inlineStr">
        <is>
          <t>VÄSTRA GÖTALANDS LÄN</t>
        </is>
      </c>
      <c r="E9219" t="inlineStr">
        <is>
          <t>SVENLJUNGA</t>
        </is>
      </c>
      <c r="G9219" t="n">
        <v>3.3</v>
      </c>
      <c r="H9219" t="n">
        <v>0</v>
      </c>
      <c r="I9219" t="n">
        <v>0</v>
      </c>
      <c r="J9219" t="n">
        <v>0</v>
      </c>
      <c r="K9219" t="n">
        <v>0</v>
      </c>
      <c r="L9219" t="n">
        <v>0</v>
      </c>
      <c r="M9219" t="n">
        <v>0</v>
      </c>
      <c r="N9219" t="n">
        <v>0</v>
      </c>
      <c r="O9219" t="n">
        <v>0</v>
      </c>
      <c r="P9219" t="n">
        <v>0</v>
      </c>
      <c r="Q9219" t="n">
        <v>0</v>
      </c>
      <c r="R9219" s="2" t="inlineStr"/>
    </row>
    <row r="9220" ht="15" customHeight="1">
      <c r="A9220" t="inlineStr">
        <is>
          <t>A 59235-2022</t>
        </is>
      </c>
      <c r="B9220" s="1" t="n">
        <v>44899</v>
      </c>
      <c r="C9220" s="1" t="n">
        <v>45212</v>
      </c>
      <c r="D9220" t="inlineStr">
        <is>
          <t>VÄSTRA GÖTALANDS LÄN</t>
        </is>
      </c>
      <c r="E9220" t="inlineStr">
        <is>
          <t>UDDEVALLA</t>
        </is>
      </c>
      <c r="G9220" t="n">
        <v>2</v>
      </c>
      <c r="H9220" t="n">
        <v>0</v>
      </c>
      <c r="I9220" t="n">
        <v>0</v>
      </c>
      <c r="J9220" t="n">
        <v>0</v>
      </c>
      <c r="K9220" t="n">
        <v>0</v>
      </c>
      <c r="L9220" t="n">
        <v>0</v>
      </c>
      <c r="M9220" t="n">
        <v>0</v>
      </c>
      <c r="N9220" t="n">
        <v>0</v>
      </c>
      <c r="O9220" t="n">
        <v>0</v>
      </c>
      <c r="P9220" t="n">
        <v>0</v>
      </c>
      <c r="Q9220" t="n">
        <v>0</v>
      </c>
      <c r="R9220" s="2" t="inlineStr"/>
    </row>
    <row r="9221" ht="15" customHeight="1">
      <c r="A9221" t="inlineStr">
        <is>
          <t>A 59223-2022</t>
        </is>
      </c>
      <c r="B9221" s="1" t="n">
        <v>44899</v>
      </c>
      <c r="C9221" s="1" t="n">
        <v>45212</v>
      </c>
      <c r="D9221" t="inlineStr">
        <is>
          <t>VÄSTRA GÖTALANDS LÄN</t>
        </is>
      </c>
      <c r="E9221" t="inlineStr">
        <is>
          <t>LYSEKIL</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59230-2022</t>
        </is>
      </c>
      <c r="B9222" s="1" t="n">
        <v>44899</v>
      </c>
      <c r="C9222" s="1" t="n">
        <v>45212</v>
      </c>
      <c r="D9222" t="inlineStr">
        <is>
          <t>VÄSTRA GÖTALANDS LÄN</t>
        </is>
      </c>
      <c r="E9222" t="inlineStr">
        <is>
          <t>UDDEVALLA</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57886-2022</t>
        </is>
      </c>
      <c r="B9223" s="1" t="n">
        <v>44900</v>
      </c>
      <c r="C9223" s="1" t="n">
        <v>45212</v>
      </c>
      <c r="D9223" t="inlineStr">
        <is>
          <t>VÄSTRA GÖTALANDS LÄN</t>
        </is>
      </c>
      <c r="E9223" t="inlineStr">
        <is>
          <t>BORÅS</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58010-2022</t>
        </is>
      </c>
      <c r="B9224" s="1" t="n">
        <v>44900</v>
      </c>
      <c r="C9224" s="1" t="n">
        <v>45212</v>
      </c>
      <c r="D9224" t="inlineStr">
        <is>
          <t>VÄSTRA GÖTALANDS LÄN</t>
        </is>
      </c>
      <c r="E9224" t="inlineStr">
        <is>
          <t>BOLLEBYGD</t>
        </is>
      </c>
      <c r="G9224" t="n">
        <v>3.1</v>
      </c>
      <c r="H9224" t="n">
        <v>0</v>
      </c>
      <c r="I9224" t="n">
        <v>0</v>
      </c>
      <c r="J9224" t="n">
        <v>0</v>
      </c>
      <c r="K9224" t="n">
        <v>0</v>
      </c>
      <c r="L9224" t="n">
        <v>0</v>
      </c>
      <c r="M9224" t="n">
        <v>0</v>
      </c>
      <c r="N9224" t="n">
        <v>0</v>
      </c>
      <c r="O9224" t="n">
        <v>0</v>
      </c>
      <c r="P9224" t="n">
        <v>0</v>
      </c>
      <c r="Q9224" t="n">
        <v>0</v>
      </c>
      <c r="R9224" s="2" t="inlineStr"/>
    </row>
    <row r="9225" ht="15" customHeight="1">
      <c r="A9225" t="inlineStr">
        <is>
          <t>A 58160-2022</t>
        </is>
      </c>
      <c r="B9225" s="1" t="n">
        <v>44900</v>
      </c>
      <c r="C9225" s="1" t="n">
        <v>45212</v>
      </c>
      <c r="D9225" t="inlineStr">
        <is>
          <t>VÄSTRA GÖTALANDS LÄN</t>
        </is>
      </c>
      <c r="E9225" t="inlineStr">
        <is>
          <t>SKÖVDE</t>
        </is>
      </c>
      <c r="G9225" t="n">
        <v>5</v>
      </c>
      <c r="H9225" t="n">
        <v>0</v>
      </c>
      <c r="I9225" t="n">
        <v>0</v>
      </c>
      <c r="J9225" t="n">
        <v>0</v>
      </c>
      <c r="K9225" t="n">
        <v>0</v>
      </c>
      <c r="L9225" t="n">
        <v>0</v>
      </c>
      <c r="M9225" t="n">
        <v>0</v>
      </c>
      <c r="N9225" t="n">
        <v>0</v>
      </c>
      <c r="O9225" t="n">
        <v>0</v>
      </c>
      <c r="P9225" t="n">
        <v>0</v>
      </c>
      <c r="Q9225" t="n">
        <v>0</v>
      </c>
      <c r="R9225" s="2" t="inlineStr"/>
    </row>
    <row r="9226" ht="15" customHeight="1">
      <c r="A9226" t="inlineStr">
        <is>
          <t>A 59474-2022</t>
        </is>
      </c>
      <c r="B9226" s="1" t="n">
        <v>44900</v>
      </c>
      <c r="C9226" s="1" t="n">
        <v>45212</v>
      </c>
      <c r="D9226" t="inlineStr">
        <is>
          <t>VÄSTRA GÖTALANDS LÄN</t>
        </is>
      </c>
      <c r="E9226" t="inlineStr">
        <is>
          <t>UDDEVALLA</t>
        </is>
      </c>
      <c r="F9226" t="inlineStr">
        <is>
          <t>Kyrkan</t>
        </is>
      </c>
      <c r="G9226" t="n">
        <v>2.2</v>
      </c>
      <c r="H9226" t="n">
        <v>0</v>
      </c>
      <c r="I9226" t="n">
        <v>0</v>
      </c>
      <c r="J9226" t="n">
        <v>0</v>
      </c>
      <c r="K9226" t="n">
        <v>0</v>
      </c>
      <c r="L9226" t="n">
        <v>0</v>
      </c>
      <c r="M9226" t="n">
        <v>0</v>
      </c>
      <c r="N9226" t="n">
        <v>0</v>
      </c>
      <c r="O9226" t="n">
        <v>0</v>
      </c>
      <c r="P9226" t="n">
        <v>0</v>
      </c>
      <c r="Q9226" t="n">
        <v>0</v>
      </c>
      <c r="R9226" s="2" t="inlineStr"/>
    </row>
    <row r="9227" ht="15" customHeight="1">
      <c r="A9227" t="inlineStr">
        <is>
          <t>A 59540-2022</t>
        </is>
      </c>
      <c r="B9227" s="1" t="n">
        <v>44900</v>
      </c>
      <c r="C9227" s="1" t="n">
        <v>45212</v>
      </c>
      <c r="D9227" t="inlineStr">
        <is>
          <t>VÄSTRA GÖTALANDS LÄN</t>
        </is>
      </c>
      <c r="E9227" t="inlineStr">
        <is>
          <t>ÅMÅL</t>
        </is>
      </c>
      <c r="F9227" t="inlineStr">
        <is>
          <t>Bergvik skog väst AB</t>
        </is>
      </c>
      <c r="G9227" t="n">
        <v>1.8</v>
      </c>
      <c r="H9227" t="n">
        <v>0</v>
      </c>
      <c r="I9227" t="n">
        <v>0</v>
      </c>
      <c r="J9227" t="n">
        <v>0</v>
      </c>
      <c r="K9227" t="n">
        <v>0</v>
      </c>
      <c r="L9227" t="n">
        <v>0</v>
      </c>
      <c r="M9227" t="n">
        <v>0</v>
      </c>
      <c r="N9227" t="n">
        <v>0</v>
      </c>
      <c r="O9227" t="n">
        <v>0</v>
      </c>
      <c r="P9227" t="n">
        <v>0</v>
      </c>
      <c r="Q9227" t="n">
        <v>0</v>
      </c>
      <c r="R9227" s="2" t="inlineStr"/>
    </row>
    <row r="9228" ht="15" customHeight="1">
      <c r="A9228" t="inlineStr">
        <is>
          <t>A 59786-2022</t>
        </is>
      </c>
      <c r="B9228" s="1" t="n">
        <v>44900</v>
      </c>
      <c r="C9228" s="1" t="n">
        <v>45212</v>
      </c>
      <c r="D9228" t="inlineStr">
        <is>
          <t>VÄSTRA GÖTALANDS LÄN</t>
        </is>
      </c>
      <c r="E9228" t="inlineStr">
        <is>
          <t>VARA</t>
        </is>
      </c>
      <c r="G9228" t="n">
        <v>1.4</v>
      </c>
      <c r="H9228" t="n">
        <v>0</v>
      </c>
      <c r="I9228" t="n">
        <v>0</v>
      </c>
      <c r="J9228" t="n">
        <v>0</v>
      </c>
      <c r="K9228" t="n">
        <v>0</v>
      </c>
      <c r="L9228" t="n">
        <v>0</v>
      </c>
      <c r="M9228" t="n">
        <v>0</v>
      </c>
      <c r="N9228" t="n">
        <v>0</v>
      </c>
      <c r="O9228" t="n">
        <v>0</v>
      </c>
      <c r="P9228" t="n">
        <v>0</v>
      </c>
      <c r="Q9228" t="n">
        <v>0</v>
      </c>
      <c r="R9228" s="2" t="inlineStr"/>
    </row>
    <row r="9229" ht="15" customHeight="1">
      <c r="A9229" t="inlineStr">
        <is>
          <t>A 57906-2022</t>
        </is>
      </c>
      <c r="B9229" s="1" t="n">
        <v>44900</v>
      </c>
      <c r="C9229" s="1" t="n">
        <v>45212</v>
      </c>
      <c r="D9229" t="inlineStr">
        <is>
          <t>VÄSTRA GÖTALANDS LÄN</t>
        </is>
      </c>
      <c r="E9229" t="inlineStr">
        <is>
          <t>BORÅS</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57984-2022</t>
        </is>
      </c>
      <c r="B9230" s="1" t="n">
        <v>44900</v>
      </c>
      <c r="C9230" s="1" t="n">
        <v>45212</v>
      </c>
      <c r="D9230" t="inlineStr">
        <is>
          <t>VÄSTRA GÖTALANDS LÄN</t>
        </is>
      </c>
      <c r="E9230" t="inlineStr">
        <is>
          <t>TÖREBODA</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58013-2022</t>
        </is>
      </c>
      <c r="B9231" s="1" t="n">
        <v>44900</v>
      </c>
      <c r="C9231" s="1" t="n">
        <v>45212</v>
      </c>
      <c r="D9231" t="inlineStr">
        <is>
          <t>VÄSTRA GÖTALANDS LÄN</t>
        </is>
      </c>
      <c r="E9231" t="inlineStr">
        <is>
          <t>TÖREBODA</t>
        </is>
      </c>
      <c r="G9231" t="n">
        <v>2.5</v>
      </c>
      <c r="H9231" t="n">
        <v>0</v>
      </c>
      <c r="I9231" t="n">
        <v>0</v>
      </c>
      <c r="J9231" t="n">
        <v>0</v>
      </c>
      <c r="K9231" t="n">
        <v>0</v>
      </c>
      <c r="L9231" t="n">
        <v>0</v>
      </c>
      <c r="M9231" t="n">
        <v>0</v>
      </c>
      <c r="N9231" t="n">
        <v>0</v>
      </c>
      <c r="O9231" t="n">
        <v>0</v>
      </c>
      <c r="P9231" t="n">
        <v>0</v>
      </c>
      <c r="Q9231" t="n">
        <v>0</v>
      </c>
      <c r="R9231" s="2" t="inlineStr"/>
    </row>
    <row r="9232" ht="15" customHeight="1">
      <c r="A9232" t="inlineStr">
        <is>
          <t>A 58056-2022</t>
        </is>
      </c>
      <c r="B9232" s="1" t="n">
        <v>44900</v>
      </c>
      <c r="C9232" s="1" t="n">
        <v>45212</v>
      </c>
      <c r="D9232" t="inlineStr">
        <is>
          <t>VÄSTRA GÖTALANDS LÄN</t>
        </is>
      </c>
      <c r="E9232" t="inlineStr">
        <is>
          <t>BORÅS</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59768-2022</t>
        </is>
      </c>
      <c r="B9233" s="1" t="n">
        <v>44900</v>
      </c>
      <c r="C9233" s="1" t="n">
        <v>45212</v>
      </c>
      <c r="D9233" t="inlineStr">
        <is>
          <t>VÄSTRA GÖTALANDS LÄN</t>
        </is>
      </c>
      <c r="E9233" t="inlineStr">
        <is>
          <t>VARA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57921-2022</t>
        </is>
      </c>
      <c r="B9234" s="1" t="n">
        <v>44900</v>
      </c>
      <c r="C9234" s="1" t="n">
        <v>45212</v>
      </c>
      <c r="D9234" t="inlineStr">
        <is>
          <t>VÄSTRA GÖTALANDS LÄN</t>
        </is>
      </c>
      <c r="E9234" t="inlineStr">
        <is>
          <t>VÅRGÅRDA</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58011-2022</t>
        </is>
      </c>
      <c r="B9235" s="1" t="n">
        <v>44900</v>
      </c>
      <c r="C9235" s="1" t="n">
        <v>45212</v>
      </c>
      <c r="D9235" t="inlineStr">
        <is>
          <t>VÄSTRA GÖTALANDS LÄN</t>
        </is>
      </c>
      <c r="E9235" t="inlineStr">
        <is>
          <t>BOLLEBYGD</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57961-2022</t>
        </is>
      </c>
      <c r="B9236" s="1" t="n">
        <v>44900</v>
      </c>
      <c r="C9236" s="1" t="n">
        <v>45212</v>
      </c>
      <c r="D9236" t="inlineStr">
        <is>
          <t>VÄSTRA GÖTALANDS LÄN</t>
        </is>
      </c>
      <c r="E9236" t="inlineStr">
        <is>
          <t>HERRLJUNGA</t>
        </is>
      </c>
      <c r="G9236" t="n">
        <v>1</v>
      </c>
      <c r="H9236" t="n">
        <v>0</v>
      </c>
      <c r="I9236" t="n">
        <v>0</v>
      </c>
      <c r="J9236" t="n">
        <v>0</v>
      </c>
      <c r="K9236" t="n">
        <v>0</v>
      </c>
      <c r="L9236" t="n">
        <v>0</v>
      </c>
      <c r="M9236" t="n">
        <v>0</v>
      </c>
      <c r="N9236" t="n">
        <v>0</v>
      </c>
      <c r="O9236" t="n">
        <v>0</v>
      </c>
      <c r="P9236" t="n">
        <v>0</v>
      </c>
      <c r="Q9236" t="n">
        <v>0</v>
      </c>
      <c r="R9236" s="2" t="inlineStr"/>
    </row>
    <row r="9237" ht="15" customHeight="1">
      <c r="A9237" t="inlineStr">
        <is>
          <t>A 58019-2022</t>
        </is>
      </c>
      <c r="B9237" s="1" t="n">
        <v>44900</v>
      </c>
      <c r="C9237" s="1" t="n">
        <v>45212</v>
      </c>
      <c r="D9237" t="inlineStr">
        <is>
          <t>VÄSTRA GÖTALANDS LÄN</t>
        </is>
      </c>
      <c r="E9237" t="inlineStr">
        <is>
          <t>TÖREBODA</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58077-2022</t>
        </is>
      </c>
      <c r="B9238" s="1" t="n">
        <v>44900</v>
      </c>
      <c r="C9238" s="1" t="n">
        <v>45212</v>
      </c>
      <c r="D9238" t="inlineStr">
        <is>
          <t>VÄSTRA GÖTALANDS LÄN</t>
        </is>
      </c>
      <c r="E9238" t="inlineStr">
        <is>
          <t>MARIESTAD</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58152-2022</t>
        </is>
      </c>
      <c r="B9239" s="1" t="n">
        <v>44900</v>
      </c>
      <c r="C9239" s="1" t="n">
        <v>45212</v>
      </c>
      <c r="D9239" t="inlineStr">
        <is>
          <t>VÄSTRA GÖTALANDS LÄN</t>
        </is>
      </c>
      <c r="E9239" t="inlineStr">
        <is>
          <t>KARLSBORG</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59466-2022</t>
        </is>
      </c>
      <c r="B9240" s="1" t="n">
        <v>44900</v>
      </c>
      <c r="C9240" s="1" t="n">
        <v>45212</v>
      </c>
      <c r="D9240" t="inlineStr">
        <is>
          <t>VÄSTRA GÖTALANDS LÄN</t>
        </is>
      </c>
      <c r="E9240" t="inlineStr">
        <is>
          <t>UDDEVALLA</t>
        </is>
      </c>
      <c r="F9240" t="inlineStr">
        <is>
          <t>Kyrkan</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59532-2022</t>
        </is>
      </c>
      <c r="B9241" s="1" t="n">
        <v>44900</v>
      </c>
      <c r="C9241" s="1" t="n">
        <v>45212</v>
      </c>
      <c r="D9241" t="inlineStr">
        <is>
          <t>VÄSTRA GÖTALANDS LÄN</t>
        </is>
      </c>
      <c r="E9241" t="inlineStr">
        <is>
          <t>ÅMÅL</t>
        </is>
      </c>
      <c r="F9241" t="inlineStr">
        <is>
          <t>Bergvik skog väst AB</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59782-2022</t>
        </is>
      </c>
      <c r="B9242" s="1" t="n">
        <v>44900</v>
      </c>
      <c r="C9242" s="1" t="n">
        <v>45212</v>
      </c>
      <c r="D9242" t="inlineStr">
        <is>
          <t>VÄSTRA GÖTALANDS LÄN</t>
        </is>
      </c>
      <c r="E9242" t="inlineStr">
        <is>
          <t>VARA</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58393-2022</t>
        </is>
      </c>
      <c r="B9243" s="1" t="n">
        <v>44901</v>
      </c>
      <c r="C9243" s="1" t="n">
        <v>45212</v>
      </c>
      <c r="D9243" t="inlineStr">
        <is>
          <t>VÄSTRA GÖTALANDS LÄN</t>
        </is>
      </c>
      <c r="E9243" t="inlineStr">
        <is>
          <t>LIDKÖPING</t>
        </is>
      </c>
      <c r="G9243" t="n">
        <v>2.1</v>
      </c>
      <c r="H9243" t="n">
        <v>0</v>
      </c>
      <c r="I9243" t="n">
        <v>0</v>
      </c>
      <c r="J9243" t="n">
        <v>0</v>
      </c>
      <c r="K9243" t="n">
        <v>0</v>
      </c>
      <c r="L9243" t="n">
        <v>0</v>
      </c>
      <c r="M9243" t="n">
        <v>0</v>
      </c>
      <c r="N9243" t="n">
        <v>0</v>
      </c>
      <c r="O9243" t="n">
        <v>0</v>
      </c>
      <c r="P9243" t="n">
        <v>0</v>
      </c>
      <c r="Q9243" t="n">
        <v>0</v>
      </c>
      <c r="R9243" s="2" t="inlineStr"/>
    </row>
    <row r="9244" ht="15" customHeight="1">
      <c r="A9244" t="inlineStr">
        <is>
          <t>A 58324-2022</t>
        </is>
      </c>
      <c r="B9244" s="1" t="n">
        <v>44901</v>
      </c>
      <c r="C9244" s="1" t="n">
        <v>45212</v>
      </c>
      <c r="D9244" t="inlineStr">
        <is>
          <t>VÄSTRA GÖTALANDS LÄN</t>
        </is>
      </c>
      <c r="E9244" t="inlineStr">
        <is>
          <t>FÄRGELANDA</t>
        </is>
      </c>
      <c r="G9244" t="n">
        <v>1.9</v>
      </c>
      <c r="H9244" t="n">
        <v>0</v>
      </c>
      <c r="I9244" t="n">
        <v>0</v>
      </c>
      <c r="J9244" t="n">
        <v>0</v>
      </c>
      <c r="K9244" t="n">
        <v>0</v>
      </c>
      <c r="L9244" t="n">
        <v>0</v>
      </c>
      <c r="M9244" t="n">
        <v>0</v>
      </c>
      <c r="N9244" t="n">
        <v>0</v>
      </c>
      <c r="O9244" t="n">
        <v>0</v>
      </c>
      <c r="P9244" t="n">
        <v>0</v>
      </c>
      <c r="Q9244" t="n">
        <v>0</v>
      </c>
      <c r="R9244" s="2" t="inlineStr"/>
    </row>
    <row r="9245" ht="15" customHeight="1">
      <c r="A9245" t="inlineStr">
        <is>
          <t>A 58266-2022</t>
        </is>
      </c>
      <c r="B9245" s="1" t="n">
        <v>44901</v>
      </c>
      <c r="C9245" s="1" t="n">
        <v>45212</v>
      </c>
      <c r="D9245" t="inlineStr">
        <is>
          <t>VÄSTRA GÖTALANDS LÄN</t>
        </is>
      </c>
      <c r="E9245" t="inlineStr">
        <is>
          <t>ÅMÅL</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58326-2022</t>
        </is>
      </c>
      <c r="B9246" s="1" t="n">
        <v>44901</v>
      </c>
      <c r="C9246" s="1" t="n">
        <v>45212</v>
      </c>
      <c r="D9246" t="inlineStr">
        <is>
          <t>VÄSTRA GÖTALANDS LÄN</t>
        </is>
      </c>
      <c r="E9246" t="inlineStr">
        <is>
          <t>UDDEVALLA</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58206-2022</t>
        </is>
      </c>
      <c r="B9247" s="1" t="n">
        <v>44901</v>
      </c>
      <c r="C9247" s="1" t="n">
        <v>45212</v>
      </c>
      <c r="D9247" t="inlineStr">
        <is>
          <t>VÄSTRA GÖTALANDS LÄN</t>
        </is>
      </c>
      <c r="E9247" t="inlineStr">
        <is>
          <t>DALS-ED</t>
        </is>
      </c>
      <c r="G9247" t="n">
        <v>5.3</v>
      </c>
      <c r="H9247" t="n">
        <v>0</v>
      </c>
      <c r="I9247" t="n">
        <v>0</v>
      </c>
      <c r="J9247" t="n">
        <v>0</v>
      </c>
      <c r="K9247" t="n">
        <v>0</v>
      </c>
      <c r="L9247" t="n">
        <v>0</v>
      </c>
      <c r="M9247" t="n">
        <v>0</v>
      </c>
      <c r="N9247" t="n">
        <v>0</v>
      </c>
      <c r="O9247" t="n">
        <v>0</v>
      </c>
      <c r="P9247" t="n">
        <v>0</v>
      </c>
      <c r="Q9247" t="n">
        <v>0</v>
      </c>
      <c r="R9247" s="2" t="inlineStr"/>
    </row>
    <row r="9248" ht="15" customHeight="1">
      <c r="A9248" t="inlineStr">
        <is>
          <t>A 58389-2022</t>
        </is>
      </c>
      <c r="B9248" s="1" t="n">
        <v>44901</v>
      </c>
      <c r="C9248" s="1" t="n">
        <v>45212</v>
      </c>
      <c r="D9248" t="inlineStr">
        <is>
          <t>VÄSTRA GÖTALANDS LÄN</t>
        </is>
      </c>
      <c r="E9248" t="inlineStr">
        <is>
          <t>SVENLJUNGA</t>
        </is>
      </c>
      <c r="G9248" t="n">
        <v>1.2</v>
      </c>
      <c r="H9248" t="n">
        <v>0</v>
      </c>
      <c r="I9248" t="n">
        <v>0</v>
      </c>
      <c r="J9248" t="n">
        <v>0</v>
      </c>
      <c r="K9248" t="n">
        <v>0</v>
      </c>
      <c r="L9248" t="n">
        <v>0</v>
      </c>
      <c r="M9248" t="n">
        <v>0</v>
      </c>
      <c r="N9248" t="n">
        <v>0</v>
      </c>
      <c r="O9248" t="n">
        <v>0</v>
      </c>
      <c r="P9248" t="n">
        <v>0</v>
      </c>
      <c r="Q9248" t="n">
        <v>0</v>
      </c>
      <c r="R9248" s="2" t="inlineStr"/>
    </row>
    <row r="9249" ht="15" customHeight="1">
      <c r="A9249" t="inlineStr">
        <is>
          <t>A 58481-2022</t>
        </is>
      </c>
      <c r="B9249" s="1" t="n">
        <v>44902</v>
      </c>
      <c r="C9249" s="1" t="n">
        <v>45212</v>
      </c>
      <c r="D9249" t="inlineStr">
        <is>
          <t>VÄSTRA GÖTALANDS LÄN</t>
        </is>
      </c>
      <c r="E9249" t="inlineStr">
        <is>
          <t>HÄRRYDA</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60040-2022</t>
        </is>
      </c>
      <c r="B9250" s="1" t="n">
        <v>44902</v>
      </c>
      <c r="C9250" s="1" t="n">
        <v>45212</v>
      </c>
      <c r="D9250" t="inlineStr">
        <is>
          <t>VÄSTRA GÖTALANDS LÄN</t>
        </is>
      </c>
      <c r="E9250" t="inlineStr">
        <is>
          <t>TIDAHOLM</t>
        </is>
      </c>
      <c r="G9250" t="n">
        <v>2.7</v>
      </c>
      <c r="H9250" t="n">
        <v>0</v>
      </c>
      <c r="I9250" t="n">
        <v>0</v>
      </c>
      <c r="J9250" t="n">
        <v>0</v>
      </c>
      <c r="K9250" t="n">
        <v>0</v>
      </c>
      <c r="L9250" t="n">
        <v>0</v>
      </c>
      <c r="M9250" t="n">
        <v>0</v>
      </c>
      <c r="N9250" t="n">
        <v>0</v>
      </c>
      <c r="O9250" t="n">
        <v>0</v>
      </c>
      <c r="P9250" t="n">
        <v>0</v>
      </c>
      <c r="Q9250" t="n">
        <v>0</v>
      </c>
      <c r="R9250" s="2" t="inlineStr"/>
    </row>
    <row r="9251" ht="15" customHeight="1">
      <c r="A9251" t="inlineStr">
        <is>
          <t>A 60139-2022</t>
        </is>
      </c>
      <c r="B9251" s="1" t="n">
        <v>44902</v>
      </c>
      <c r="C9251" s="1" t="n">
        <v>45212</v>
      </c>
      <c r="D9251" t="inlineStr">
        <is>
          <t>VÄSTRA GÖTALANDS LÄN</t>
        </is>
      </c>
      <c r="E9251" t="inlineStr">
        <is>
          <t>DALS-ED</t>
        </is>
      </c>
      <c r="G9251" t="n">
        <v>0.5</v>
      </c>
      <c r="H9251" t="n">
        <v>0</v>
      </c>
      <c r="I9251" t="n">
        <v>0</v>
      </c>
      <c r="J9251" t="n">
        <v>0</v>
      </c>
      <c r="K9251" t="n">
        <v>0</v>
      </c>
      <c r="L9251" t="n">
        <v>0</v>
      </c>
      <c r="M9251" t="n">
        <v>0</v>
      </c>
      <c r="N9251" t="n">
        <v>0</v>
      </c>
      <c r="O9251" t="n">
        <v>0</v>
      </c>
      <c r="P9251" t="n">
        <v>0</v>
      </c>
      <c r="Q9251" t="n">
        <v>0</v>
      </c>
      <c r="R9251" s="2" t="inlineStr"/>
    </row>
    <row r="9252" ht="15" customHeight="1">
      <c r="A9252" t="inlineStr">
        <is>
          <t>A 58480-2022</t>
        </is>
      </c>
      <c r="B9252" s="1" t="n">
        <v>44902</v>
      </c>
      <c r="C9252" s="1" t="n">
        <v>45212</v>
      </c>
      <c r="D9252" t="inlineStr">
        <is>
          <t>VÄSTRA GÖTALANDS LÄN</t>
        </is>
      </c>
      <c r="E9252" t="inlineStr">
        <is>
          <t>SVENLJUNGA</t>
        </is>
      </c>
      <c r="G9252" t="n">
        <v>1.5</v>
      </c>
      <c r="H9252" t="n">
        <v>0</v>
      </c>
      <c r="I9252" t="n">
        <v>0</v>
      </c>
      <c r="J9252" t="n">
        <v>0</v>
      </c>
      <c r="K9252" t="n">
        <v>0</v>
      </c>
      <c r="L9252" t="n">
        <v>0</v>
      </c>
      <c r="M9252" t="n">
        <v>0</v>
      </c>
      <c r="N9252" t="n">
        <v>0</v>
      </c>
      <c r="O9252" t="n">
        <v>0</v>
      </c>
      <c r="P9252" t="n">
        <v>0</v>
      </c>
      <c r="Q9252" t="n">
        <v>0</v>
      </c>
      <c r="R9252" s="2" t="inlineStr"/>
    </row>
    <row r="9253" ht="15" customHeight="1">
      <c r="A9253" t="inlineStr">
        <is>
          <t>A 58672-2022</t>
        </is>
      </c>
      <c r="B9253" s="1" t="n">
        <v>44902</v>
      </c>
      <c r="C9253" s="1" t="n">
        <v>45212</v>
      </c>
      <c r="D9253" t="inlineStr">
        <is>
          <t>VÄSTRA GÖTALANDS LÄN</t>
        </is>
      </c>
      <c r="E9253" t="inlineStr">
        <is>
          <t>LIDKÖPING</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58478-2022</t>
        </is>
      </c>
      <c r="B9254" s="1" t="n">
        <v>44902</v>
      </c>
      <c r="C9254" s="1" t="n">
        <v>45212</v>
      </c>
      <c r="D9254" t="inlineStr">
        <is>
          <t>VÄSTRA GÖTALANDS LÄN</t>
        </is>
      </c>
      <c r="E9254" t="inlineStr">
        <is>
          <t>SVENLJUNGA</t>
        </is>
      </c>
      <c r="G9254" t="n">
        <v>0.7</v>
      </c>
      <c r="H9254" t="n">
        <v>0</v>
      </c>
      <c r="I9254" t="n">
        <v>0</v>
      </c>
      <c r="J9254" t="n">
        <v>0</v>
      </c>
      <c r="K9254" t="n">
        <v>0</v>
      </c>
      <c r="L9254" t="n">
        <v>0</v>
      </c>
      <c r="M9254" t="n">
        <v>0</v>
      </c>
      <c r="N9254" t="n">
        <v>0</v>
      </c>
      <c r="O9254" t="n">
        <v>0</v>
      </c>
      <c r="P9254" t="n">
        <v>0</v>
      </c>
      <c r="Q9254" t="n">
        <v>0</v>
      </c>
      <c r="R9254" s="2" t="inlineStr"/>
    </row>
    <row r="9255" ht="15" customHeight="1">
      <c r="A9255" t="inlineStr">
        <is>
          <t>A 58652-2022</t>
        </is>
      </c>
      <c r="B9255" s="1" t="n">
        <v>44902</v>
      </c>
      <c r="C9255" s="1" t="n">
        <v>45212</v>
      </c>
      <c r="D9255" t="inlineStr">
        <is>
          <t>VÄSTRA GÖTALANDS LÄN</t>
        </is>
      </c>
      <c r="E9255" t="inlineStr">
        <is>
          <t>LILLA EDET</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60146-2022</t>
        </is>
      </c>
      <c r="B9256" s="1" t="n">
        <v>44902</v>
      </c>
      <c r="C9256" s="1" t="n">
        <v>45212</v>
      </c>
      <c r="D9256" t="inlineStr">
        <is>
          <t>VÄSTRA GÖTALANDS LÄN</t>
        </is>
      </c>
      <c r="E9256" t="inlineStr">
        <is>
          <t>DALS-ED</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58473-2022</t>
        </is>
      </c>
      <c r="B9257" s="1" t="n">
        <v>44902</v>
      </c>
      <c r="C9257" s="1" t="n">
        <v>45212</v>
      </c>
      <c r="D9257" t="inlineStr">
        <is>
          <t>VÄSTRA GÖTALANDS LÄN</t>
        </is>
      </c>
      <c r="E9257" t="inlineStr">
        <is>
          <t>SVENLJUNGA</t>
        </is>
      </c>
      <c r="G9257" t="n">
        <v>3.2</v>
      </c>
      <c r="H9257" t="n">
        <v>0</v>
      </c>
      <c r="I9257" t="n">
        <v>0</v>
      </c>
      <c r="J9257" t="n">
        <v>0</v>
      </c>
      <c r="K9257" t="n">
        <v>0</v>
      </c>
      <c r="L9257" t="n">
        <v>0</v>
      </c>
      <c r="M9257" t="n">
        <v>0</v>
      </c>
      <c r="N9257" t="n">
        <v>0</v>
      </c>
      <c r="O9257" t="n">
        <v>0</v>
      </c>
      <c r="P9257" t="n">
        <v>0</v>
      </c>
      <c r="Q9257" t="n">
        <v>0</v>
      </c>
      <c r="R9257" s="2" t="inlineStr"/>
    </row>
    <row r="9258" ht="15" customHeight="1">
      <c r="A9258" t="inlineStr">
        <is>
          <t>A 58640-2022</t>
        </is>
      </c>
      <c r="B9258" s="1" t="n">
        <v>44902</v>
      </c>
      <c r="C9258" s="1" t="n">
        <v>45212</v>
      </c>
      <c r="D9258" t="inlineStr">
        <is>
          <t>VÄSTRA GÖTALANDS LÄN</t>
        </is>
      </c>
      <c r="E9258" t="inlineStr">
        <is>
          <t>LILLA EDET</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58861-2022</t>
        </is>
      </c>
      <c r="B9259" s="1" t="n">
        <v>44903</v>
      </c>
      <c r="C9259" s="1" t="n">
        <v>45212</v>
      </c>
      <c r="D9259" t="inlineStr">
        <is>
          <t>VÄSTRA GÖTALANDS LÄN</t>
        </is>
      </c>
      <c r="E9259" t="inlineStr">
        <is>
          <t>MELLERUD</t>
        </is>
      </c>
      <c r="G9259" t="n">
        <v>4.8</v>
      </c>
      <c r="H9259" t="n">
        <v>0</v>
      </c>
      <c r="I9259" t="n">
        <v>0</v>
      </c>
      <c r="J9259" t="n">
        <v>0</v>
      </c>
      <c r="K9259" t="n">
        <v>0</v>
      </c>
      <c r="L9259" t="n">
        <v>0</v>
      </c>
      <c r="M9259" t="n">
        <v>0</v>
      </c>
      <c r="N9259" t="n">
        <v>0</v>
      </c>
      <c r="O9259" t="n">
        <v>0</v>
      </c>
      <c r="P9259" t="n">
        <v>0</v>
      </c>
      <c r="Q9259" t="n">
        <v>0</v>
      </c>
      <c r="R9259" s="2" t="inlineStr"/>
    </row>
    <row r="9260" ht="15" customHeight="1">
      <c r="A9260" t="inlineStr">
        <is>
          <t>A 58922-2022</t>
        </is>
      </c>
      <c r="B9260" s="1" t="n">
        <v>44903</v>
      </c>
      <c r="C9260" s="1" t="n">
        <v>45212</v>
      </c>
      <c r="D9260" t="inlineStr">
        <is>
          <t>VÄSTRA GÖTALANDS LÄN</t>
        </is>
      </c>
      <c r="E9260" t="inlineStr">
        <is>
          <t>SVENLJUNGA</t>
        </is>
      </c>
      <c r="G9260" t="n">
        <v>1.5</v>
      </c>
      <c r="H9260" t="n">
        <v>0</v>
      </c>
      <c r="I9260" t="n">
        <v>0</v>
      </c>
      <c r="J9260" t="n">
        <v>0</v>
      </c>
      <c r="K9260" t="n">
        <v>0</v>
      </c>
      <c r="L9260" t="n">
        <v>0</v>
      </c>
      <c r="M9260" t="n">
        <v>0</v>
      </c>
      <c r="N9260" t="n">
        <v>0</v>
      </c>
      <c r="O9260" t="n">
        <v>0</v>
      </c>
      <c r="P9260" t="n">
        <v>0</v>
      </c>
      <c r="Q9260" t="n">
        <v>0</v>
      </c>
      <c r="R9260" s="2" t="inlineStr"/>
    </row>
    <row r="9261" ht="15" customHeight="1">
      <c r="A9261" t="inlineStr">
        <is>
          <t>A 58930-2022</t>
        </is>
      </c>
      <c r="B9261" s="1" t="n">
        <v>44903</v>
      </c>
      <c r="C9261" s="1" t="n">
        <v>45212</v>
      </c>
      <c r="D9261" t="inlineStr">
        <is>
          <t>VÄSTRA GÖTALANDS LÄN</t>
        </is>
      </c>
      <c r="E9261" t="inlineStr">
        <is>
          <t>UDDEVALLA</t>
        </is>
      </c>
      <c r="G9261" t="n">
        <v>5.1</v>
      </c>
      <c r="H9261" t="n">
        <v>0</v>
      </c>
      <c r="I9261" t="n">
        <v>0</v>
      </c>
      <c r="J9261" t="n">
        <v>0</v>
      </c>
      <c r="K9261" t="n">
        <v>0</v>
      </c>
      <c r="L9261" t="n">
        <v>0</v>
      </c>
      <c r="M9261" t="n">
        <v>0</v>
      </c>
      <c r="N9261" t="n">
        <v>0</v>
      </c>
      <c r="O9261" t="n">
        <v>0</v>
      </c>
      <c r="P9261" t="n">
        <v>0</v>
      </c>
      <c r="Q9261" t="n">
        <v>0</v>
      </c>
      <c r="R9261" s="2" t="inlineStr"/>
    </row>
    <row r="9262" ht="15" customHeight="1">
      <c r="A9262" t="inlineStr">
        <is>
          <t>A 58988-2022</t>
        </is>
      </c>
      <c r="B9262" s="1" t="n">
        <v>44903</v>
      </c>
      <c r="C9262" s="1" t="n">
        <v>45212</v>
      </c>
      <c r="D9262" t="inlineStr">
        <is>
          <t>VÄSTRA GÖTALANDS LÄN</t>
        </is>
      </c>
      <c r="E9262" t="inlineStr">
        <is>
          <t>TIDAHOLM</t>
        </is>
      </c>
      <c r="G9262" t="n">
        <v>5.7</v>
      </c>
      <c r="H9262" t="n">
        <v>0</v>
      </c>
      <c r="I9262" t="n">
        <v>0</v>
      </c>
      <c r="J9262" t="n">
        <v>0</v>
      </c>
      <c r="K9262" t="n">
        <v>0</v>
      </c>
      <c r="L9262" t="n">
        <v>0</v>
      </c>
      <c r="M9262" t="n">
        <v>0</v>
      </c>
      <c r="N9262" t="n">
        <v>0</v>
      </c>
      <c r="O9262" t="n">
        <v>0</v>
      </c>
      <c r="P9262" t="n">
        <v>0</v>
      </c>
      <c r="Q9262" t="n">
        <v>0</v>
      </c>
      <c r="R9262" s="2" t="inlineStr"/>
    </row>
    <row r="9263" ht="15" customHeight="1">
      <c r="A9263" t="inlineStr">
        <is>
          <t>A 58755-2022</t>
        </is>
      </c>
      <c r="B9263" s="1" t="n">
        <v>44903</v>
      </c>
      <c r="C9263" s="1" t="n">
        <v>45212</v>
      </c>
      <c r="D9263" t="inlineStr">
        <is>
          <t>VÄSTRA GÖTALANDS LÄN</t>
        </is>
      </c>
      <c r="E9263" t="inlineStr">
        <is>
          <t>TÖREBODA</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58929-2022</t>
        </is>
      </c>
      <c r="B9264" s="1" t="n">
        <v>44903</v>
      </c>
      <c r="C9264" s="1" t="n">
        <v>45212</v>
      </c>
      <c r="D9264" t="inlineStr">
        <is>
          <t>VÄSTRA GÖTALANDS LÄN</t>
        </is>
      </c>
      <c r="E9264" t="inlineStr">
        <is>
          <t>SKÖVDE</t>
        </is>
      </c>
      <c r="F9264" t="inlineStr">
        <is>
          <t>Kommuner</t>
        </is>
      </c>
      <c r="G9264" t="n">
        <v>0.4</v>
      </c>
      <c r="H9264" t="n">
        <v>0</v>
      </c>
      <c r="I9264" t="n">
        <v>0</v>
      </c>
      <c r="J9264" t="n">
        <v>0</v>
      </c>
      <c r="K9264" t="n">
        <v>0</v>
      </c>
      <c r="L9264" t="n">
        <v>0</v>
      </c>
      <c r="M9264" t="n">
        <v>0</v>
      </c>
      <c r="N9264" t="n">
        <v>0</v>
      </c>
      <c r="O9264" t="n">
        <v>0</v>
      </c>
      <c r="P9264" t="n">
        <v>0</v>
      </c>
      <c r="Q9264" t="n">
        <v>0</v>
      </c>
      <c r="R9264" s="2" t="inlineStr"/>
    </row>
    <row r="9265" ht="15" customHeight="1">
      <c r="A9265" t="inlineStr">
        <is>
          <t>A 58990-2022</t>
        </is>
      </c>
      <c r="B9265" s="1" t="n">
        <v>44903</v>
      </c>
      <c r="C9265" s="1" t="n">
        <v>45212</v>
      </c>
      <c r="D9265" t="inlineStr">
        <is>
          <t>VÄSTRA GÖTALANDS LÄN</t>
        </is>
      </c>
      <c r="E9265" t="inlineStr">
        <is>
          <t>ALINGSÅS</t>
        </is>
      </c>
      <c r="F9265" t="inlineStr">
        <is>
          <t>Kyrkan</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58996-2022</t>
        </is>
      </c>
      <c r="B9266" s="1" t="n">
        <v>44903</v>
      </c>
      <c r="C9266" s="1" t="n">
        <v>45212</v>
      </c>
      <c r="D9266" t="inlineStr">
        <is>
          <t>VÄSTRA GÖTALANDS LÄN</t>
        </is>
      </c>
      <c r="E9266" t="inlineStr">
        <is>
          <t>BENGTSFORS</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59002-2022</t>
        </is>
      </c>
      <c r="B9267" s="1" t="n">
        <v>44903</v>
      </c>
      <c r="C9267" s="1" t="n">
        <v>45212</v>
      </c>
      <c r="D9267" t="inlineStr">
        <is>
          <t>VÄSTRA GÖTALANDS LÄN</t>
        </is>
      </c>
      <c r="E9267" t="inlineStr">
        <is>
          <t>SKARA</t>
        </is>
      </c>
      <c r="G9267" t="n">
        <v>0.9</v>
      </c>
      <c r="H9267" t="n">
        <v>0</v>
      </c>
      <c r="I9267" t="n">
        <v>0</v>
      </c>
      <c r="J9267" t="n">
        <v>0</v>
      </c>
      <c r="K9267" t="n">
        <v>0</v>
      </c>
      <c r="L9267" t="n">
        <v>0</v>
      </c>
      <c r="M9267" t="n">
        <v>0</v>
      </c>
      <c r="N9267" t="n">
        <v>0</v>
      </c>
      <c r="O9267" t="n">
        <v>0</v>
      </c>
      <c r="P9267" t="n">
        <v>0</v>
      </c>
      <c r="Q9267" t="n">
        <v>0</v>
      </c>
      <c r="R9267" s="2" t="inlineStr"/>
    </row>
    <row r="9268" ht="15" customHeight="1">
      <c r="A9268" t="inlineStr">
        <is>
          <t>A 60220-2022</t>
        </is>
      </c>
      <c r="B9268" s="1" t="n">
        <v>44903</v>
      </c>
      <c r="C9268" s="1" t="n">
        <v>45212</v>
      </c>
      <c r="D9268" t="inlineStr">
        <is>
          <t>VÄSTRA GÖTALANDS LÄN</t>
        </is>
      </c>
      <c r="E9268" t="inlineStr">
        <is>
          <t>STRÖMSTAD</t>
        </is>
      </c>
      <c r="G9268" t="n">
        <v>8.300000000000001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58763-2022</t>
        </is>
      </c>
      <c r="B9269" s="1" t="n">
        <v>44903</v>
      </c>
      <c r="C9269" s="1" t="n">
        <v>45212</v>
      </c>
      <c r="D9269" t="inlineStr">
        <is>
          <t>VÄSTRA GÖTALANDS LÄN</t>
        </is>
      </c>
      <c r="E9269" t="inlineStr">
        <is>
          <t>MELLERUD</t>
        </is>
      </c>
      <c r="G9269" t="n">
        <v>0.8</v>
      </c>
      <c r="H9269" t="n">
        <v>0</v>
      </c>
      <c r="I9269" t="n">
        <v>0</v>
      </c>
      <c r="J9269" t="n">
        <v>0</v>
      </c>
      <c r="K9269" t="n">
        <v>0</v>
      </c>
      <c r="L9269" t="n">
        <v>0</v>
      </c>
      <c r="M9269" t="n">
        <v>0</v>
      </c>
      <c r="N9269" t="n">
        <v>0</v>
      </c>
      <c r="O9269" t="n">
        <v>0</v>
      </c>
      <c r="P9269" t="n">
        <v>0</v>
      </c>
      <c r="Q9269" t="n">
        <v>0</v>
      </c>
      <c r="R9269" s="2" t="inlineStr"/>
    </row>
    <row r="9270" ht="15" customHeight="1">
      <c r="A9270" t="inlineStr">
        <is>
          <t>A 58887-2022</t>
        </is>
      </c>
      <c r="B9270" s="1" t="n">
        <v>44903</v>
      </c>
      <c r="C9270" s="1" t="n">
        <v>45212</v>
      </c>
      <c r="D9270" t="inlineStr">
        <is>
          <t>VÄSTRA GÖTALANDS LÄN</t>
        </is>
      </c>
      <c r="E9270" t="inlineStr">
        <is>
          <t>MUNKEDAL</t>
        </is>
      </c>
      <c r="G9270" t="n">
        <v>6.3</v>
      </c>
      <c r="H9270" t="n">
        <v>0</v>
      </c>
      <c r="I9270" t="n">
        <v>0</v>
      </c>
      <c r="J9270" t="n">
        <v>0</v>
      </c>
      <c r="K9270" t="n">
        <v>0</v>
      </c>
      <c r="L9270" t="n">
        <v>0</v>
      </c>
      <c r="M9270" t="n">
        <v>0</v>
      </c>
      <c r="N9270" t="n">
        <v>0</v>
      </c>
      <c r="O9270" t="n">
        <v>0</v>
      </c>
      <c r="P9270" t="n">
        <v>0</v>
      </c>
      <c r="Q9270" t="n">
        <v>0</v>
      </c>
      <c r="R9270" s="2" t="inlineStr"/>
    </row>
    <row r="9271" ht="15" customHeight="1">
      <c r="A9271" t="inlineStr">
        <is>
          <t>A 58934-2022</t>
        </is>
      </c>
      <c r="B9271" s="1" t="n">
        <v>44903</v>
      </c>
      <c r="C9271" s="1" t="n">
        <v>45212</v>
      </c>
      <c r="D9271" t="inlineStr">
        <is>
          <t>VÄSTRA GÖTALANDS LÄN</t>
        </is>
      </c>
      <c r="E9271" t="inlineStr">
        <is>
          <t>UDDEVALLA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58954-2022</t>
        </is>
      </c>
      <c r="B9272" s="1" t="n">
        <v>44903</v>
      </c>
      <c r="C9272" s="1" t="n">
        <v>45212</v>
      </c>
      <c r="D9272" t="inlineStr">
        <is>
          <t>VÄSTRA GÖTALANDS LÄN</t>
        </is>
      </c>
      <c r="E9272" t="inlineStr">
        <is>
          <t>ALE</t>
        </is>
      </c>
      <c r="G9272" t="n">
        <v>2.3</v>
      </c>
      <c r="H9272" t="n">
        <v>0</v>
      </c>
      <c r="I9272" t="n">
        <v>0</v>
      </c>
      <c r="J9272" t="n">
        <v>0</v>
      </c>
      <c r="K9272" t="n">
        <v>0</v>
      </c>
      <c r="L9272" t="n">
        <v>0</v>
      </c>
      <c r="M9272" t="n">
        <v>0</v>
      </c>
      <c r="N9272" t="n">
        <v>0</v>
      </c>
      <c r="O9272" t="n">
        <v>0</v>
      </c>
      <c r="P9272" t="n">
        <v>0</v>
      </c>
      <c r="Q9272" t="n">
        <v>0</v>
      </c>
      <c r="R9272" s="2" t="inlineStr"/>
    </row>
    <row r="9273" ht="15" customHeight="1">
      <c r="A9273" t="inlineStr">
        <is>
          <t>A 58986-2022</t>
        </is>
      </c>
      <c r="B9273" s="1" t="n">
        <v>44903</v>
      </c>
      <c r="C9273" s="1" t="n">
        <v>45212</v>
      </c>
      <c r="D9273" t="inlineStr">
        <is>
          <t>VÄSTRA GÖTALANDS LÄN</t>
        </is>
      </c>
      <c r="E9273" t="inlineStr">
        <is>
          <t>ALINGSÅS</t>
        </is>
      </c>
      <c r="F9273" t="inlineStr">
        <is>
          <t>Kyrkan</t>
        </is>
      </c>
      <c r="G9273" t="n">
        <v>6.1</v>
      </c>
      <c r="H9273" t="n">
        <v>0</v>
      </c>
      <c r="I9273" t="n">
        <v>0</v>
      </c>
      <c r="J9273" t="n">
        <v>0</v>
      </c>
      <c r="K9273" t="n">
        <v>0</v>
      </c>
      <c r="L9273" t="n">
        <v>0</v>
      </c>
      <c r="M9273" t="n">
        <v>0</v>
      </c>
      <c r="N9273" t="n">
        <v>0</v>
      </c>
      <c r="O9273" t="n">
        <v>0</v>
      </c>
      <c r="P9273" t="n">
        <v>0</v>
      </c>
      <c r="Q9273" t="n">
        <v>0</v>
      </c>
      <c r="R9273" s="2" t="inlineStr"/>
    </row>
    <row r="9274" ht="15" customHeight="1">
      <c r="A9274" t="inlineStr">
        <is>
          <t>A 59286-2022</t>
        </is>
      </c>
      <c r="B9274" s="1" t="n">
        <v>44904</v>
      </c>
      <c r="C9274" s="1" t="n">
        <v>45212</v>
      </c>
      <c r="D9274" t="inlineStr">
        <is>
          <t>VÄSTRA GÖTALANDS LÄN</t>
        </is>
      </c>
      <c r="E9274" t="inlineStr">
        <is>
          <t>TROLLHÄTTAN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59339-2022</t>
        </is>
      </c>
      <c r="B9275" s="1" t="n">
        <v>44904</v>
      </c>
      <c r="C9275" s="1" t="n">
        <v>45212</v>
      </c>
      <c r="D9275" t="inlineStr">
        <is>
          <t>VÄSTRA GÖTALANDS LÄN</t>
        </is>
      </c>
      <c r="E9275" t="inlineStr">
        <is>
          <t>DALS-ED</t>
        </is>
      </c>
      <c r="G9275" t="n">
        <v>2.7</v>
      </c>
      <c r="H9275" t="n">
        <v>0</v>
      </c>
      <c r="I9275" t="n">
        <v>0</v>
      </c>
      <c r="J9275" t="n">
        <v>0</v>
      </c>
      <c r="K9275" t="n">
        <v>0</v>
      </c>
      <c r="L9275" t="n">
        <v>0</v>
      </c>
      <c r="M9275" t="n">
        <v>0</v>
      </c>
      <c r="N9275" t="n">
        <v>0</v>
      </c>
      <c r="O9275" t="n">
        <v>0</v>
      </c>
      <c r="P9275" t="n">
        <v>0</v>
      </c>
      <c r="Q9275" t="n">
        <v>0</v>
      </c>
      <c r="R9275" s="2" t="inlineStr"/>
    </row>
    <row r="9276" ht="15" customHeight="1">
      <c r="A9276" t="inlineStr">
        <is>
          <t>A 60495-2022</t>
        </is>
      </c>
      <c r="B9276" s="1" t="n">
        <v>44904</v>
      </c>
      <c r="C9276" s="1" t="n">
        <v>45212</v>
      </c>
      <c r="D9276" t="inlineStr">
        <is>
          <t>VÄSTRA GÖTALANDS LÄN</t>
        </is>
      </c>
      <c r="E9276" t="inlineStr">
        <is>
          <t>ÅMÅL</t>
        </is>
      </c>
      <c r="F9276" t="inlineStr">
        <is>
          <t>Bergvik skog väst AB</t>
        </is>
      </c>
      <c r="G9276" t="n">
        <v>3.6</v>
      </c>
      <c r="H9276" t="n">
        <v>0</v>
      </c>
      <c r="I9276" t="n">
        <v>0</v>
      </c>
      <c r="J9276" t="n">
        <v>0</v>
      </c>
      <c r="K9276" t="n">
        <v>0</v>
      </c>
      <c r="L9276" t="n">
        <v>0</v>
      </c>
      <c r="M9276" t="n">
        <v>0</v>
      </c>
      <c r="N9276" t="n">
        <v>0</v>
      </c>
      <c r="O9276" t="n">
        <v>0</v>
      </c>
      <c r="P9276" t="n">
        <v>0</v>
      </c>
      <c r="Q9276" t="n">
        <v>0</v>
      </c>
      <c r="R9276" s="2" t="inlineStr"/>
    </row>
    <row r="9277" ht="15" customHeight="1">
      <c r="A9277" t="inlineStr">
        <is>
          <t>A 60530-2022</t>
        </is>
      </c>
      <c r="B9277" s="1" t="n">
        <v>44904</v>
      </c>
      <c r="C9277" s="1" t="n">
        <v>45212</v>
      </c>
      <c r="D9277" t="inlineStr">
        <is>
          <t>VÄSTRA GÖTALANDS LÄN</t>
        </is>
      </c>
      <c r="E9277" t="inlineStr">
        <is>
          <t>TÖREBODA</t>
        </is>
      </c>
      <c r="G9277" t="n">
        <v>1</v>
      </c>
      <c r="H9277" t="n">
        <v>0</v>
      </c>
      <c r="I9277" t="n">
        <v>0</v>
      </c>
      <c r="J9277" t="n">
        <v>0</v>
      </c>
      <c r="K9277" t="n">
        <v>0</v>
      </c>
      <c r="L9277" t="n">
        <v>0</v>
      </c>
      <c r="M9277" t="n">
        <v>0</v>
      </c>
      <c r="N9277" t="n">
        <v>0</v>
      </c>
      <c r="O9277" t="n">
        <v>0</v>
      </c>
      <c r="P9277" t="n">
        <v>0</v>
      </c>
      <c r="Q9277" t="n">
        <v>0</v>
      </c>
      <c r="R9277" s="2" t="inlineStr"/>
    </row>
    <row r="9278" ht="15" customHeight="1">
      <c r="A9278" t="inlineStr">
        <is>
          <t>A 60583-2022</t>
        </is>
      </c>
      <c r="B9278" s="1" t="n">
        <v>44904</v>
      </c>
      <c r="C9278" s="1" t="n">
        <v>45212</v>
      </c>
      <c r="D9278" t="inlineStr">
        <is>
          <t>VÄSTRA GÖTALANDS LÄN</t>
        </is>
      </c>
      <c r="E9278" t="inlineStr">
        <is>
          <t>HERRLJUNGA</t>
        </is>
      </c>
      <c r="F9278" t="inlineStr">
        <is>
          <t>Övriga statliga verk och myndigheter</t>
        </is>
      </c>
      <c r="G9278" t="n">
        <v>9.800000000000001</v>
      </c>
      <c r="H9278" t="n">
        <v>0</v>
      </c>
      <c r="I9278" t="n">
        <v>0</v>
      </c>
      <c r="J9278" t="n">
        <v>0</v>
      </c>
      <c r="K9278" t="n">
        <v>0</v>
      </c>
      <c r="L9278" t="n">
        <v>0</v>
      </c>
      <c r="M9278" t="n">
        <v>0</v>
      </c>
      <c r="N9278" t="n">
        <v>0</v>
      </c>
      <c r="O9278" t="n">
        <v>0</v>
      </c>
      <c r="P9278" t="n">
        <v>0</v>
      </c>
      <c r="Q9278" t="n">
        <v>0</v>
      </c>
      <c r="R9278" s="2" t="inlineStr"/>
    </row>
    <row r="9279" ht="15" customHeight="1">
      <c r="A9279" t="inlineStr">
        <is>
          <t>A 59063-2022</t>
        </is>
      </c>
      <c r="B9279" s="1" t="n">
        <v>44904</v>
      </c>
      <c r="C9279" s="1" t="n">
        <v>45212</v>
      </c>
      <c r="D9279" t="inlineStr">
        <is>
          <t>VÄSTRA GÖTALANDS LÄN</t>
        </is>
      </c>
      <c r="E9279" t="inlineStr">
        <is>
          <t>ORUST</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59081-2022</t>
        </is>
      </c>
      <c r="B9280" s="1" t="n">
        <v>44904</v>
      </c>
      <c r="C9280" s="1" t="n">
        <v>45212</v>
      </c>
      <c r="D9280" t="inlineStr">
        <is>
          <t>VÄSTRA GÖTALANDS LÄN</t>
        </is>
      </c>
      <c r="E9280" t="inlineStr">
        <is>
          <t>BORÅS</t>
        </is>
      </c>
      <c r="G9280" t="n">
        <v>5</v>
      </c>
      <c r="H9280" t="n">
        <v>0</v>
      </c>
      <c r="I9280" t="n">
        <v>0</v>
      </c>
      <c r="J9280" t="n">
        <v>0</v>
      </c>
      <c r="K9280" t="n">
        <v>0</v>
      </c>
      <c r="L9280" t="n">
        <v>0</v>
      </c>
      <c r="M9280" t="n">
        <v>0</v>
      </c>
      <c r="N9280" t="n">
        <v>0</v>
      </c>
      <c r="O9280" t="n">
        <v>0</v>
      </c>
      <c r="P9280" t="n">
        <v>0</v>
      </c>
      <c r="Q9280" t="n">
        <v>0</v>
      </c>
      <c r="R9280" s="2" t="inlineStr"/>
    </row>
    <row r="9281" ht="15" customHeight="1">
      <c r="A9281" t="inlineStr">
        <is>
          <t>A 59282-2022</t>
        </is>
      </c>
      <c r="B9281" s="1" t="n">
        <v>44904</v>
      </c>
      <c r="C9281" s="1" t="n">
        <v>45212</v>
      </c>
      <c r="D9281" t="inlineStr">
        <is>
          <t>VÄSTRA GÖTALANDS LÄN</t>
        </is>
      </c>
      <c r="E9281" t="inlineStr">
        <is>
          <t>TROLLHÄTTAN</t>
        </is>
      </c>
      <c r="G9281" t="n">
        <v>1.2</v>
      </c>
      <c r="H9281" t="n">
        <v>0</v>
      </c>
      <c r="I9281" t="n">
        <v>0</v>
      </c>
      <c r="J9281" t="n">
        <v>0</v>
      </c>
      <c r="K9281" t="n">
        <v>0</v>
      </c>
      <c r="L9281" t="n">
        <v>0</v>
      </c>
      <c r="M9281" t="n">
        <v>0</v>
      </c>
      <c r="N9281" t="n">
        <v>0</v>
      </c>
      <c r="O9281" t="n">
        <v>0</v>
      </c>
      <c r="P9281" t="n">
        <v>0</v>
      </c>
      <c r="Q9281" t="n">
        <v>0</v>
      </c>
      <c r="R9281" s="2" t="inlineStr"/>
    </row>
    <row r="9282" ht="15" customHeight="1">
      <c r="A9282" t="inlineStr">
        <is>
          <t>A 60527-2022</t>
        </is>
      </c>
      <c r="B9282" s="1" t="n">
        <v>44904</v>
      </c>
      <c r="C9282" s="1" t="n">
        <v>45212</v>
      </c>
      <c r="D9282" t="inlineStr">
        <is>
          <t>VÄSTRA GÖTALANDS LÄN</t>
        </is>
      </c>
      <c r="E9282" t="inlineStr">
        <is>
          <t>TÖREBODA</t>
        </is>
      </c>
      <c r="G9282" t="n">
        <v>1</v>
      </c>
      <c r="H9282" t="n">
        <v>0</v>
      </c>
      <c r="I9282" t="n">
        <v>0</v>
      </c>
      <c r="J9282" t="n">
        <v>0</v>
      </c>
      <c r="K9282" t="n">
        <v>0</v>
      </c>
      <c r="L9282" t="n">
        <v>0</v>
      </c>
      <c r="M9282" t="n">
        <v>0</v>
      </c>
      <c r="N9282" t="n">
        <v>0</v>
      </c>
      <c r="O9282" t="n">
        <v>0</v>
      </c>
      <c r="P9282" t="n">
        <v>0</v>
      </c>
      <c r="Q9282" t="n">
        <v>0</v>
      </c>
      <c r="R9282" s="2" t="inlineStr"/>
    </row>
    <row r="9283" ht="15" customHeight="1">
      <c r="A9283" t="inlineStr">
        <is>
          <t>A 60509-2022</t>
        </is>
      </c>
      <c r="B9283" s="1" t="n">
        <v>44904</v>
      </c>
      <c r="C9283" s="1" t="n">
        <v>45212</v>
      </c>
      <c r="D9283" t="inlineStr">
        <is>
          <t>VÄSTRA GÖTALANDS LÄN</t>
        </is>
      </c>
      <c r="E9283" t="inlineStr">
        <is>
          <t>HERRLJUNGA</t>
        </is>
      </c>
      <c r="F9283" t="inlineStr">
        <is>
          <t>Övriga statliga verk och myndigheter</t>
        </is>
      </c>
      <c r="G9283" t="n">
        <v>4.8</v>
      </c>
      <c r="H9283" t="n">
        <v>0</v>
      </c>
      <c r="I9283" t="n">
        <v>0</v>
      </c>
      <c r="J9283" t="n">
        <v>0</v>
      </c>
      <c r="K9283" t="n">
        <v>0</v>
      </c>
      <c r="L9283" t="n">
        <v>0</v>
      </c>
      <c r="M9283" t="n">
        <v>0</v>
      </c>
      <c r="N9283" t="n">
        <v>0</v>
      </c>
      <c r="O9283" t="n">
        <v>0</v>
      </c>
      <c r="P9283" t="n">
        <v>0</v>
      </c>
      <c r="Q9283" t="n">
        <v>0</v>
      </c>
      <c r="R9283" s="2" t="inlineStr"/>
    </row>
    <row r="9284" ht="15" customHeight="1">
      <c r="A9284" t="inlineStr">
        <is>
          <t>A 59463-2022</t>
        </is>
      </c>
      <c r="B9284" s="1" t="n">
        <v>44907</v>
      </c>
      <c r="C9284" s="1" t="n">
        <v>45212</v>
      </c>
      <c r="D9284" t="inlineStr">
        <is>
          <t>VÄSTRA GÖTALANDS LÄN</t>
        </is>
      </c>
      <c r="E9284" t="inlineStr">
        <is>
          <t>TIDAHOLM</t>
        </is>
      </c>
      <c r="G9284" t="n">
        <v>3.5</v>
      </c>
      <c r="H9284" t="n">
        <v>0</v>
      </c>
      <c r="I9284" t="n">
        <v>0</v>
      </c>
      <c r="J9284" t="n">
        <v>0</v>
      </c>
      <c r="K9284" t="n">
        <v>0</v>
      </c>
      <c r="L9284" t="n">
        <v>0</v>
      </c>
      <c r="M9284" t="n">
        <v>0</v>
      </c>
      <c r="N9284" t="n">
        <v>0</v>
      </c>
      <c r="O9284" t="n">
        <v>0</v>
      </c>
      <c r="P9284" t="n">
        <v>0</v>
      </c>
      <c r="Q9284" t="n">
        <v>0</v>
      </c>
      <c r="R9284" s="2" t="inlineStr"/>
    </row>
    <row r="9285" ht="15" customHeight="1">
      <c r="A9285" t="inlineStr">
        <is>
          <t>A 59526-2022</t>
        </is>
      </c>
      <c r="B9285" s="1" t="n">
        <v>44907</v>
      </c>
      <c r="C9285" s="1" t="n">
        <v>45212</v>
      </c>
      <c r="D9285" t="inlineStr">
        <is>
          <t>VÄSTRA GÖTALANDS LÄN</t>
        </is>
      </c>
      <c r="E9285" t="inlineStr">
        <is>
          <t>MARK</t>
        </is>
      </c>
      <c r="F9285" t="inlineStr">
        <is>
          <t>Sveaskog</t>
        </is>
      </c>
      <c r="G9285" t="n">
        <v>2.3</v>
      </c>
      <c r="H9285" t="n">
        <v>0</v>
      </c>
      <c r="I9285" t="n">
        <v>0</v>
      </c>
      <c r="J9285" t="n">
        <v>0</v>
      </c>
      <c r="K9285" t="n">
        <v>0</v>
      </c>
      <c r="L9285" t="n">
        <v>0</v>
      </c>
      <c r="M9285" t="n">
        <v>0</v>
      </c>
      <c r="N9285" t="n">
        <v>0</v>
      </c>
      <c r="O9285" t="n">
        <v>0</v>
      </c>
      <c r="P9285" t="n">
        <v>0</v>
      </c>
      <c r="Q9285" t="n">
        <v>0</v>
      </c>
      <c r="R9285" s="2" t="inlineStr"/>
    </row>
    <row r="9286" ht="15" customHeight="1">
      <c r="A9286" t="inlineStr">
        <is>
          <t>A 59435-2022</t>
        </is>
      </c>
      <c r="B9286" s="1" t="n">
        <v>44907</v>
      </c>
      <c r="C9286" s="1" t="n">
        <v>45212</v>
      </c>
      <c r="D9286" t="inlineStr">
        <is>
          <t>VÄSTRA GÖTALANDS LÄN</t>
        </is>
      </c>
      <c r="E9286" t="inlineStr">
        <is>
          <t>STENUNGSUND</t>
        </is>
      </c>
      <c r="G9286" t="n">
        <v>6.2</v>
      </c>
      <c r="H9286" t="n">
        <v>0</v>
      </c>
      <c r="I9286" t="n">
        <v>0</v>
      </c>
      <c r="J9286" t="n">
        <v>0</v>
      </c>
      <c r="K9286" t="n">
        <v>0</v>
      </c>
      <c r="L9286" t="n">
        <v>0</v>
      </c>
      <c r="M9286" t="n">
        <v>0</v>
      </c>
      <c r="N9286" t="n">
        <v>0</v>
      </c>
      <c r="O9286" t="n">
        <v>0</v>
      </c>
      <c r="P9286" t="n">
        <v>0</v>
      </c>
      <c r="Q9286" t="n">
        <v>0</v>
      </c>
      <c r="R9286" s="2" t="inlineStr"/>
    </row>
    <row r="9287" ht="15" customHeight="1">
      <c r="A9287" t="inlineStr">
        <is>
          <t>A 59524-2022</t>
        </is>
      </c>
      <c r="B9287" s="1" t="n">
        <v>44907</v>
      </c>
      <c r="C9287" s="1" t="n">
        <v>45212</v>
      </c>
      <c r="D9287" t="inlineStr">
        <is>
          <t>VÄSTRA GÖTALANDS LÄN</t>
        </is>
      </c>
      <c r="E9287" t="inlineStr">
        <is>
          <t>FÄRGELANDA</t>
        </is>
      </c>
      <c r="G9287" t="n">
        <v>6.8</v>
      </c>
      <c r="H9287" t="n">
        <v>0</v>
      </c>
      <c r="I9287" t="n">
        <v>0</v>
      </c>
      <c r="J9287" t="n">
        <v>0</v>
      </c>
      <c r="K9287" t="n">
        <v>0</v>
      </c>
      <c r="L9287" t="n">
        <v>0</v>
      </c>
      <c r="M9287" t="n">
        <v>0</v>
      </c>
      <c r="N9287" t="n">
        <v>0</v>
      </c>
      <c r="O9287" t="n">
        <v>0</v>
      </c>
      <c r="P9287" t="n">
        <v>0</v>
      </c>
      <c r="Q9287" t="n">
        <v>0</v>
      </c>
      <c r="R9287" s="2" t="inlineStr"/>
    </row>
    <row r="9288" ht="15" customHeight="1">
      <c r="A9288" t="inlineStr">
        <is>
          <t>A 60768-2022</t>
        </is>
      </c>
      <c r="B9288" s="1" t="n">
        <v>44907</v>
      </c>
      <c r="C9288" s="1" t="n">
        <v>45212</v>
      </c>
      <c r="D9288" t="inlineStr">
        <is>
          <t>VÄSTRA GÖTALANDS LÄN</t>
        </is>
      </c>
      <c r="E9288" t="inlineStr">
        <is>
          <t>STRÖMSTAD</t>
        </is>
      </c>
      <c r="G9288" t="n">
        <v>10</v>
      </c>
      <c r="H9288" t="n">
        <v>0</v>
      </c>
      <c r="I9288" t="n">
        <v>0</v>
      </c>
      <c r="J9288" t="n">
        <v>0</v>
      </c>
      <c r="K9288" t="n">
        <v>0</v>
      </c>
      <c r="L9288" t="n">
        <v>0</v>
      </c>
      <c r="M9288" t="n">
        <v>0</v>
      </c>
      <c r="N9288" t="n">
        <v>0</v>
      </c>
      <c r="O9288" t="n">
        <v>0</v>
      </c>
      <c r="P9288" t="n">
        <v>0</v>
      </c>
      <c r="Q9288" t="n">
        <v>0</v>
      </c>
      <c r="R9288" s="2" t="inlineStr"/>
    </row>
    <row r="9289" ht="15" customHeight="1">
      <c r="A9289" t="inlineStr">
        <is>
          <t>A 59460-2022</t>
        </is>
      </c>
      <c r="B9289" s="1" t="n">
        <v>44907</v>
      </c>
      <c r="C9289" s="1" t="n">
        <v>45212</v>
      </c>
      <c r="D9289" t="inlineStr">
        <is>
          <t>VÄSTRA GÖTALANDS LÄN</t>
        </is>
      </c>
      <c r="E9289" t="inlineStr">
        <is>
          <t>TIDAHOLM</t>
        </is>
      </c>
      <c r="G9289" t="n">
        <v>7.4</v>
      </c>
      <c r="H9289" t="n">
        <v>0</v>
      </c>
      <c r="I9289" t="n">
        <v>0</v>
      </c>
      <c r="J9289" t="n">
        <v>0</v>
      </c>
      <c r="K9289" t="n">
        <v>0</v>
      </c>
      <c r="L9289" t="n">
        <v>0</v>
      </c>
      <c r="M9289" t="n">
        <v>0</v>
      </c>
      <c r="N9289" t="n">
        <v>0</v>
      </c>
      <c r="O9289" t="n">
        <v>0</v>
      </c>
      <c r="P9289" t="n">
        <v>0</v>
      </c>
      <c r="Q9289" t="n">
        <v>0</v>
      </c>
      <c r="R9289" s="2" t="inlineStr"/>
    </row>
    <row r="9290" ht="15" customHeight="1">
      <c r="A9290" t="inlineStr">
        <is>
          <t>A 59490-2022</t>
        </is>
      </c>
      <c r="B9290" s="1" t="n">
        <v>44907</v>
      </c>
      <c r="C9290" s="1" t="n">
        <v>45212</v>
      </c>
      <c r="D9290" t="inlineStr">
        <is>
          <t>VÄSTRA GÖTALANDS LÄN</t>
        </is>
      </c>
      <c r="E9290" t="inlineStr">
        <is>
          <t>MARK</t>
        </is>
      </c>
      <c r="F9290" t="inlineStr">
        <is>
          <t>Sveaskog</t>
        </is>
      </c>
      <c r="G9290" t="n">
        <v>8.5</v>
      </c>
      <c r="H9290" t="n">
        <v>0</v>
      </c>
      <c r="I9290" t="n">
        <v>0</v>
      </c>
      <c r="J9290" t="n">
        <v>0</v>
      </c>
      <c r="K9290" t="n">
        <v>0</v>
      </c>
      <c r="L9290" t="n">
        <v>0</v>
      </c>
      <c r="M9290" t="n">
        <v>0</v>
      </c>
      <c r="N9290" t="n">
        <v>0</v>
      </c>
      <c r="O9290" t="n">
        <v>0</v>
      </c>
      <c r="P9290" t="n">
        <v>0</v>
      </c>
      <c r="Q9290" t="n">
        <v>0</v>
      </c>
      <c r="R9290" s="2" t="inlineStr"/>
    </row>
    <row r="9291" ht="15" customHeight="1">
      <c r="A9291" t="inlineStr">
        <is>
          <t>A 59527-2022</t>
        </is>
      </c>
      <c r="B9291" s="1" t="n">
        <v>44907</v>
      </c>
      <c r="C9291" s="1" t="n">
        <v>45212</v>
      </c>
      <c r="D9291" t="inlineStr">
        <is>
          <t>VÄSTRA GÖTALANDS LÄN</t>
        </is>
      </c>
      <c r="E9291" t="inlineStr">
        <is>
          <t>MARK</t>
        </is>
      </c>
      <c r="F9291" t="inlineStr">
        <is>
          <t>Sveaskog</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59615-2022</t>
        </is>
      </c>
      <c r="B9292" s="1" t="n">
        <v>44907</v>
      </c>
      <c r="C9292" s="1" t="n">
        <v>45212</v>
      </c>
      <c r="D9292" t="inlineStr">
        <is>
          <t>VÄSTRA GÖTALANDS LÄN</t>
        </is>
      </c>
      <c r="E9292" t="inlineStr">
        <is>
          <t>BENGTSFORS</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60995-2022</t>
        </is>
      </c>
      <c r="B9293" s="1" t="n">
        <v>44907</v>
      </c>
      <c r="C9293" s="1" t="n">
        <v>45212</v>
      </c>
      <c r="D9293" t="inlineStr">
        <is>
          <t>VÄSTRA GÖTALANDS LÄN</t>
        </is>
      </c>
      <c r="E9293" t="inlineStr">
        <is>
          <t>VÄNERSBORG</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59842-2022</t>
        </is>
      </c>
      <c r="B9294" s="1" t="n">
        <v>44908</v>
      </c>
      <c r="C9294" s="1" t="n">
        <v>45212</v>
      </c>
      <c r="D9294" t="inlineStr">
        <is>
          <t>VÄSTRA GÖTALANDS LÄN</t>
        </is>
      </c>
      <c r="E9294" t="inlineStr">
        <is>
          <t>SKARA</t>
        </is>
      </c>
      <c r="G9294" t="n">
        <v>3.5</v>
      </c>
      <c r="H9294" t="n">
        <v>0</v>
      </c>
      <c r="I9294" t="n">
        <v>0</v>
      </c>
      <c r="J9294" t="n">
        <v>0</v>
      </c>
      <c r="K9294" t="n">
        <v>0</v>
      </c>
      <c r="L9294" t="n">
        <v>0</v>
      </c>
      <c r="M9294" t="n">
        <v>0</v>
      </c>
      <c r="N9294" t="n">
        <v>0</v>
      </c>
      <c r="O9294" t="n">
        <v>0</v>
      </c>
      <c r="P9294" t="n">
        <v>0</v>
      </c>
      <c r="Q9294" t="n">
        <v>0</v>
      </c>
      <c r="R9294" s="2" t="inlineStr"/>
    </row>
    <row r="9295" ht="15" customHeight="1">
      <c r="A9295" t="inlineStr">
        <is>
          <t>A 61211-2022</t>
        </is>
      </c>
      <c r="B9295" s="1" t="n">
        <v>44908</v>
      </c>
      <c r="C9295" s="1" t="n">
        <v>45212</v>
      </c>
      <c r="D9295" t="inlineStr">
        <is>
          <t>VÄSTRA GÖTALANDS LÄN</t>
        </is>
      </c>
      <c r="E9295" t="inlineStr">
        <is>
          <t>KARLSBORG</t>
        </is>
      </c>
      <c r="G9295" t="n">
        <v>8.1</v>
      </c>
      <c r="H9295" t="n">
        <v>0</v>
      </c>
      <c r="I9295" t="n">
        <v>0</v>
      </c>
      <c r="J9295" t="n">
        <v>0</v>
      </c>
      <c r="K9295" t="n">
        <v>0</v>
      </c>
      <c r="L9295" t="n">
        <v>0</v>
      </c>
      <c r="M9295" t="n">
        <v>0</v>
      </c>
      <c r="N9295" t="n">
        <v>0</v>
      </c>
      <c r="O9295" t="n">
        <v>0</v>
      </c>
      <c r="P9295" t="n">
        <v>0</v>
      </c>
      <c r="Q9295" t="n">
        <v>0</v>
      </c>
      <c r="R9295" s="2" t="inlineStr"/>
    </row>
    <row r="9296" ht="15" customHeight="1">
      <c r="A9296" t="inlineStr">
        <is>
          <t>A 59684-2022</t>
        </is>
      </c>
      <c r="B9296" s="1" t="n">
        <v>44908</v>
      </c>
      <c r="C9296" s="1" t="n">
        <v>45212</v>
      </c>
      <c r="D9296" t="inlineStr">
        <is>
          <t>VÄSTRA GÖTALANDS LÄN</t>
        </is>
      </c>
      <c r="E9296" t="inlineStr">
        <is>
          <t>VÅRGÅRDA</t>
        </is>
      </c>
      <c r="F9296" t="inlineStr">
        <is>
          <t>Sveaskog</t>
        </is>
      </c>
      <c r="G9296" t="n">
        <v>4.1</v>
      </c>
      <c r="H9296" t="n">
        <v>0</v>
      </c>
      <c r="I9296" t="n">
        <v>0</v>
      </c>
      <c r="J9296" t="n">
        <v>0</v>
      </c>
      <c r="K9296" t="n">
        <v>0</v>
      </c>
      <c r="L9296" t="n">
        <v>0</v>
      </c>
      <c r="M9296" t="n">
        <v>0</v>
      </c>
      <c r="N9296" t="n">
        <v>0</v>
      </c>
      <c r="O9296" t="n">
        <v>0</v>
      </c>
      <c r="P9296" t="n">
        <v>0</v>
      </c>
      <c r="Q9296" t="n">
        <v>0</v>
      </c>
      <c r="R9296" s="2" t="inlineStr"/>
    </row>
    <row r="9297" ht="15" customHeight="1">
      <c r="A9297" t="inlineStr">
        <is>
          <t>A 59714-2022</t>
        </is>
      </c>
      <c r="B9297" s="1" t="n">
        <v>44908</v>
      </c>
      <c r="C9297" s="1" t="n">
        <v>45212</v>
      </c>
      <c r="D9297" t="inlineStr">
        <is>
          <t>VÄSTRA GÖTALANDS LÄN</t>
        </is>
      </c>
      <c r="E9297" t="inlineStr">
        <is>
          <t>DALS-ED</t>
        </is>
      </c>
      <c r="G9297" t="n">
        <v>2.7</v>
      </c>
      <c r="H9297" t="n">
        <v>0</v>
      </c>
      <c r="I9297" t="n">
        <v>0</v>
      </c>
      <c r="J9297" t="n">
        <v>0</v>
      </c>
      <c r="K9297" t="n">
        <v>0</v>
      </c>
      <c r="L9297" t="n">
        <v>0</v>
      </c>
      <c r="M9297" t="n">
        <v>0</v>
      </c>
      <c r="N9297" t="n">
        <v>0</v>
      </c>
      <c r="O9297" t="n">
        <v>0</v>
      </c>
      <c r="P9297" t="n">
        <v>0</v>
      </c>
      <c r="Q9297" t="n">
        <v>0</v>
      </c>
      <c r="R9297" s="2" t="inlineStr"/>
    </row>
    <row r="9298" ht="15" customHeight="1">
      <c r="A9298" t="inlineStr">
        <is>
          <t>A 59781-2022</t>
        </is>
      </c>
      <c r="B9298" s="1" t="n">
        <v>44908</v>
      </c>
      <c r="C9298" s="1" t="n">
        <v>45212</v>
      </c>
      <c r="D9298" t="inlineStr">
        <is>
          <t>VÄSTRA GÖTALANDS LÄN</t>
        </is>
      </c>
      <c r="E9298" t="inlineStr">
        <is>
          <t>TÖREBODA</t>
        </is>
      </c>
      <c r="G9298" t="n">
        <v>1.7</v>
      </c>
      <c r="H9298" t="n">
        <v>0</v>
      </c>
      <c r="I9298" t="n">
        <v>0</v>
      </c>
      <c r="J9298" t="n">
        <v>0</v>
      </c>
      <c r="K9298" t="n">
        <v>0</v>
      </c>
      <c r="L9298" t="n">
        <v>0</v>
      </c>
      <c r="M9298" t="n">
        <v>0</v>
      </c>
      <c r="N9298" t="n">
        <v>0</v>
      </c>
      <c r="O9298" t="n">
        <v>0</v>
      </c>
      <c r="P9298" t="n">
        <v>0</v>
      </c>
      <c r="Q9298" t="n">
        <v>0</v>
      </c>
      <c r="R9298" s="2" t="inlineStr"/>
    </row>
    <row r="9299" ht="15" customHeight="1">
      <c r="A9299" t="inlineStr">
        <is>
          <t>A 59814-2022</t>
        </is>
      </c>
      <c r="B9299" s="1" t="n">
        <v>44908</v>
      </c>
      <c r="C9299" s="1" t="n">
        <v>45212</v>
      </c>
      <c r="D9299" t="inlineStr">
        <is>
          <t>VÄSTRA GÖTALANDS LÄN</t>
        </is>
      </c>
      <c r="E9299" t="inlineStr">
        <is>
          <t>ÅMÅL</t>
        </is>
      </c>
      <c r="G9299" t="n">
        <v>3.2</v>
      </c>
      <c r="H9299" t="n">
        <v>0</v>
      </c>
      <c r="I9299" t="n">
        <v>0</v>
      </c>
      <c r="J9299" t="n">
        <v>0</v>
      </c>
      <c r="K9299" t="n">
        <v>0</v>
      </c>
      <c r="L9299" t="n">
        <v>0</v>
      </c>
      <c r="M9299" t="n">
        <v>0</v>
      </c>
      <c r="N9299" t="n">
        <v>0</v>
      </c>
      <c r="O9299" t="n">
        <v>0</v>
      </c>
      <c r="P9299" t="n">
        <v>0</v>
      </c>
      <c r="Q9299" t="n">
        <v>0</v>
      </c>
      <c r="R9299" s="2" t="inlineStr"/>
    </row>
    <row r="9300" ht="15" customHeight="1">
      <c r="A9300" t="inlineStr">
        <is>
          <t>A 59879-2022</t>
        </is>
      </c>
      <c r="B9300" s="1" t="n">
        <v>44908</v>
      </c>
      <c r="C9300" s="1" t="n">
        <v>45212</v>
      </c>
      <c r="D9300" t="inlineStr">
        <is>
          <t>VÄSTRA GÖTALANDS LÄN</t>
        </is>
      </c>
      <c r="E9300" t="inlineStr">
        <is>
          <t>TRANEMO</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60994-2022</t>
        </is>
      </c>
      <c r="B9301" s="1" t="n">
        <v>44908</v>
      </c>
      <c r="C9301" s="1" t="n">
        <v>45212</v>
      </c>
      <c r="D9301" t="inlineStr">
        <is>
          <t>VÄSTRA GÖTALANDS LÄN</t>
        </is>
      </c>
      <c r="E9301" t="inlineStr">
        <is>
          <t>TANUM</t>
        </is>
      </c>
      <c r="F9301" t="inlineStr">
        <is>
          <t>Kyrkan</t>
        </is>
      </c>
      <c r="G9301" t="n">
        <v>6.8</v>
      </c>
      <c r="H9301" t="n">
        <v>0</v>
      </c>
      <c r="I9301" t="n">
        <v>0</v>
      </c>
      <c r="J9301" t="n">
        <v>0</v>
      </c>
      <c r="K9301" t="n">
        <v>0</v>
      </c>
      <c r="L9301" t="n">
        <v>0</v>
      </c>
      <c r="M9301" t="n">
        <v>0</v>
      </c>
      <c r="N9301" t="n">
        <v>0</v>
      </c>
      <c r="O9301" t="n">
        <v>0</v>
      </c>
      <c r="P9301" t="n">
        <v>0</v>
      </c>
      <c r="Q9301" t="n">
        <v>0</v>
      </c>
      <c r="R9301" s="2" t="inlineStr"/>
    </row>
    <row r="9302" ht="15" customHeight="1">
      <c r="A9302" t="inlineStr">
        <is>
          <t>A 61073-2022</t>
        </is>
      </c>
      <c r="B9302" s="1" t="n">
        <v>44908</v>
      </c>
      <c r="C9302" s="1" t="n">
        <v>45212</v>
      </c>
      <c r="D9302" t="inlineStr">
        <is>
          <t>VÄSTRA GÖTALANDS LÄN</t>
        </is>
      </c>
      <c r="E9302" t="inlineStr">
        <is>
          <t>DALS-ED</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59662-2022</t>
        </is>
      </c>
      <c r="B9303" s="1" t="n">
        <v>44908</v>
      </c>
      <c r="C9303" s="1" t="n">
        <v>45212</v>
      </c>
      <c r="D9303" t="inlineStr">
        <is>
          <t>VÄSTRA GÖTALANDS LÄN</t>
        </is>
      </c>
      <c r="E9303" t="inlineStr">
        <is>
          <t>MARK</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59821-2022</t>
        </is>
      </c>
      <c r="B9304" s="1" t="n">
        <v>44908</v>
      </c>
      <c r="C9304" s="1" t="n">
        <v>45212</v>
      </c>
      <c r="D9304" t="inlineStr">
        <is>
          <t>VÄSTRA GÖTALANDS LÄN</t>
        </is>
      </c>
      <c r="E9304" t="inlineStr">
        <is>
          <t>TANUM</t>
        </is>
      </c>
      <c r="G9304" t="n">
        <v>9</v>
      </c>
      <c r="H9304" t="n">
        <v>0</v>
      </c>
      <c r="I9304" t="n">
        <v>0</v>
      </c>
      <c r="J9304" t="n">
        <v>0</v>
      </c>
      <c r="K9304" t="n">
        <v>0</v>
      </c>
      <c r="L9304" t="n">
        <v>0</v>
      </c>
      <c r="M9304" t="n">
        <v>0</v>
      </c>
      <c r="N9304" t="n">
        <v>0</v>
      </c>
      <c r="O9304" t="n">
        <v>0</v>
      </c>
      <c r="P9304" t="n">
        <v>0</v>
      </c>
      <c r="Q9304" t="n">
        <v>0</v>
      </c>
      <c r="R9304" s="2" t="inlineStr"/>
    </row>
    <row r="9305" ht="15" customHeight="1">
      <c r="A9305" t="inlineStr">
        <is>
          <t>A 59882-2022</t>
        </is>
      </c>
      <c r="B9305" s="1" t="n">
        <v>44908</v>
      </c>
      <c r="C9305" s="1" t="n">
        <v>45212</v>
      </c>
      <c r="D9305" t="inlineStr">
        <is>
          <t>VÄSTRA GÖTALANDS LÄN</t>
        </is>
      </c>
      <c r="E9305" t="inlineStr">
        <is>
          <t>ULRICEHAMN</t>
        </is>
      </c>
      <c r="G9305" t="n">
        <v>2.2</v>
      </c>
      <c r="H9305" t="n">
        <v>0</v>
      </c>
      <c r="I9305" t="n">
        <v>0</v>
      </c>
      <c r="J9305" t="n">
        <v>0</v>
      </c>
      <c r="K9305" t="n">
        <v>0</v>
      </c>
      <c r="L9305" t="n">
        <v>0</v>
      </c>
      <c r="M9305" t="n">
        <v>0</v>
      </c>
      <c r="N9305" t="n">
        <v>0</v>
      </c>
      <c r="O9305" t="n">
        <v>0</v>
      </c>
      <c r="P9305" t="n">
        <v>0</v>
      </c>
      <c r="Q9305" t="n">
        <v>0</v>
      </c>
      <c r="R9305" s="2" t="inlineStr"/>
    </row>
    <row r="9306" ht="15" customHeight="1">
      <c r="A9306" t="inlineStr">
        <is>
          <t>A 61213-2022</t>
        </is>
      </c>
      <c r="B9306" s="1" t="n">
        <v>44908</v>
      </c>
      <c r="C9306" s="1" t="n">
        <v>45212</v>
      </c>
      <c r="D9306" t="inlineStr">
        <is>
          <t>VÄSTRA GÖTALANDS LÄN</t>
        </is>
      </c>
      <c r="E9306" t="inlineStr">
        <is>
          <t>TANUM</t>
        </is>
      </c>
      <c r="G9306" t="n">
        <v>8.199999999999999</v>
      </c>
      <c r="H9306" t="n">
        <v>0</v>
      </c>
      <c r="I9306" t="n">
        <v>0</v>
      </c>
      <c r="J9306" t="n">
        <v>0</v>
      </c>
      <c r="K9306" t="n">
        <v>0</v>
      </c>
      <c r="L9306" t="n">
        <v>0</v>
      </c>
      <c r="M9306" t="n">
        <v>0</v>
      </c>
      <c r="N9306" t="n">
        <v>0</v>
      </c>
      <c r="O9306" t="n">
        <v>0</v>
      </c>
      <c r="P9306" t="n">
        <v>0</v>
      </c>
      <c r="Q9306" t="n">
        <v>0</v>
      </c>
      <c r="R9306" s="2" t="inlineStr"/>
    </row>
    <row r="9307" ht="15" customHeight="1">
      <c r="A9307" t="inlineStr">
        <is>
          <t>A 61409-2022</t>
        </is>
      </c>
      <c r="B9307" s="1" t="n">
        <v>44909</v>
      </c>
      <c r="C9307" s="1" t="n">
        <v>45212</v>
      </c>
      <c r="D9307" t="inlineStr">
        <is>
          <t>VÄSTRA GÖTALANDS LÄN</t>
        </is>
      </c>
      <c r="E9307" t="inlineStr">
        <is>
          <t>VÄNERSBORG</t>
        </is>
      </c>
      <c r="G9307" t="n">
        <v>5.5</v>
      </c>
      <c r="H9307" t="n">
        <v>0</v>
      </c>
      <c r="I9307" t="n">
        <v>0</v>
      </c>
      <c r="J9307" t="n">
        <v>0</v>
      </c>
      <c r="K9307" t="n">
        <v>0</v>
      </c>
      <c r="L9307" t="n">
        <v>0</v>
      </c>
      <c r="M9307" t="n">
        <v>0</v>
      </c>
      <c r="N9307" t="n">
        <v>0</v>
      </c>
      <c r="O9307" t="n">
        <v>0</v>
      </c>
      <c r="P9307" t="n">
        <v>0</v>
      </c>
      <c r="Q9307" t="n">
        <v>0</v>
      </c>
      <c r="R9307" s="2" t="inlineStr"/>
    </row>
    <row r="9308" ht="15" customHeight="1">
      <c r="A9308" t="inlineStr">
        <is>
          <t>A 59996-2022</t>
        </is>
      </c>
      <c r="B9308" s="1" t="n">
        <v>44909</v>
      </c>
      <c r="C9308" s="1" t="n">
        <v>45212</v>
      </c>
      <c r="D9308" t="inlineStr">
        <is>
          <t>VÄSTRA GÖTALANDS LÄN</t>
        </is>
      </c>
      <c r="E9308" t="inlineStr">
        <is>
          <t>SKARA</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60148-2022</t>
        </is>
      </c>
      <c r="B9309" s="1" t="n">
        <v>44909</v>
      </c>
      <c r="C9309" s="1" t="n">
        <v>45212</v>
      </c>
      <c r="D9309" t="inlineStr">
        <is>
          <t>VÄSTRA GÖTALANDS LÄN</t>
        </is>
      </c>
      <c r="E9309" t="inlineStr">
        <is>
          <t>ÅMÅL</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61443-2022</t>
        </is>
      </c>
      <c r="B9310" s="1" t="n">
        <v>44909</v>
      </c>
      <c r="C9310" s="1" t="n">
        <v>45212</v>
      </c>
      <c r="D9310" t="inlineStr">
        <is>
          <t>VÄSTRA GÖTALANDS LÄN</t>
        </is>
      </c>
      <c r="E9310" t="inlineStr">
        <is>
          <t>TROLLHÄTTAN</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61478-2022</t>
        </is>
      </c>
      <c r="B9311" s="1" t="n">
        <v>44910</v>
      </c>
      <c r="C9311" s="1" t="n">
        <v>45212</v>
      </c>
      <c r="D9311" t="inlineStr">
        <is>
          <t>VÄSTRA GÖTALANDS LÄN</t>
        </is>
      </c>
      <c r="E9311" t="inlineStr">
        <is>
          <t>DALS-ED</t>
        </is>
      </c>
      <c r="G9311" t="n">
        <v>11.1</v>
      </c>
      <c r="H9311" t="n">
        <v>0</v>
      </c>
      <c r="I9311" t="n">
        <v>0</v>
      </c>
      <c r="J9311" t="n">
        <v>0</v>
      </c>
      <c r="K9311" t="n">
        <v>0</v>
      </c>
      <c r="L9311" t="n">
        <v>0</v>
      </c>
      <c r="M9311" t="n">
        <v>0</v>
      </c>
      <c r="N9311" t="n">
        <v>0</v>
      </c>
      <c r="O9311" t="n">
        <v>0</v>
      </c>
      <c r="P9311" t="n">
        <v>0</v>
      </c>
      <c r="Q9311" t="n">
        <v>0</v>
      </c>
      <c r="R9311" s="2" t="inlineStr"/>
    </row>
    <row r="9312" ht="15" customHeight="1">
      <c r="A9312" t="inlineStr">
        <is>
          <t>A 61487-2022</t>
        </is>
      </c>
      <c r="B9312" s="1" t="n">
        <v>44910</v>
      </c>
      <c r="C9312" s="1" t="n">
        <v>45212</v>
      </c>
      <c r="D9312" t="inlineStr">
        <is>
          <t>VÄSTRA GÖTALANDS LÄN</t>
        </is>
      </c>
      <c r="E9312" t="inlineStr">
        <is>
          <t>DALS-ED</t>
        </is>
      </c>
      <c r="F9312" t="inlineStr">
        <is>
          <t>Kyrkan</t>
        </is>
      </c>
      <c r="G9312" t="n">
        <v>9.4</v>
      </c>
      <c r="H9312" t="n">
        <v>0</v>
      </c>
      <c r="I9312" t="n">
        <v>0</v>
      </c>
      <c r="J9312" t="n">
        <v>0</v>
      </c>
      <c r="K9312" t="n">
        <v>0</v>
      </c>
      <c r="L9312" t="n">
        <v>0</v>
      </c>
      <c r="M9312" t="n">
        <v>0</v>
      </c>
      <c r="N9312" t="n">
        <v>0</v>
      </c>
      <c r="O9312" t="n">
        <v>0</v>
      </c>
      <c r="P9312" t="n">
        <v>0</v>
      </c>
      <c r="Q9312" t="n">
        <v>0</v>
      </c>
      <c r="R9312" s="2" t="inlineStr"/>
    </row>
    <row r="9313" ht="15" customHeight="1">
      <c r="A9313" t="inlineStr">
        <is>
          <t>A 60191-2022</t>
        </is>
      </c>
      <c r="B9313" s="1" t="n">
        <v>44910</v>
      </c>
      <c r="C9313" s="1" t="n">
        <v>45212</v>
      </c>
      <c r="D9313" t="inlineStr">
        <is>
          <t>VÄSTRA GÖTALANDS LÄN</t>
        </is>
      </c>
      <c r="E9313" t="inlineStr">
        <is>
          <t>VÅRGÅRDA</t>
        </is>
      </c>
      <c r="G9313" t="n">
        <v>2.8</v>
      </c>
      <c r="H9313" t="n">
        <v>0</v>
      </c>
      <c r="I9313" t="n">
        <v>0</v>
      </c>
      <c r="J9313" t="n">
        <v>0</v>
      </c>
      <c r="K9313" t="n">
        <v>0</v>
      </c>
      <c r="L9313" t="n">
        <v>0</v>
      </c>
      <c r="M9313" t="n">
        <v>0</v>
      </c>
      <c r="N9313" t="n">
        <v>0</v>
      </c>
      <c r="O9313" t="n">
        <v>0</v>
      </c>
      <c r="P9313" t="n">
        <v>0</v>
      </c>
      <c r="Q9313" t="n">
        <v>0</v>
      </c>
      <c r="R9313" s="2" t="inlineStr"/>
    </row>
    <row r="9314" ht="15" customHeight="1">
      <c r="A9314" t="inlineStr">
        <is>
          <t>A 60207-2022</t>
        </is>
      </c>
      <c r="B9314" s="1" t="n">
        <v>44910</v>
      </c>
      <c r="C9314" s="1" t="n">
        <v>45212</v>
      </c>
      <c r="D9314" t="inlineStr">
        <is>
          <t>VÄSTRA GÖTALANDS LÄN</t>
        </is>
      </c>
      <c r="E9314" t="inlineStr">
        <is>
          <t>TIDAHOLM</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60392-2022</t>
        </is>
      </c>
      <c r="B9315" s="1" t="n">
        <v>44910</v>
      </c>
      <c r="C9315" s="1" t="n">
        <v>45212</v>
      </c>
      <c r="D9315" t="inlineStr">
        <is>
          <t>VÄSTRA GÖTALANDS LÄN</t>
        </is>
      </c>
      <c r="E9315" t="inlineStr">
        <is>
          <t>TJÖRN</t>
        </is>
      </c>
      <c r="G9315" t="n">
        <v>4.1</v>
      </c>
      <c r="H9315" t="n">
        <v>0</v>
      </c>
      <c r="I9315" t="n">
        <v>0</v>
      </c>
      <c r="J9315" t="n">
        <v>0</v>
      </c>
      <c r="K9315" t="n">
        <v>0</v>
      </c>
      <c r="L9315" t="n">
        <v>0</v>
      </c>
      <c r="M9315" t="n">
        <v>0</v>
      </c>
      <c r="N9315" t="n">
        <v>0</v>
      </c>
      <c r="O9315" t="n">
        <v>0</v>
      </c>
      <c r="P9315" t="n">
        <v>0</v>
      </c>
      <c r="Q9315" t="n">
        <v>0</v>
      </c>
      <c r="R9315" s="2" t="inlineStr"/>
    </row>
    <row r="9316" ht="15" customHeight="1">
      <c r="A9316" t="inlineStr">
        <is>
          <t>A 61788-2022</t>
        </is>
      </c>
      <c r="B9316" s="1" t="n">
        <v>44911</v>
      </c>
      <c r="C9316" s="1" t="n">
        <v>45212</v>
      </c>
      <c r="D9316" t="inlineStr">
        <is>
          <t>VÄSTRA GÖTALANDS LÄN</t>
        </is>
      </c>
      <c r="E9316" t="inlineStr">
        <is>
          <t>BENGTSFORS</t>
        </is>
      </c>
      <c r="G9316" t="n">
        <v>2.3</v>
      </c>
      <c r="H9316" t="n">
        <v>0</v>
      </c>
      <c r="I9316" t="n">
        <v>0</v>
      </c>
      <c r="J9316" t="n">
        <v>0</v>
      </c>
      <c r="K9316" t="n">
        <v>0</v>
      </c>
      <c r="L9316" t="n">
        <v>0</v>
      </c>
      <c r="M9316" t="n">
        <v>0</v>
      </c>
      <c r="N9316" t="n">
        <v>0</v>
      </c>
      <c r="O9316" t="n">
        <v>0</v>
      </c>
      <c r="P9316" t="n">
        <v>0</v>
      </c>
      <c r="Q9316" t="n">
        <v>0</v>
      </c>
      <c r="R9316" s="2" t="inlineStr"/>
    </row>
    <row r="9317" ht="15" customHeight="1">
      <c r="A9317" t="inlineStr">
        <is>
          <t>A 60432-2022</t>
        </is>
      </c>
      <c r="B9317" s="1" t="n">
        <v>44911</v>
      </c>
      <c r="C9317" s="1" t="n">
        <v>45212</v>
      </c>
      <c r="D9317" t="inlineStr">
        <is>
          <t>VÄSTRA GÖTALANDS LÄN</t>
        </is>
      </c>
      <c r="E9317" t="inlineStr">
        <is>
          <t>HÄRRYDA</t>
        </is>
      </c>
      <c r="G9317" t="n">
        <v>0.9</v>
      </c>
      <c r="H9317" t="n">
        <v>0</v>
      </c>
      <c r="I9317" t="n">
        <v>0</v>
      </c>
      <c r="J9317" t="n">
        <v>0</v>
      </c>
      <c r="K9317" t="n">
        <v>0</v>
      </c>
      <c r="L9317" t="n">
        <v>0</v>
      </c>
      <c r="M9317" t="n">
        <v>0</v>
      </c>
      <c r="N9317" t="n">
        <v>0</v>
      </c>
      <c r="O9317" t="n">
        <v>0</v>
      </c>
      <c r="P9317" t="n">
        <v>0</v>
      </c>
      <c r="Q9317" t="n">
        <v>0</v>
      </c>
      <c r="R9317" s="2" t="inlineStr"/>
    </row>
    <row r="9318" ht="15" customHeight="1">
      <c r="A9318" t="inlineStr">
        <is>
          <t>A 61759-2022</t>
        </is>
      </c>
      <c r="B9318" s="1" t="n">
        <v>44911</v>
      </c>
      <c r="C9318" s="1" t="n">
        <v>45212</v>
      </c>
      <c r="D9318" t="inlineStr">
        <is>
          <t>VÄSTRA GÖTALANDS LÄN</t>
        </is>
      </c>
      <c r="E9318" t="inlineStr">
        <is>
          <t>BENGTSFORS</t>
        </is>
      </c>
      <c r="G9318" t="n">
        <v>2.2</v>
      </c>
      <c r="H9318" t="n">
        <v>0</v>
      </c>
      <c r="I9318" t="n">
        <v>0</v>
      </c>
      <c r="J9318" t="n">
        <v>0</v>
      </c>
      <c r="K9318" t="n">
        <v>0</v>
      </c>
      <c r="L9318" t="n">
        <v>0</v>
      </c>
      <c r="M9318" t="n">
        <v>0</v>
      </c>
      <c r="N9318" t="n">
        <v>0</v>
      </c>
      <c r="O9318" t="n">
        <v>0</v>
      </c>
      <c r="P9318" t="n">
        <v>0</v>
      </c>
      <c r="Q9318" t="n">
        <v>0</v>
      </c>
      <c r="R9318" s="2" t="inlineStr"/>
    </row>
    <row r="9319" ht="15" customHeight="1">
      <c r="A9319" t="inlineStr">
        <is>
          <t>A 60494-2022</t>
        </is>
      </c>
      <c r="B9319" s="1" t="n">
        <v>44911</v>
      </c>
      <c r="C9319" s="1" t="n">
        <v>45212</v>
      </c>
      <c r="D9319" t="inlineStr">
        <is>
          <t>VÄSTRA GÖTALANDS LÄN</t>
        </is>
      </c>
      <c r="E9319" t="inlineStr">
        <is>
          <t>BENGTSFORS</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61823-2022</t>
        </is>
      </c>
      <c r="B9320" s="1" t="n">
        <v>44911</v>
      </c>
      <c r="C9320" s="1" t="n">
        <v>45212</v>
      </c>
      <c r="D9320" t="inlineStr">
        <is>
          <t>VÄSTRA GÖTALANDS LÄN</t>
        </is>
      </c>
      <c r="E9320" t="inlineStr">
        <is>
          <t>BENGTSFORS</t>
        </is>
      </c>
      <c r="G9320" t="n">
        <v>6.3</v>
      </c>
      <c r="H9320" t="n">
        <v>0</v>
      </c>
      <c r="I9320" t="n">
        <v>0</v>
      </c>
      <c r="J9320" t="n">
        <v>0</v>
      </c>
      <c r="K9320" t="n">
        <v>0</v>
      </c>
      <c r="L9320" t="n">
        <v>0</v>
      </c>
      <c r="M9320" t="n">
        <v>0</v>
      </c>
      <c r="N9320" t="n">
        <v>0</v>
      </c>
      <c r="O9320" t="n">
        <v>0</v>
      </c>
      <c r="P9320" t="n">
        <v>0</v>
      </c>
      <c r="Q9320" t="n">
        <v>0</v>
      </c>
      <c r="R9320" s="2" t="inlineStr"/>
    </row>
    <row r="9321" ht="15" customHeight="1">
      <c r="A9321" t="inlineStr">
        <is>
          <t>A 60755-2022</t>
        </is>
      </c>
      <c r="B9321" s="1" t="n">
        <v>44914</v>
      </c>
      <c r="C9321" s="1" t="n">
        <v>45212</v>
      </c>
      <c r="D9321" t="inlineStr">
        <is>
          <t>VÄSTRA GÖTALANDS LÄN</t>
        </is>
      </c>
      <c r="E9321" t="inlineStr">
        <is>
          <t>SVENLJUNGA</t>
        </is>
      </c>
      <c r="G9321" t="n">
        <v>0.9</v>
      </c>
      <c r="H9321" t="n">
        <v>0</v>
      </c>
      <c r="I9321" t="n">
        <v>0</v>
      </c>
      <c r="J9321" t="n">
        <v>0</v>
      </c>
      <c r="K9321" t="n">
        <v>0</v>
      </c>
      <c r="L9321" t="n">
        <v>0</v>
      </c>
      <c r="M9321" t="n">
        <v>0</v>
      </c>
      <c r="N9321" t="n">
        <v>0</v>
      </c>
      <c r="O9321" t="n">
        <v>0</v>
      </c>
      <c r="P9321" t="n">
        <v>0</v>
      </c>
      <c r="Q9321" t="n">
        <v>0</v>
      </c>
      <c r="R9321" s="2" t="inlineStr"/>
    </row>
    <row r="9322" ht="15" customHeight="1">
      <c r="A9322" t="inlineStr">
        <is>
          <t>A 61021-2022</t>
        </is>
      </c>
      <c r="B9322" s="1" t="n">
        <v>44914</v>
      </c>
      <c r="C9322" s="1" t="n">
        <v>45212</v>
      </c>
      <c r="D9322" t="inlineStr">
        <is>
          <t>VÄSTRA GÖTALANDS LÄN</t>
        </is>
      </c>
      <c r="E9322" t="inlineStr">
        <is>
          <t>GÖTENE</t>
        </is>
      </c>
      <c r="G9322" t="n">
        <v>1.8</v>
      </c>
      <c r="H9322" t="n">
        <v>0</v>
      </c>
      <c r="I9322" t="n">
        <v>0</v>
      </c>
      <c r="J9322" t="n">
        <v>0</v>
      </c>
      <c r="K9322" t="n">
        <v>0</v>
      </c>
      <c r="L9322" t="n">
        <v>0</v>
      </c>
      <c r="M9322" t="n">
        <v>0</v>
      </c>
      <c r="N9322" t="n">
        <v>0</v>
      </c>
      <c r="O9322" t="n">
        <v>0</v>
      </c>
      <c r="P9322" t="n">
        <v>0</v>
      </c>
      <c r="Q9322" t="n">
        <v>0</v>
      </c>
      <c r="R9322" s="2" t="inlineStr"/>
    </row>
    <row r="9323" ht="15" customHeight="1">
      <c r="A9323" t="inlineStr">
        <is>
          <t>A 61969-2022</t>
        </is>
      </c>
      <c r="B9323" s="1" t="n">
        <v>44914</v>
      </c>
      <c r="C9323" s="1" t="n">
        <v>45212</v>
      </c>
      <c r="D9323" t="inlineStr">
        <is>
          <t>VÄSTRA GÖTALANDS LÄN</t>
        </is>
      </c>
      <c r="E9323" t="inlineStr">
        <is>
          <t>VÅRGÅRDA</t>
        </is>
      </c>
      <c r="G9323" t="n">
        <v>5.7</v>
      </c>
      <c r="H9323" t="n">
        <v>0</v>
      </c>
      <c r="I9323" t="n">
        <v>0</v>
      </c>
      <c r="J9323" t="n">
        <v>0</v>
      </c>
      <c r="K9323" t="n">
        <v>0</v>
      </c>
      <c r="L9323" t="n">
        <v>0</v>
      </c>
      <c r="M9323" t="n">
        <v>0</v>
      </c>
      <c r="N9323" t="n">
        <v>0</v>
      </c>
      <c r="O9323" t="n">
        <v>0</v>
      </c>
      <c r="P9323" t="n">
        <v>0</v>
      </c>
      <c r="Q9323" t="n">
        <v>0</v>
      </c>
      <c r="R9323" s="2" t="inlineStr"/>
    </row>
    <row r="9324" ht="15" customHeight="1">
      <c r="A9324" t="inlineStr">
        <is>
          <t>A 60993-2022</t>
        </is>
      </c>
      <c r="B9324" s="1" t="n">
        <v>44914</v>
      </c>
      <c r="C9324" s="1" t="n">
        <v>45212</v>
      </c>
      <c r="D9324" t="inlineStr">
        <is>
          <t>VÄSTRA GÖTALANDS LÄN</t>
        </is>
      </c>
      <c r="E9324" t="inlineStr">
        <is>
          <t>MELLERUD</t>
        </is>
      </c>
      <c r="G9324" t="n">
        <v>0.6</v>
      </c>
      <c r="H9324" t="n">
        <v>0</v>
      </c>
      <c r="I9324" t="n">
        <v>0</v>
      </c>
      <c r="J9324" t="n">
        <v>0</v>
      </c>
      <c r="K9324" t="n">
        <v>0</v>
      </c>
      <c r="L9324" t="n">
        <v>0</v>
      </c>
      <c r="M9324" t="n">
        <v>0</v>
      </c>
      <c r="N9324" t="n">
        <v>0</v>
      </c>
      <c r="O9324" t="n">
        <v>0</v>
      </c>
      <c r="P9324" t="n">
        <v>0</v>
      </c>
      <c r="Q9324" t="n">
        <v>0</v>
      </c>
      <c r="R9324" s="2" t="inlineStr"/>
    </row>
    <row r="9325" ht="15" customHeight="1">
      <c r="A9325" t="inlineStr">
        <is>
          <t>A 61974-2022</t>
        </is>
      </c>
      <c r="B9325" s="1" t="n">
        <v>44914</v>
      </c>
      <c r="C9325" s="1" t="n">
        <v>45212</v>
      </c>
      <c r="D9325" t="inlineStr">
        <is>
          <t>VÄSTRA GÖTALANDS LÄN</t>
        </is>
      </c>
      <c r="E9325" t="inlineStr">
        <is>
          <t>TANUM</t>
        </is>
      </c>
      <c r="G9325" t="n">
        <v>2.3</v>
      </c>
      <c r="H9325" t="n">
        <v>0</v>
      </c>
      <c r="I9325" t="n">
        <v>0</v>
      </c>
      <c r="J9325" t="n">
        <v>0</v>
      </c>
      <c r="K9325" t="n">
        <v>0</v>
      </c>
      <c r="L9325" t="n">
        <v>0</v>
      </c>
      <c r="M9325" t="n">
        <v>0</v>
      </c>
      <c r="N9325" t="n">
        <v>0</v>
      </c>
      <c r="O9325" t="n">
        <v>0</v>
      </c>
      <c r="P9325" t="n">
        <v>0</v>
      </c>
      <c r="Q9325" t="n">
        <v>0</v>
      </c>
      <c r="R9325" s="2" t="inlineStr"/>
    </row>
    <row r="9326" ht="15" customHeight="1">
      <c r="A9326" t="inlineStr">
        <is>
          <t>A 60996-2022</t>
        </is>
      </c>
      <c r="B9326" s="1" t="n">
        <v>44914</v>
      </c>
      <c r="C9326" s="1" t="n">
        <v>45212</v>
      </c>
      <c r="D9326" t="inlineStr">
        <is>
          <t>VÄSTRA GÖTALANDS LÄN</t>
        </is>
      </c>
      <c r="E9326" t="inlineStr">
        <is>
          <t>MELLERUD</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61029-2022</t>
        </is>
      </c>
      <c r="B9327" s="1" t="n">
        <v>44914</v>
      </c>
      <c r="C9327" s="1" t="n">
        <v>45212</v>
      </c>
      <c r="D9327" t="inlineStr">
        <is>
          <t>VÄSTRA GÖTALANDS LÄN</t>
        </is>
      </c>
      <c r="E9327" t="inlineStr">
        <is>
          <t>HJO</t>
        </is>
      </c>
      <c r="G9327" t="n">
        <v>28.3</v>
      </c>
      <c r="H9327" t="n">
        <v>0</v>
      </c>
      <c r="I9327" t="n">
        <v>0</v>
      </c>
      <c r="J9327" t="n">
        <v>0</v>
      </c>
      <c r="K9327" t="n">
        <v>0</v>
      </c>
      <c r="L9327" t="n">
        <v>0</v>
      </c>
      <c r="M9327" t="n">
        <v>0</v>
      </c>
      <c r="N9327" t="n">
        <v>0</v>
      </c>
      <c r="O9327" t="n">
        <v>0</v>
      </c>
      <c r="P9327" t="n">
        <v>0</v>
      </c>
      <c r="Q9327" t="n">
        <v>0</v>
      </c>
      <c r="R9327" s="2" t="inlineStr"/>
    </row>
    <row r="9328" ht="15" customHeight="1">
      <c r="A9328" t="inlineStr">
        <is>
          <t>A 61334-2022</t>
        </is>
      </c>
      <c r="B9328" s="1" t="n">
        <v>44915</v>
      </c>
      <c r="C9328" s="1" t="n">
        <v>45212</v>
      </c>
      <c r="D9328" t="inlineStr">
        <is>
          <t>VÄSTRA GÖTALANDS LÄN</t>
        </is>
      </c>
      <c r="E9328" t="inlineStr">
        <is>
          <t>BOLLEBYGD</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61102-2022</t>
        </is>
      </c>
      <c r="B9329" s="1" t="n">
        <v>44915</v>
      </c>
      <c r="C9329" s="1" t="n">
        <v>45212</v>
      </c>
      <c r="D9329" t="inlineStr">
        <is>
          <t>VÄSTRA GÖTALANDS LÄN</t>
        </is>
      </c>
      <c r="E9329" t="inlineStr">
        <is>
          <t>LYSEKIL</t>
        </is>
      </c>
      <c r="G9329" t="n">
        <v>2.7</v>
      </c>
      <c r="H9329" t="n">
        <v>0</v>
      </c>
      <c r="I9329" t="n">
        <v>0</v>
      </c>
      <c r="J9329" t="n">
        <v>0</v>
      </c>
      <c r="K9329" t="n">
        <v>0</v>
      </c>
      <c r="L9329" t="n">
        <v>0</v>
      </c>
      <c r="M9329" t="n">
        <v>0</v>
      </c>
      <c r="N9329" t="n">
        <v>0</v>
      </c>
      <c r="O9329" t="n">
        <v>0</v>
      </c>
      <c r="P9329" t="n">
        <v>0</v>
      </c>
      <c r="Q9329" t="n">
        <v>0</v>
      </c>
      <c r="R9329" s="2" t="inlineStr"/>
    </row>
    <row r="9330" ht="15" customHeight="1">
      <c r="A9330" t="inlineStr">
        <is>
          <t>A 61171-2022</t>
        </is>
      </c>
      <c r="B9330" s="1" t="n">
        <v>44915</v>
      </c>
      <c r="C9330" s="1" t="n">
        <v>45212</v>
      </c>
      <c r="D9330" t="inlineStr">
        <is>
          <t>VÄSTRA GÖTALANDS LÄN</t>
        </is>
      </c>
      <c r="E9330" t="inlineStr">
        <is>
          <t>SVENLJUNGA</t>
        </is>
      </c>
      <c r="G9330" t="n">
        <v>5.4</v>
      </c>
      <c r="H9330" t="n">
        <v>0</v>
      </c>
      <c r="I9330" t="n">
        <v>0</v>
      </c>
      <c r="J9330" t="n">
        <v>0</v>
      </c>
      <c r="K9330" t="n">
        <v>0</v>
      </c>
      <c r="L9330" t="n">
        <v>0</v>
      </c>
      <c r="M9330" t="n">
        <v>0</v>
      </c>
      <c r="N9330" t="n">
        <v>0</v>
      </c>
      <c r="O9330" t="n">
        <v>0</v>
      </c>
      <c r="P9330" t="n">
        <v>0</v>
      </c>
      <c r="Q9330" t="n">
        <v>0</v>
      </c>
      <c r="R9330" s="2" t="inlineStr"/>
    </row>
    <row r="9331" ht="15" customHeight="1">
      <c r="A9331" t="inlineStr">
        <is>
          <t>A 61060-2022</t>
        </is>
      </c>
      <c r="B9331" s="1" t="n">
        <v>44915</v>
      </c>
      <c r="C9331" s="1" t="n">
        <v>45212</v>
      </c>
      <c r="D9331" t="inlineStr">
        <is>
          <t>VÄSTRA GÖTALANDS LÄN</t>
        </is>
      </c>
      <c r="E9331" t="inlineStr">
        <is>
          <t>MELLERUD</t>
        </is>
      </c>
      <c r="G9331" t="n">
        <v>8.4</v>
      </c>
      <c r="H9331" t="n">
        <v>0</v>
      </c>
      <c r="I9331" t="n">
        <v>0</v>
      </c>
      <c r="J9331" t="n">
        <v>0</v>
      </c>
      <c r="K9331" t="n">
        <v>0</v>
      </c>
      <c r="L9331" t="n">
        <v>0</v>
      </c>
      <c r="M9331" t="n">
        <v>0</v>
      </c>
      <c r="N9331" t="n">
        <v>0</v>
      </c>
      <c r="O9331" t="n">
        <v>0</v>
      </c>
      <c r="P9331" t="n">
        <v>0</v>
      </c>
      <c r="Q9331" t="n">
        <v>0</v>
      </c>
      <c r="R9331" s="2" t="inlineStr"/>
    </row>
    <row r="9332" ht="15" customHeight="1">
      <c r="A9332" t="inlineStr">
        <is>
          <t>A 61284-2022</t>
        </is>
      </c>
      <c r="B9332" s="1" t="n">
        <v>44915</v>
      </c>
      <c r="C9332" s="1" t="n">
        <v>45212</v>
      </c>
      <c r="D9332" t="inlineStr">
        <is>
          <t>VÄSTRA GÖTALANDS LÄN</t>
        </is>
      </c>
      <c r="E9332" t="inlineStr">
        <is>
          <t>LILLA EDET</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61623-2022</t>
        </is>
      </c>
      <c r="B9333" s="1" t="n">
        <v>44916</v>
      </c>
      <c r="C9333" s="1" t="n">
        <v>45212</v>
      </c>
      <c r="D9333" t="inlineStr">
        <is>
          <t>VÄSTRA GÖTALANDS LÄN</t>
        </is>
      </c>
      <c r="E9333" t="inlineStr">
        <is>
          <t>ULRICEHAMN</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62529-2022</t>
        </is>
      </c>
      <c r="B9334" s="1" t="n">
        <v>44916</v>
      </c>
      <c r="C9334" s="1" t="n">
        <v>45212</v>
      </c>
      <c r="D9334" t="inlineStr">
        <is>
          <t>VÄSTRA GÖTALANDS LÄN</t>
        </is>
      </c>
      <c r="E9334" t="inlineStr">
        <is>
          <t>BORÅS</t>
        </is>
      </c>
      <c r="G9334" t="n">
        <v>3.4</v>
      </c>
      <c r="H9334" t="n">
        <v>0</v>
      </c>
      <c r="I9334" t="n">
        <v>0</v>
      </c>
      <c r="J9334" t="n">
        <v>0</v>
      </c>
      <c r="K9334" t="n">
        <v>0</v>
      </c>
      <c r="L9334" t="n">
        <v>0</v>
      </c>
      <c r="M9334" t="n">
        <v>0</v>
      </c>
      <c r="N9334" t="n">
        <v>0</v>
      </c>
      <c r="O9334" t="n">
        <v>0</v>
      </c>
      <c r="P9334" t="n">
        <v>0</v>
      </c>
      <c r="Q9334" t="n">
        <v>0</v>
      </c>
      <c r="R9334" s="2" t="inlineStr"/>
    </row>
    <row r="9335" ht="15" customHeight="1">
      <c r="A9335" t="inlineStr">
        <is>
          <t>A 61609-2022</t>
        </is>
      </c>
      <c r="B9335" s="1" t="n">
        <v>44916</v>
      </c>
      <c r="C9335" s="1" t="n">
        <v>45212</v>
      </c>
      <c r="D9335" t="inlineStr">
        <is>
          <t>VÄSTRA GÖTALANDS LÄN</t>
        </is>
      </c>
      <c r="E9335" t="inlineStr">
        <is>
          <t>BORÅS</t>
        </is>
      </c>
      <c r="G9335" t="n">
        <v>1.4</v>
      </c>
      <c r="H9335" t="n">
        <v>0</v>
      </c>
      <c r="I9335" t="n">
        <v>0</v>
      </c>
      <c r="J9335" t="n">
        <v>0</v>
      </c>
      <c r="K9335" t="n">
        <v>0</v>
      </c>
      <c r="L9335" t="n">
        <v>0</v>
      </c>
      <c r="M9335" t="n">
        <v>0</v>
      </c>
      <c r="N9335" t="n">
        <v>0</v>
      </c>
      <c r="O9335" t="n">
        <v>0</v>
      </c>
      <c r="P9335" t="n">
        <v>0</v>
      </c>
      <c r="Q9335" t="n">
        <v>0</v>
      </c>
      <c r="R9335" s="2" t="inlineStr"/>
    </row>
    <row r="9336" ht="15" customHeight="1">
      <c r="A9336" t="inlineStr">
        <is>
          <t>A 61622-2022</t>
        </is>
      </c>
      <c r="B9336" s="1" t="n">
        <v>44916</v>
      </c>
      <c r="C9336" s="1" t="n">
        <v>45212</v>
      </c>
      <c r="D9336" t="inlineStr">
        <is>
          <t>VÄSTRA GÖTALANDS LÄN</t>
        </is>
      </c>
      <c r="E9336" t="inlineStr">
        <is>
          <t>ULRICEHAMN</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61642-2022</t>
        </is>
      </c>
      <c r="B9337" s="1" t="n">
        <v>44916</v>
      </c>
      <c r="C9337" s="1" t="n">
        <v>45212</v>
      </c>
      <c r="D9337" t="inlineStr">
        <is>
          <t>VÄSTRA GÖTALANDS LÄN</t>
        </is>
      </c>
      <c r="E9337" t="inlineStr">
        <is>
          <t>FÄRGELANDA</t>
        </is>
      </c>
      <c r="G9337" t="n">
        <v>9.4</v>
      </c>
      <c r="H9337" t="n">
        <v>0</v>
      </c>
      <c r="I9337" t="n">
        <v>0</v>
      </c>
      <c r="J9337" t="n">
        <v>0</v>
      </c>
      <c r="K9337" t="n">
        <v>0</v>
      </c>
      <c r="L9337" t="n">
        <v>0</v>
      </c>
      <c r="M9337" t="n">
        <v>0</v>
      </c>
      <c r="N9337" t="n">
        <v>0</v>
      </c>
      <c r="O9337" t="n">
        <v>0</v>
      </c>
      <c r="P9337" t="n">
        <v>0</v>
      </c>
      <c r="Q9337" t="n">
        <v>0</v>
      </c>
      <c r="R9337" s="2" t="inlineStr"/>
    </row>
    <row r="9338" ht="15" customHeight="1">
      <c r="A9338" t="inlineStr">
        <is>
          <t>A 62523-2022</t>
        </is>
      </c>
      <c r="B9338" s="1" t="n">
        <v>44916</v>
      </c>
      <c r="C9338" s="1" t="n">
        <v>45212</v>
      </c>
      <c r="D9338" t="inlineStr">
        <is>
          <t>VÄSTRA GÖTALANDS LÄN</t>
        </is>
      </c>
      <c r="E9338" t="inlineStr">
        <is>
          <t>ALINGSÅS</t>
        </is>
      </c>
      <c r="G9338" t="n">
        <v>7</v>
      </c>
      <c r="H9338" t="n">
        <v>0</v>
      </c>
      <c r="I9338" t="n">
        <v>0</v>
      </c>
      <c r="J9338" t="n">
        <v>0</v>
      </c>
      <c r="K9338" t="n">
        <v>0</v>
      </c>
      <c r="L9338" t="n">
        <v>0</v>
      </c>
      <c r="M9338" t="n">
        <v>0</v>
      </c>
      <c r="N9338" t="n">
        <v>0</v>
      </c>
      <c r="O9338" t="n">
        <v>0</v>
      </c>
      <c r="P9338" t="n">
        <v>0</v>
      </c>
      <c r="Q9338" t="n">
        <v>0</v>
      </c>
      <c r="R9338" s="2" t="inlineStr"/>
    </row>
    <row r="9339" ht="15" customHeight="1">
      <c r="A9339" t="inlineStr">
        <is>
          <t>A 62532-2022</t>
        </is>
      </c>
      <c r="B9339" s="1" t="n">
        <v>44916</v>
      </c>
      <c r="C9339" s="1" t="n">
        <v>45212</v>
      </c>
      <c r="D9339" t="inlineStr">
        <is>
          <t>VÄSTRA GÖTALANDS LÄN</t>
        </is>
      </c>
      <c r="E9339" t="inlineStr">
        <is>
          <t>BORÅS</t>
        </is>
      </c>
      <c r="G9339" t="n">
        <v>9.800000000000001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62316-2022</t>
        </is>
      </c>
      <c r="B9340" s="1" t="n">
        <v>44916</v>
      </c>
      <c r="C9340" s="1" t="n">
        <v>45212</v>
      </c>
      <c r="D9340" t="inlineStr">
        <is>
          <t>VÄSTRA GÖTALANDS LÄN</t>
        </is>
      </c>
      <c r="E9340" t="inlineStr">
        <is>
          <t>BENGTSFORS</t>
        </is>
      </c>
      <c r="F9340" t="inlineStr">
        <is>
          <t>Bergvik skog väst AB</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62649-2022</t>
        </is>
      </c>
      <c r="B9341" s="1" t="n">
        <v>44917</v>
      </c>
      <c r="C9341" s="1" t="n">
        <v>45212</v>
      </c>
      <c r="D9341" t="inlineStr">
        <is>
          <t>VÄSTRA GÖTALANDS LÄN</t>
        </is>
      </c>
      <c r="E9341" t="inlineStr">
        <is>
          <t>BORÅS</t>
        </is>
      </c>
      <c r="G9341" t="n">
        <v>6.2</v>
      </c>
      <c r="H9341" t="n">
        <v>0</v>
      </c>
      <c r="I9341" t="n">
        <v>0</v>
      </c>
      <c r="J9341" t="n">
        <v>0</v>
      </c>
      <c r="K9341" t="n">
        <v>0</v>
      </c>
      <c r="L9341" t="n">
        <v>0</v>
      </c>
      <c r="M9341" t="n">
        <v>0</v>
      </c>
      <c r="N9341" t="n">
        <v>0</v>
      </c>
      <c r="O9341" t="n">
        <v>0</v>
      </c>
      <c r="P9341" t="n">
        <v>0</v>
      </c>
      <c r="Q9341" t="n">
        <v>0</v>
      </c>
      <c r="R9341" s="2" t="inlineStr"/>
    </row>
    <row r="9342" ht="15" customHeight="1">
      <c r="A9342" t="inlineStr">
        <is>
          <t>A 61716-2022</t>
        </is>
      </c>
      <c r="B9342" s="1" t="n">
        <v>44917</v>
      </c>
      <c r="C9342" s="1" t="n">
        <v>45212</v>
      </c>
      <c r="D9342" t="inlineStr">
        <is>
          <t>VÄSTRA GÖTALANDS LÄN</t>
        </is>
      </c>
      <c r="E9342" t="inlineStr">
        <is>
          <t>MARIESTAD</t>
        </is>
      </c>
      <c r="G9342" t="n">
        <v>2.9</v>
      </c>
      <c r="H9342" t="n">
        <v>0</v>
      </c>
      <c r="I9342" t="n">
        <v>0</v>
      </c>
      <c r="J9342" t="n">
        <v>0</v>
      </c>
      <c r="K9342" t="n">
        <v>0</v>
      </c>
      <c r="L9342" t="n">
        <v>0</v>
      </c>
      <c r="M9342" t="n">
        <v>0</v>
      </c>
      <c r="N9342" t="n">
        <v>0</v>
      </c>
      <c r="O9342" t="n">
        <v>0</v>
      </c>
      <c r="P9342" t="n">
        <v>0</v>
      </c>
      <c r="Q9342" t="n">
        <v>0</v>
      </c>
      <c r="R9342" s="2" t="inlineStr"/>
    </row>
    <row r="9343" ht="15" customHeight="1">
      <c r="A9343" t="inlineStr">
        <is>
          <t>A 61758-2022</t>
        </is>
      </c>
      <c r="B9343" s="1" t="n">
        <v>44917</v>
      </c>
      <c r="C9343" s="1" t="n">
        <v>45212</v>
      </c>
      <c r="D9343" t="inlineStr">
        <is>
          <t>VÄSTRA GÖTALANDS LÄN</t>
        </is>
      </c>
      <c r="E9343" t="inlineStr">
        <is>
          <t>BENGTSFORS</t>
        </is>
      </c>
      <c r="G9343" t="n">
        <v>5.4</v>
      </c>
      <c r="H9343" t="n">
        <v>0</v>
      </c>
      <c r="I9343" t="n">
        <v>0</v>
      </c>
      <c r="J9343" t="n">
        <v>0</v>
      </c>
      <c r="K9343" t="n">
        <v>0</v>
      </c>
      <c r="L9343" t="n">
        <v>0</v>
      </c>
      <c r="M9343" t="n">
        <v>0</v>
      </c>
      <c r="N9343" t="n">
        <v>0</v>
      </c>
      <c r="O9343" t="n">
        <v>0</v>
      </c>
      <c r="P9343" t="n">
        <v>0</v>
      </c>
      <c r="Q9343" t="n">
        <v>0</v>
      </c>
      <c r="R9343" s="2" t="inlineStr"/>
    </row>
    <row r="9344" ht="15" customHeight="1">
      <c r="A9344" t="inlineStr">
        <is>
          <t>A 61804-2022</t>
        </is>
      </c>
      <c r="B9344" s="1" t="n">
        <v>44917</v>
      </c>
      <c r="C9344" s="1" t="n">
        <v>45212</v>
      </c>
      <c r="D9344" t="inlineStr">
        <is>
          <t>VÄSTRA GÖTALANDS LÄN</t>
        </is>
      </c>
      <c r="E9344" t="inlineStr">
        <is>
          <t>SKÖVDE</t>
        </is>
      </c>
      <c r="F9344" t="inlineStr">
        <is>
          <t>Kommuner</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61863-2022</t>
        </is>
      </c>
      <c r="B9345" s="1" t="n">
        <v>44917</v>
      </c>
      <c r="C9345" s="1" t="n">
        <v>45212</v>
      </c>
      <c r="D9345" t="inlineStr">
        <is>
          <t>VÄSTRA GÖTALANDS LÄN</t>
        </is>
      </c>
      <c r="E9345" t="inlineStr">
        <is>
          <t>LILLA EDET</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61853-2022</t>
        </is>
      </c>
      <c r="B9346" s="1" t="n">
        <v>44917</v>
      </c>
      <c r="C9346" s="1" t="n">
        <v>45212</v>
      </c>
      <c r="D9346" t="inlineStr">
        <is>
          <t>VÄSTRA GÖTALANDS LÄN</t>
        </is>
      </c>
      <c r="E9346" t="inlineStr">
        <is>
          <t>ESSUNGA</t>
        </is>
      </c>
      <c r="G9346" t="n">
        <v>6</v>
      </c>
      <c r="H9346" t="n">
        <v>0</v>
      </c>
      <c r="I9346" t="n">
        <v>0</v>
      </c>
      <c r="J9346" t="n">
        <v>0</v>
      </c>
      <c r="K9346" t="n">
        <v>0</v>
      </c>
      <c r="L9346" t="n">
        <v>0</v>
      </c>
      <c r="M9346" t="n">
        <v>0</v>
      </c>
      <c r="N9346" t="n">
        <v>0</v>
      </c>
      <c r="O9346" t="n">
        <v>0</v>
      </c>
      <c r="P9346" t="n">
        <v>0</v>
      </c>
      <c r="Q9346" t="n">
        <v>0</v>
      </c>
      <c r="R9346" s="2" t="inlineStr"/>
    </row>
    <row r="9347" ht="15" customHeight="1">
      <c r="A9347" t="inlineStr">
        <is>
          <t>A 62021-2022</t>
        </is>
      </c>
      <c r="B9347" s="1" t="n">
        <v>44918</v>
      </c>
      <c r="C9347" s="1" t="n">
        <v>45212</v>
      </c>
      <c r="D9347" t="inlineStr">
        <is>
          <t>VÄSTRA GÖTALANDS LÄN</t>
        </is>
      </c>
      <c r="E9347" t="inlineStr">
        <is>
          <t>FÄRGELANDA</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62097-2022</t>
        </is>
      </c>
      <c r="B9348" s="1" t="n">
        <v>44920</v>
      </c>
      <c r="C9348" s="1" t="n">
        <v>45212</v>
      </c>
      <c r="D9348" t="inlineStr">
        <is>
          <t>VÄSTRA GÖTALANDS LÄN</t>
        </is>
      </c>
      <c r="E9348" t="inlineStr">
        <is>
          <t>VÅRGÅRDA</t>
        </is>
      </c>
      <c r="G9348" t="n">
        <v>2.5</v>
      </c>
      <c r="H9348" t="n">
        <v>0</v>
      </c>
      <c r="I9348" t="n">
        <v>0</v>
      </c>
      <c r="J9348" t="n">
        <v>0</v>
      </c>
      <c r="K9348" t="n">
        <v>0</v>
      </c>
      <c r="L9348" t="n">
        <v>0</v>
      </c>
      <c r="M9348" t="n">
        <v>0</v>
      </c>
      <c r="N9348" t="n">
        <v>0</v>
      </c>
      <c r="O9348" t="n">
        <v>0</v>
      </c>
      <c r="P9348" t="n">
        <v>0</v>
      </c>
      <c r="Q9348" t="n">
        <v>0</v>
      </c>
      <c r="R9348" s="2" t="inlineStr"/>
    </row>
    <row r="9349" ht="15" customHeight="1">
      <c r="A9349" t="inlineStr">
        <is>
          <t>A 62233-2022</t>
        </is>
      </c>
      <c r="B9349" s="1" t="n">
        <v>44922</v>
      </c>
      <c r="C9349" s="1" t="n">
        <v>45212</v>
      </c>
      <c r="D9349" t="inlineStr">
        <is>
          <t>VÄSTRA GÖTALANDS LÄN</t>
        </is>
      </c>
      <c r="E9349" t="inlineStr">
        <is>
          <t>HJO</t>
        </is>
      </c>
      <c r="G9349" t="n">
        <v>5</v>
      </c>
      <c r="H9349" t="n">
        <v>0</v>
      </c>
      <c r="I9349" t="n">
        <v>0</v>
      </c>
      <c r="J9349" t="n">
        <v>0</v>
      </c>
      <c r="K9349" t="n">
        <v>0</v>
      </c>
      <c r="L9349" t="n">
        <v>0</v>
      </c>
      <c r="M9349" t="n">
        <v>0</v>
      </c>
      <c r="N9349" t="n">
        <v>0</v>
      </c>
      <c r="O9349" t="n">
        <v>0</v>
      </c>
      <c r="P9349" t="n">
        <v>0</v>
      </c>
      <c r="Q9349" t="n">
        <v>0</v>
      </c>
      <c r="R9349" s="2" t="inlineStr"/>
    </row>
    <row r="9350" ht="15" customHeight="1">
      <c r="A9350" t="inlineStr">
        <is>
          <t>A 62221-2022</t>
        </is>
      </c>
      <c r="B9350" s="1" t="n">
        <v>44922</v>
      </c>
      <c r="C9350" s="1" t="n">
        <v>45212</v>
      </c>
      <c r="D9350" t="inlineStr">
        <is>
          <t>VÄSTRA GÖTALANDS LÄN</t>
        </is>
      </c>
      <c r="E9350" t="inlineStr">
        <is>
          <t>TIBRO</t>
        </is>
      </c>
      <c r="G9350" t="n">
        <v>3.1</v>
      </c>
      <c r="H9350" t="n">
        <v>0</v>
      </c>
      <c r="I9350" t="n">
        <v>0</v>
      </c>
      <c r="J9350" t="n">
        <v>0</v>
      </c>
      <c r="K9350" t="n">
        <v>0</v>
      </c>
      <c r="L9350" t="n">
        <v>0</v>
      </c>
      <c r="M9350" t="n">
        <v>0</v>
      </c>
      <c r="N9350" t="n">
        <v>0</v>
      </c>
      <c r="O9350" t="n">
        <v>0</v>
      </c>
      <c r="P9350" t="n">
        <v>0</v>
      </c>
      <c r="Q9350" t="n">
        <v>0</v>
      </c>
      <c r="R9350" s="2" t="inlineStr"/>
    </row>
    <row r="9351" ht="15" customHeight="1">
      <c r="A9351" t="inlineStr">
        <is>
          <t>A 62273-2022</t>
        </is>
      </c>
      <c r="B9351" s="1" t="n">
        <v>44923</v>
      </c>
      <c r="C9351" s="1" t="n">
        <v>45212</v>
      </c>
      <c r="D9351" t="inlineStr">
        <is>
          <t>VÄSTRA GÖTALANDS LÄN</t>
        </is>
      </c>
      <c r="E9351" t="inlineStr">
        <is>
          <t>TROLLHÄTTAN</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62294-2022</t>
        </is>
      </c>
      <c r="B9352" s="1" t="n">
        <v>44923</v>
      </c>
      <c r="C9352" s="1" t="n">
        <v>45212</v>
      </c>
      <c r="D9352" t="inlineStr">
        <is>
          <t>VÄSTRA GÖTALANDS LÄN</t>
        </is>
      </c>
      <c r="E9352" t="inlineStr">
        <is>
          <t>TROLLHÄTTAN</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62348-2022</t>
        </is>
      </c>
      <c r="B9353" s="1" t="n">
        <v>44923</v>
      </c>
      <c r="C9353" s="1" t="n">
        <v>45212</v>
      </c>
      <c r="D9353" t="inlineStr">
        <is>
          <t>VÄSTRA GÖTALANDS LÄN</t>
        </is>
      </c>
      <c r="E9353" t="inlineStr">
        <is>
          <t>ESSUNGA</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62359-2022</t>
        </is>
      </c>
      <c r="B9354" s="1" t="n">
        <v>44923</v>
      </c>
      <c r="C9354" s="1" t="n">
        <v>45212</v>
      </c>
      <c r="D9354" t="inlineStr">
        <is>
          <t>VÄSTRA GÖTALANDS LÄN</t>
        </is>
      </c>
      <c r="E9354" t="inlineStr">
        <is>
          <t>TÖREBODA</t>
        </is>
      </c>
      <c r="G9354" t="n">
        <v>3.5</v>
      </c>
      <c r="H9354" t="n">
        <v>0</v>
      </c>
      <c r="I9354" t="n">
        <v>0</v>
      </c>
      <c r="J9354" t="n">
        <v>0</v>
      </c>
      <c r="K9354" t="n">
        <v>0</v>
      </c>
      <c r="L9354" t="n">
        <v>0</v>
      </c>
      <c r="M9354" t="n">
        <v>0</v>
      </c>
      <c r="N9354" t="n">
        <v>0</v>
      </c>
      <c r="O9354" t="n">
        <v>0</v>
      </c>
      <c r="P9354" t="n">
        <v>0</v>
      </c>
      <c r="Q9354" t="n">
        <v>0</v>
      </c>
      <c r="R9354" s="2" t="inlineStr"/>
    </row>
    <row r="9355" ht="15" customHeight="1">
      <c r="A9355" t="inlineStr">
        <is>
          <t>A 362-2023</t>
        </is>
      </c>
      <c r="B9355" s="1" t="n">
        <v>44923</v>
      </c>
      <c r="C9355" s="1" t="n">
        <v>45212</v>
      </c>
      <c r="D9355" t="inlineStr">
        <is>
          <t>VÄSTRA GÖTALANDS LÄN</t>
        </is>
      </c>
      <c r="E9355" t="inlineStr">
        <is>
          <t>GULLSPÅNG</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62356-2022</t>
        </is>
      </c>
      <c r="B9356" s="1" t="n">
        <v>44923</v>
      </c>
      <c r="C9356" s="1" t="n">
        <v>45212</v>
      </c>
      <c r="D9356" t="inlineStr">
        <is>
          <t>VÄSTRA GÖTALANDS LÄN</t>
        </is>
      </c>
      <c r="E9356" t="inlineStr">
        <is>
          <t>TRANEMO</t>
        </is>
      </c>
      <c r="G9356" t="n">
        <v>4.3</v>
      </c>
      <c r="H9356" t="n">
        <v>0</v>
      </c>
      <c r="I9356" t="n">
        <v>0</v>
      </c>
      <c r="J9356" t="n">
        <v>0</v>
      </c>
      <c r="K9356" t="n">
        <v>0</v>
      </c>
      <c r="L9356" t="n">
        <v>0</v>
      </c>
      <c r="M9356" t="n">
        <v>0</v>
      </c>
      <c r="N9356" t="n">
        <v>0</v>
      </c>
      <c r="O9356" t="n">
        <v>0</v>
      </c>
      <c r="P9356" t="n">
        <v>0</v>
      </c>
      <c r="Q9356" t="n">
        <v>0</v>
      </c>
      <c r="R9356" s="2" t="inlineStr"/>
    </row>
    <row r="9357" ht="15" customHeight="1">
      <c r="A9357" t="inlineStr">
        <is>
          <t>A 62569-2022</t>
        </is>
      </c>
      <c r="B9357" s="1" t="n">
        <v>44924</v>
      </c>
      <c r="C9357" s="1" t="n">
        <v>45212</v>
      </c>
      <c r="D9357" t="inlineStr">
        <is>
          <t>VÄSTRA GÖTALANDS LÄN</t>
        </is>
      </c>
      <c r="E9357" t="inlineStr">
        <is>
          <t>LIDKÖPING</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1956-2023</t>
        </is>
      </c>
      <c r="B9358" s="1" t="n">
        <v>44924</v>
      </c>
      <c r="C9358" s="1" t="n">
        <v>45212</v>
      </c>
      <c r="D9358" t="inlineStr">
        <is>
          <t>VÄSTRA GÖTALANDS LÄN</t>
        </is>
      </c>
      <c r="E9358" t="inlineStr">
        <is>
          <t>UDDEVALLA</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62493-2022</t>
        </is>
      </c>
      <c r="B9359" s="1" t="n">
        <v>44924</v>
      </c>
      <c r="C9359" s="1" t="n">
        <v>45212</v>
      </c>
      <c r="D9359" t="inlineStr">
        <is>
          <t>VÄSTRA GÖTALANDS LÄN</t>
        </is>
      </c>
      <c r="E9359" t="inlineStr">
        <is>
          <t>SKÖVDE</t>
        </is>
      </c>
      <c r="G9359" t="n">
        <v>3.9</v>
      </c>
      <c r="H9359" t="n">
        <v>0</v>
      </c>
      <c r="I9359" t="n">
        <v>0</v>
      </c>
      <c r="J9359" t="n">
        <v>0</v>
      </c>
      <c r="K9359" t="n">
        <v>0</v>
      </c>
      <c r="L9359" t="n">
        <v>0</v>
      </c>
      <c r="M9359" t="n">
        <v>0</v>
      </c>
      <c r="N9359" t="n">
        <v>0</v>
      </c>
      <c r="O9359" t="n">
        <v>0</v>
      </c>
      <c r="P9359" t="n">
        <v>0</v>
      </c>
      <c r="Q9359" t="n">
        <v>0</v>
      </c>
      <c r="R9359" s="2" t="inlineStr"/>
    </row>
    <row r="9360" ht="15" customHeight="1">
      <c r="A9360" t="inlineStr">
        <is>
          <t>A 62629-2022</t>
        </is>
      </c>
      <c r="B9360" s="1" t="n">
        <v>44925</v>
      </c>
      <c r="C9360" s="1" t="n">
        <v>45212</v>
      </c>
      <c r="D9360" t="inlineStr">
        <is>
          <t>VÄSTRA GÖTALANDS LÄN</t>
        </is>
      </c>
      <c r="E9360" t="inlineStr">
        <is>
          <t>LIDKÖPING</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594-2023</t>
        </is>
      </c>
      <c r="B9361" s="1" t="n">
        <v>44925</v>
      </c>
      <c r="C9361" s="1" t="n">
        <v>45212</v>
      </c>
      <c r="D9361" t="inlineStr">
        <is>
          <t>VÄSTRA GÖTALANDS LÄN</t>
        </is>
      </c>
      <c r="E9361" t="inlineStr">
        <is>
          <t>TANUM</t>
        </is>
      </c>
      <c r="G9361" t="n">
        <v>1</v>
      </c>
      <c r="H9361" t="n">
        <v>0</v>
      </c>
      <c r="I9361" t="n">
        <v>0</v>
      </c>
      <c r="J9361" t="n">
        <v>0</v>
      </c>
      <c r="K9361" t="n">
        <v>0</v>
      </c>
      <c r="L9361" t="n">
        <v>0</v>
      </c>
      <c r="M9361" t="n">
        <v>0</v>
      </c>
      <c r="N9361" t="n">
        <v>0</v>
      </c>
      <c r="O9361" t="n">
        <v>0</v>
      </c>
      <c r="P9361" t="n">
        <v>0</v>
      </c>
      <c r="Q9361" t="n">
        <v>0</v>
      </c>
      <c r="R9361" s="2" t="inlineStr"/>
    </row>
    <row r="9362" ht="15" customHeight="1">
      <c r="A9362" t="inlineStr">
        <is>
          <t>A 62589-2022</t>
        </is>
      </c>
      <c r="B9362" s="1" t="n">
        <v>44925</v>
      </c>
      <c r="C9362" s="1" t="n">
        <v>45212</v>
      </c>
      <c r="D9362" t="inlineStr">
        <is>
          <t>VÄSTRA GÖTALANDS LÄN</t>
        </is>
      </c>
      <c r="E9362" t="inlineStr">
        <is>
          <t>VÅRGÅRDA</t>
        </is>
      </c>
      <c r="G9362" t="n">
        <v>9.300000000000001</v>
      </c>
      <c r="H9362" t="n">
        <v>0</v>
      </c>
      <c r="I9362" t="n">
        <v>0</v>
      </c>
      <c r="J9362" t="n">
        <v>0</v>
      </c>
      <c r="K9362" t="n">
        <v>0</v>
      </c>
      <c r="L9362" t="n">
        <v>0</v>
      </c>
      <c r="M9362" t="n">
        <v>0</v>
      </c>
      <c r="N9362" t="n">
        <v>0</v>
      </c>
      <c r="O9362" t="n">
        <v>0</v>
      </c>
      <c r="P9362" t="n">
        <v>0</v>
      </c>
      <c r="Q9362" t="n">
        <v>0</v>
      </c>
      <c r="R9362" s="2" t="inlineStr"/>
    </row>
    <row r="9363" ht="15" customHeight="1">
      <c r="A9363" t="inlineStr">
        <is>
          <t>A 62625-2022</t>
        </is>
      </c>
      <c r="B9363" s="1" t="n">
        <v>44925</v>
      </c>
      <c r="C9363" s="1" t="n">
        <v>45212</v>
      </c>
      <c r="D9363" t="inlineStr">
        <is>
          <t>VÄSTRA GÖTALANDS LÄN</t>
        </is>
      </c>
      <c r="E9363" t="inlineStr">
        <is>
          <t>LIDKÖPING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62688-2022</t>
        </is>
      </c>
      <c r="B9364" s="1" t="n">
        <v>44925</v>
      </c>
      <c r="C9364" s="1" t="n">
        <v>45212</v>
      </c>
      <c r="D9364" t="inlineStr">
        <is>
          <t>VÄSTRA GÖTALANDS LÄN</t>
        </is>
      </c>
      <c r="E9364" t="inlineStr">
        <is>
          <t>KUNGÄLV</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615-2023</t>
        </is>
      </c>
      <c r="B9365" s="1" t="n">
        <v>44925</v>
      </c>
      <c r="C9365" s="1" t="n">
        <v>45212</v>
      </c>
      <c r="D9365" t="inlineStr">
        <is>
          <t>VÄSTRA GÖTALANDS LÄN</t>
        </is>
      </c>
      <c r="E9365" t="inlineStr">
        <is>
          <t>STRÖMSTAD</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607-2023</t>
        </is>
      </c>
      <c r="B9366" s="1" t="n">
        <v>44925</v>
      </c>
      <c r="C9366" s="1" t="n">
        <v>45212</v>
      </c>
      <c r="D9366" t="inlineStr">
        <is>
          <t>VÄSTRA GÖTALANDS LÄN</t>
        </is>
      </c>
      <c r="E9366" t="inlineStr">
        <is>
          <t>TANUM</t>
        </is>
      </c>
      <c r="G9366" t="n">
        <v>1.4</v>
      </c>
      <c r="H9366" t="n">
        <v>0</v>
      </c>
      <c r="I9366" t="n">
        <v>0</v>
      </c>
      <c r="J9366" t="n">
        <v>0</v>
      </c>
      <c r="K9366" t="n">
        <v>0</v>
      </c>
      <c r="L9366" t="n">
        <v>0</v>
      </c>
      <c r="M9366" t="n">
        <v>0</v>
      </c>
      <c r="N9366" t="n">
        <v>0</v>
      </c>
      <c r="O9366" t="n">
        <v>0</v>
      </c>
      <c r="P9366" t="n">
        <v>0</v>
      </c>
      <c r="Q9366" t="n">
        <v>0</v>
      </c>
      <c r="R9366" s="2" t="inlineStr"/>
    </row>
    <row r="9367" ht="15" customHeight="1">
      <c r="A9367" t="inlineStr">
        <is>
          <t>A 681-2023</t>
        </is>
      </c>
      <c r="B9367" s="1" t="n">
        <v>44925</v>
      </c>
      <c r="C9367" s="1" t="n">
        <v>45212</v>
      </c>
      <c r="D9367" t="inlineStr">
        <is>
          <t>VÄSTRA GÖTALANDS LÄN</t>
        </is>
      </c>
      <c r="E9367" t="inlineStr">
        <is>
          <t>HERRLJUNGA</t>
        </is>
      </c>
      <c r="G9367" t="n">
        <v>3</v>
      </c>
      <c r="H9367" t="n">
        <v>0</v>
      </c>
      <c r="I9367" t="n">
        <v>0</v>
      </c>
      <c r="J9367" t="n">
        <v>0</v>
      </c>
      <c r="K9367" t="n">
        <v>0</v>
      </c>
      <c r="L9367" t="n">
        <v>0</v>
      </c>
      <c r="M9367" t="n">
        <v>0</v>
      </c>
      <c r="N9367" t="n">
        <v>0</v>
      </c>
      <c r="O9367" t="n">
        <v>0</v>
      </c>
      <c r="P9367" t="n">
        <v>0</v>
      </c>
      <c r="Q9367" t="n">
        <v>0</v>
      </c>
      <c r="R9367" s="2" t="inlineStr"/>
    </row>
    <row r="9368" ht="15" customHeight="1">
      <c r="A9368" t="inlineStr">
        <is>
          <t>A 247-2023</t>
        </is>
      </c>
      <c r="B9368" s="1" t="n">
        <v>44928</v>
      </c>
      <c r="C9368" s="1" t="n">
        <v>45212</v>
      </c>
      <c r="D9368" t="inlineStr">
        <is>
          <t>VÄSTRA GÖTALANDS LÄN</t>
        </is>
      </c>
      <c r="E9368" t="inlineStr">
        <is>
          <t>FALKÖPING</t>
        </is>
      </c>
      <c r="G9368" t="n">
        <v>1.9</v>
      </c>
      <c r="H9368" t="n">
        <v>0</v>
      </c>
      <c r="I9368" t="n">
        <v>0</v>
      </c>
      <c r="J9368" t="n">
        <v>0</v>
      </c>
      <c r="K9368" t="n">
        <v>0</v>
      </c>
      <c r="L9368" t="n">
        <v>0</v>
      </c>
      <c r="M9368" t="n">
        <v>0</v>
      </c>
      <c r="N9368" t="n">
        <v>0</v>
      </c>
      <c r="O9368" t="n">
        <v>0</v>
      </c>
      <c r="P9368" t="n">
        <v>0</v>
      </c>
      <c r="Q9368" t="n">
        <v>0</v>
      </c>
      <c r="R9368" s="2" t="inlineStr"/>
    </row>
    <row r="9369" ht="15" customHeight="1">
      <c r="A9369" t="inlineStr">
        <is>
          <t>A 148-2023</t>
        </is>
      </c>
      <c r="B9369" s="1" t="n">
        <v>44928</v>
      </c>
      <c r="C9369" s="1" t="n">
        <v>45212</v>
      </c>
      <c r="D9369" t="inlineStr">
        <is>
          <t>VÄSTRA GÖTALANDS LÄN</t>
        </is>
      </c>
      <c r="E9369" t="inlineStr">
        <is>
          <t>FÄRGELANDA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240-2023</t>
        </is>
      </c>
      <c r="B9370" s="1" t="n">
        <v>44928</v>
      </c>
      <c r="C9370" s="1" t="n">
        <v>45212</v>
      </c>
      <c r="D9370" t="inlineStr">
        <is>
          <t>VÄSTRA GÖTALANDS LÄN</t>
        </is>
      </c>
      <c r="E9370" t="inlineStr">
        <is>
          <t>UDDEVALLA</t>
        </is>
      </c>
      <c r="G9370" t="n">
        <v>0.7</v>
      </c>
      <c r="H9370" t="n">
        <v>0</v>
      </c>
      <c r="I9370" t="n">
        <v>0</v>
      </c>
      <c r="J9370" t="n">
        <v>0</v>
      </c>
      <c r="K9370" t="n">
        <v>0</v>
      </c>
      <c r="L9370" t="n">
        <v>0</v>
      </c>
      <c r="M9370" t="n">
        <v>0</v>
      </c>
      <c r="N9370" t="n">
        <v>0</v>
      </c>
      <c r="O9370" t="n">
        <v>0</v>
      </c>
      <c r="P9370" t="n">
        <v>0</v>
      </c>
      <c r="Q9370" t="n">
        <v>0</v>
      </c>
      <c r="R9370" s="2" t="inlineStr"/>
    </row>
    <row r="9371" ht="15" customHeight="1">
      <c r="A9371" t="inlineStr">
        <is>
          <t>A 248-2023</t>
        </is>
      </c>
      <c r="B9371" s="1" t="n">
        <v>44928</v>
      </c>
      <c r="C9371" s="1" t="n">
        <v>45212</v>
      </c>
      <c r="D9371" t="inlineStr">
        <is>
          <t>VÄSTRA GÖTALANDS LÄN</t>
        </is>
      </c>
      <c r="E9371" t="inlineStr">
        <is>
          <t>FALKÖPING</t>
        </is>
      </c>
      <c r="G9371" t="n">
        <v>6.4</v>
      </c>
      <c r="H9371" t="n">
        <v>0</v>
      </c>
      <c r="I9371" t="n">
        <v>0</v>
      </c>
      <c r="J9371" t="n">
        <v>0</v>
      </c>
      <c r="K9371" t="n">
        <v>0</v>
      </c>
      <c r="L9371" t="n">
        <v>0</v>
      </c>
      <c r="M9371" t="n">
        <v>0</v>
      </c>
      <c r="N9371" t="n">
        <v>0</v>
      </c>
      <c r="O9371" t="n">
        <v>0</v>
      </c>
      <c r="P9371" t="n">
        <v>0</v>
      </c>
      <c r="Q9371" t="n">
        <v>0</v>
      </c>
      <c r="R9371" s="2" t="inlineStr"/>
    </row>
    <row r="9372" ht="15" customHeight="1">
      <c r="A9372" t="inlineStr">
        <is>
          <t>A 826-2023</t>
        </is>
      </c>
      <c r="B9372" s="1" t="n">
        <v>44928</v>
      </c>
      <c r="C9372" s="1" t="n">
        <v>45212</v>
      </c>
      <c r="D9372" t="inlineStr">
        <is>
          <t>VÄSTRA GÖTALANDS LÄN</t>
        </is>
      </c>
      <c r="E9372" t="inlineStr">
        <is>
          <t>MARK</t>
        </is>
      </c>
      <c r="G9372" t="n">
        <v>1.1</v>
      </c>
      <c r="H9372" t="n">
        <v>0</v>
      </c>
      <c r="I9372" t="n">
        <v>0</v>
      </c>
      <c r="J9372" t="n">
        <v>0</v>
      </c>
      <c r="K9372" t="n">
        <v>0</v>
      </c>
      <c r="L9372" t="n">
        <v>0</v>
      </c>
      <c r="M9372" t="n">
        <v>0</v>
      </c>
      <c r="N9372" t="n">
        <v>0</v>
      </c>
      <c r="O9372" t="n">
        <v>0</v>
      </c>
      <c r="P9372" t="n">
        <v>0</v>
      </c>
      <c r="Q9372" t="n">
        <v>0</v>
      </c>
      <c r="R9372" s="2" t="inlineStr"/>
    </row>
    <row r="9373" ht="15" customHeight="1">
      <c r="A9373" t="inlineStr">
        <is>
          <t>A 154-2023</t>
        </is>
      </c>
      <c r="B9373" s="1" t="n">
        <v>44928</v>
      </c>
      <c r="C9373" s="1" t="n">
        <v>45212</v>
      </c>
      <c r="D9373" t="inlineStr">
        <is>
          <t>VÄSTRA GÖTALANDS LÄN</t>
        </is>
      </c>
      <c r="E9373" t="inlineStr">
        <is>
          <t>FÄRGELANDA</t>
        </is>
      </c>
      <c r="G9373" t="n">
        <v>4</v>
      </c>
      <c r="H9373" t="n">
        <v>0</v>
      </c>
      <c r="I9373" t="n">
        <v>0</v>
      </c>
      <c r="J9373" t="n">
        <v>0</v>
      </c>
      <c r="K9373" t="n">
        <v>0</v>
      </c>
      <c r="L9373" t="n">
        <v>0</v>
      </c>
      <c r="M9373" t="n">
        <v>0</v>
      </c>
      <c r="N9373" t="n">
        <v>0</v>
      </c>
      <c r="O9373" t="n">
        <v>0</v>
      </c>
      <c r="P9373" t="n">
        <v>0</v>
      </c>
      <c r="Q9373" t="n">
        <v>0</v>
      </c>
      <c r="R9373" s="2" t="inlineStr"/>
    </row>
    <row r="9374" ht="15" customHeight="1">
      <c r="A9374" t="inlineStr">
        <is>
          <t>A 40-2023</t>
        </is>
      </c>
      <c r="B9374" s="1" t="n">
        <v>44928</v>
      </c>
      <c r="C9374" s="1" t="n">
        <v>45212</v>
      </c>
      <c r="D9374" t="inlineStr">
        <is>
          <t>VÄSTRA GÖTALANDS LÄN</t>
        </is>
      </c>
      <c r="E9374" t="inlineStr">
        <is>
          <t>STENUNGSUND</t>
        </is>
      </c>
      <c r="G9374" t="n">
        <v>2.6</v>
      </c>
      <c r="H9374" t="n">
        <v>0</v>
      </c>
      <c r="I9374" t="n">
        <v>0</v>
      </c>
      <c r="J9374" t="n">
        <v>0</v>
      </c>
      <c r="K9374" t="n">
        <v>0</v>
      </c>
      <c r="L9374" t="n">
        <v>0</v>
      </c>
      <c r="M9374" t="n">
        <v>0</v>
      </c>
      <c r="N9374" t="n">
        <v>0</v>
      </c>
      <c r="O9374" t="n">
        <v>0</v>
      </c>
      <c r="P9374" t="n">
        <v>0</v>
      </c>
      <c r="Q9374" t="n">
        <v>0</v>
      </c>
      <c r="R9374" s="2" t="inlineStr"/>
    </row>
    <row r="9375" ht="15" customHeight="1">
      <c r="A9375" t="inlineStr">
        <is>
          <t>A 107-2023</t>
        </is>
      </c>
      <c r="B9375" s="1" t="n">
        <v>44928</v>
      </c>
      <c r="C9375" s="1" t="n">
        <v>45212</v>
      </c>
      <c r="D9375" t="inlineStr">
        <is>
          <t>VÄSTRA GÖTALANDS LÄN</t>
        </is>
      </c>
      <c r="E9375" t="inlineStr">
        <is>
          <t>LILLA EDET</t>
        </is>
      </c>
      <c r="G9375" t="n">
        <v>7.7</v>
      </c>
      <c r="H9375" t="n">
        <v>0</v>
      </c>
      <c r="I9375" t="n">
        <v>0</v>
      </c>
      <c r="J9375" t="n">
        <v>0</v>
      </c>
      <c r="K9375" t="n">
        <v>0</v>
      </c>
      <c r="L9375" t="n">
        <v>0</v>
      </c>
      <c r="M9375" t="n">
        <v>0</v>
      </c>
      <c r="N9375" t="n">
        <v>0</v>
      </c>
      <c r="O9375" t="n">
        <v>0</v>
      </c>
      <c r="P9375" t="n">
        <v>0</v>
      </c>
      <c r="Q9375" t="n">
        <v>0</v>
      </c>
      <c r="R9375" s="2" t="inlineStr"/>
    </row>
    <row r="9376" ht="15" customHeight="1">
      <c r="A9376" t="inlineStr">
        <is>
          <t>A 369-2023</t>
        </is>
      </c>
      <c r="B9376" s="1" t="n">
        <v>44929</v>
      </c>
      <c r="C9376" s="1" t="n">
        <v>45212</v>
      </c>
      <c r="D9376" t="inlineStr">
        <is>
          <t>VÄSTRA GÖTALANDS LÄN</t>
        </is>
      </c>
      <c r="E9376" t="inlineStr">
        <is>
          <t>VÄNERSBORG</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417-2023</t>
        </is>
      </c>
      <c r="B9377" s="1" t="n">
        <v>44929</v>
      </c>
      <c r="C9377" s="1" t="n">
        <v>45212</v>
      </c>
      <c r="D9377" t="inlineStr">
        <is>
          <t>VÄSTRA GÖTALANDS LÄN</t>
        </is>
      </c>
      <c r="E9377" t="inlineStr">
        <is>
          <t>TIBRO</t>
        </is>
      </c>
      <c r="G9377" t="n">
        <v>1.7</v>
      </c>
      <c r="H9377" t="n">
        <v>0</v>
      </c>
      <c r="I9377" t="n">
        <v>0</v>
      </c>
      <c r="J9377" t="n">
        <v>0</v>
      </c>
      <c r="K9377" t="n">
        <v>0</v>
      </c>
      <c r="L9377" t="n">
        <v>0</v>
      </c>
      <c r="M9377" t="n">
        <v>0</v>
      </c>
      <c r="N9377" t="n">
        <v>0</v>
      </c>
      <c r="O9377" t="n">
        <v>0</v>
      </c>
      <c r="P9377" t="n">
        <v>0</v>
      </c>
      <c r="Q9377" t="n">
        <v>0</v>
      </c>
      <c r="R9377" s="2" t="inlineStr"/>
    </row>
    <row r="9378" ht="15" customHeight="1">
      <c r="A9378" t="inlineStr">
        <is>
          <t>A 823-2023</t>
        </is>
      </c>
      <c r="B9378" s="1" t="n">
        <v>44929</v>
      </c>
      <c r="C9378" s="1" t="n">
        <v>45212</v>
      </c>
      <c r="D9378" t="inlineStr">
        <is>
          <t>VÄSTRA GÖTALANDS LÄN</t>
        </is>
      </c>
      <c r="E9378" t="inlineStr">
        <is>
          <t>ULRICEHAMN</t>
        </is>
      </c>
      <c r="G9378" t="n">
        <v>5.4</v>
      </c>
      <c r="H9378" t="n">
        <v>0</v>
      </c>
      <c r="I9378" t="n">
        <v>0</v>
      </c>
      <c r="J9378" t="n">
        <v>0</v>
      </c>
      <c r="K9378" t="n">
        <v>0</v>
      </c>
      <c r="L9378" t="n">
        <v>0</v>
      </c>
      <c r="M9378" t="n">
        <v>0</v>
      </c>
      <c r="N9378" t="n">
        <v>0</v>
      </c>
      <c r="O9378" t="n">
        <v>0</v>
      </c>
      <c r="P9378" t="n">
        <v>0</v>
      </c>
      <c r="Q9378" t="n">
        <v>0</v>
      </c>
      <c r="R9378" s="2" t="inlineStr"/>
    </row>
    <row r="9379" ht="15" customHeight="1">
      <c r="A9379" t="inlineStr">
        <is>
          <t>A 419-2023</t>
        </is>
      </c>
      <c r="B9379" s="1" t="n">
        <v>44929</v>
      </c>
      <c r="C9379" s="1" t="n">
        <v>45212</v>
      </c>
      <c r="D9379" t="inlineStr">
        <is>
          <t>VÄSTRA GÖTALANDS LÄN</t>
        </is>
      </c>
      <c r="E9379" t="inlineStr">
        <is>
          <t>TIBRO</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1046-2023</t>
        </is>
      </c>
      <c r="B9380" s="1" t="n">
        <v>44929</v>
      </c>
      <c r="C9380" s="1" t="n">
        <v>45212</v>
      </c>
      <c r="D9380" t="inlineStr">
        <is>
          <t>VÄSTRA GÖTALANDS LÄN</t>
        </is>
      </c>
      <c r="E9380" t="inlineStr">
        <is>
          <t>BENGTSFORS</t>
        </is>
      </c>
      <c r="F9380" t="inlineStr">
        <is>
          <t>Kyrkan</t>
        </is>
      </c>
      <c r="G9380" t="n">
        <v>7.6</v>
      </c>
      <c r="H9380" t="n">
        <v>0</v>
      </c>
      <c r="I9380" t="n">
        <v>0</v>
      </c>
      <c r="J9380" t="n">
        <v>0</v>
      </c>
      <c r="K9380" t="n">
        <v>0</v>
      </c>
      <c r="L9380" t="n">
        <v>0</v>
      </c>
      <c r="M9380" t="n">
        <v>0</v>
      </c>
      <c r="N9380" t="n">
        <v>0</v>
      </c>
      <c r="O9380" t="n">
        <v>0</v>
      </c>
      <c r="P9380" t="n">
        <v>0</v>
      </c>
      <c r="Q9380" t="n">
        <v>0</v>
      </c>
      <c r="R9380" s="2" t="inlineStr"/>
    </row>
    <row r="9381" ht="15" customHeight="1">
      <c r="A9381" t="inlineStr">
        <is>
          <t>A 420-2023</t>
        </is>
      </c>
      <c r="B9381" s="1" t="n">
        <v>44929</v>
      </c>
      <c r="C9381" s="1" t="n">
        <v>45212</v>
      </c>
      <c r="D9381" t="inlineStr">
        <is>
          <t>VÄSTRA GÖTALANDS LÄN</t>
        </is>
      </c>
      <c r="E9381" t="inlineStr">
        <is>
          <t>TIBRO</t>
        </is>
      </c>
      <c r="G9381" t="n">
        <v>1.4</v>
      </c>
      <c r="H9381" t="n">
        <v>0</v>
      </c>
      <c r="I9381" t="n">
        <v>0</v>
      </c>
      <c r="J9381" t="n">
        <v>0</v>
      </c>
      <c r="K9381" t="n">
        <v>0</v>
      </c>
      <c r="L9381" t="n">
        <v>0</v>
      </c>
      <c r="M9381" t="n">
        <v>0</v>
      </c>
      <c r="N9381" t="n">
        <v>0</v>
      </c>
      <c r="O9381" t="n">
        <v>0</v>
      </c>
      <c r="P9381" t="n">
        <v>0</v>
      </c>
      <c r="Q9381" t="n">
        <v>0</v>
      </c>
      <c r="R9381" s="2" t="inlineStr"/>
    </row>
    <row r="9382" ht="15" customHeight="1">
      <c r="A9382" t="inlineStr">
        <is>
          <t>A 418-2023</t>
        </is>
      </c>
      <c r="B9382" s="1" t="n">
        <v>44929</v>
      </c>
      <c r="C9382" s="1" t="n">
        <v>45212</v>
      </c>
      <c r="D9382" t="inlineStr">
        <is>
          <t>VÄSTRA GÖTALANDS LÄN</t>
        </is>
      </c>
      <c r="E9382" t="inlineStr">
        <is>
          <t>TIBRO</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1025-2023</t>
        </is>
      </c>
      <c r="B9383" s="1" t="n">
        <v>44929</v>
      </c>
      <c r="C9383" s="1" t="n">
        <v>45212</v>
      </c>
      <c r="D9383" t="inlineStr">
        <is>
          <t>VÄSTRA GÖTALANDS LÄN</t>
        </is>
      </c>
      <c r="E9383" t="inlineStr">
        <is>
          <t>BENGTSFORS</t>
        </is>
      </c>
      <c r="F9383" t="inlineStr">
        <is>
          <t>Kyrkan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498-2023</t>
        </is>
      </c>
      <c r="B9384" s="1" t="n">
        <v>44930</v>
      </c>
      <c r="C9384" s="1" t="n">
        <v>45212</v>
      </c>
      <c r="D9384" t="inlineStr">
        <is>
          <t>VÄSTRA GÖTALANDS LÄN</t>
        </is>
      </c>
      <c r="E9384" t="inlineStr">
        <is>
          <t>UDDEVALLA</t>
        </is>
      </c>
      <c r="F9384" t="inlineStr">
        <is>
          <t>Kommuner</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689-2023</t>
        </is>
      </c>
      <c r="B9385" s="1" t="n">
        <v>44930</v>
      </c>
      <c r="C9385" s="1" t="n">
        <v>45212</v>
      </c>
      <c r="D9385" t="inlineStr">
        <is>
          <t>VÄSTRA GÖTALANDS LÄN</t>
        </is>
      </c>
      <c r="E9385" t="inlineStr">
        <is>
          <t>TIDAHOLM</t>
        </is>
      </c>
      <c r="G9385" t="n">
        <v>0.7</v>
      </c>
      <c r="H9385" t="n">
        <v>0</v>
      </c>
      <c r="I9385" t="n">
        <v>0</v>
      </c>
      <c r="J9385" t="n">
        <v>0</v>
      </c>
      <c r="K9385" t="n">
        <v>0</v>
      </c>
      <c r="L9385" t="n">
        <v>0</v>
      </c>
      <c r="M9385" t="n">
        <v>0</v>
      </c>
      <c r="N9385" t="n">
        <v>0</v>
      </c>
      <c r="O9385" t="n">
        <v>0</v>
      </c>
      <c r="P9385" t="n">
        <v>0</v>
      </c>
      <c r="Q9385" t="n">
        <v>0</v>
      </c>
      <c r="R9385" s="2" t="inlineStr"/>
    </row>
    <row r="9386" ht="15" customHeight="1">
      <c r="A9386" t="inlineStr">
        <is>
          <t>A 1389-2023</t>
        </is>
      </c>
      <c r="B9386" s="1" t="n">
        <v>44930</v>
      </c>
      <c r="C9386" s="1" t="n">
        <v>45212</v>
      </c>
      <c r="D9386" t="inlineStr">
        <is>
          <t>VÄSTRA GÖTALANDS LÄN</t>
        </is>
      </c>
      <c r="E9386" t="inlineStr">
        <is>
          <t>SVENLJUNGA</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679-2023</t>
        </is>
      </c>
      <c r="B9387" s="1" t="n">
        <v>44930</v>
      </c>
      <c r="C9387" s="1" t="n">
        <v>45212</v>
      </c>
      <c r="D9387" t="inlineStr">
        <is>
          <t>VÄSTRA GÖTALANDS LÄN</t>
        </is>
      </c>
      <c r="E9387" t="inlineStr">
        <is>
          <t>SKÖVDE</t>
        </is>
      </c>
      <c r="F9387" t="inlineStr">
        <is>
          <t>Kommuner</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646-2023</t>
        </is>
      </c>
      <c r="B9388" s="1" t="n">
        <v>44930</v>
      </c>
      <c r="C9388" s="1" t="n">
        <v>45212</v>
      </c>
      <c r="D9388" t="inlineStr">
        <is>
          <t>VÄSTRA GÖTALANDS LÄN</t>
        </is>
      </c>
      <c r="E9388" t="inlineStr">
        <is>
          <t>TANUM</t>
        </is>
      </c>
      <c r="G9388" t="n">
        <v>3.2</v>
      </c>
      <c r="H9388" t="n">
        <v>0</v>
      </c>
      <c r="I9388" t="n">
        <v>0</v>
      </c>
      <c r="J9388" t="n">
        <v>0</v>
      </c>
      <c r="K9388" t="n">
        <v>0</v>
      </c>
      <c r="L9388" t="n">
        <v>0</v>
      </c>
      <c r="M9388" t="n">
        <v>0</v>
      </c>
      <c r="N9388" t="n">
        <v>0</v>
      </c>
      <c r="O9388" t="n">
        <v>0</v>
      </c>
      <c r="P9388" t="n">
        <v>0</v>
      </c>
      <c r="Q9388" t="n">
        <v>0</v>
      </c>
      <c r="R9388" s="2" t="inlineStr"/>
    </row>
    <row r="9389" ht="15" customHeight="1">
      <c r="A9389" t="inlineStr">
        <is>
          <t>A 669-2023</t>
        </is>
      </c>
      <c r="B9389" s="1" t="n">
        <v>44930</v>
      </c>
      <c r="C9389" s="1" t="n">
        <v>45212</v>
      </c>
      <c r="D9389" t="inlineStr">
        <is>
          <t>VÄSTRA GÖTALANDS LÄN</t>
        </is>
      </c>
      <c r="E9389" t="inlineStr">
        <is>
          <t>BENGTSFORS</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506-2023</t>
        </is>
      </c>
      <c r="B9390" s="1" t="n">
        <v>44930</v>
      </c>
      <c r="C9390" s="1" t="n">
        <v>45212</v>
      </c>
      <c r="D9390" t="inlineStr">
        <is>
          <t>VÄSTRA GÖTALANDS LÄN</t>
        </is>
      </c>
      <c r="E9390" t="inlineStr">
        <is>
          <t>TIBRO</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769-2023</t>
        </is>
      </c>
      <c r="B9391" s="1" t="n">
        <v>44931</v>
      </c>
      <c r="C9391" s="1" t="n">
        <v>45212</v>
      </c>
      <c r="D9391" t="inlineStr">
        <is>
          <t>VÄSTRA GÖTALANDS LÄN</t>
        </is>
      </c>
      <c r="E9391" t="inlineStr">
        <is>
          <t>TJÖRN</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874-2023</t>
        </is>
      </c>
      <c r="B9392" s="1" t="n">
        <v>44931</v>
      </c>
      <c r="C9392" s="1" t="n">
        <v>45212</v>
      </c>
      <c r="D9392" t="inlineStr">
        <is>
          <t>VÄSTRA GÖTALANDS LÄN</t>
        </is>
      </c>
      <c r="E9392" t="inlineStr">
        <is>
          <t>LERUM</t>
        </is>
      </c>
      <c r="G9392" t="n">
        <v>8.300000000000001</v>
      </c>
      <c r="H9392" t="n">
        <v>0</v>
      </c>
      <c r="I9392" t="n">
        <v>0</v>
      </c>
      <c r="J9392" t="n">
        <v>0</v>
      </c>
      <c r="K9392" t="n">
        <v>0</v>
      </c>
      <c r="L9392" t="n">
        <v>0</v>
      </c>
      <c r="M9392" t="n">
        <v>0</v>
      </c>
      <c r="N9392" t="n">
        <v>0</v>
      </c>
      <c r="O9392" t="n">
        <v>0</v>
      </c>
      <c r="P9392" t="n">
        <v>0</v>
      </c>
      <c r="Q9392" t="n">
        <v>0</v>
      </c>
      <c r="R9392" s="2" t="inlineStr"/>
    </row>
    <row r="9393" ht="15" customHeight="1">
      <c r="A9393" t="inlineStr">
        <is>
          <t>A 1352-2023</t>
        </is>
      </c>
      <c r="B9393" s="1" t="n">
        <v>44931</v>
      </c>
      <c r="C9393" s="1" t="n">
        <v>45212</v>
      </c>
      <c r="D9393" t="inlineStr">
        <is>
          <t>VÄSTRA GÖTALANDS LÄN</t>
        </is>
      </c>
      <c r="E9393" t="inlineStr">
        <is>
          <t>GÖTENE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1440-2023</t>
        </is>
      </c>
      <c r="B9394" s="1" t="n">
        <v>44931</v>
      </c>
      <c r="C9394" s="1" t="n">
        <v>45212</v>
      </c>
      <c r="D9394" t="inlineStr">
        <is>
          <t>VÄSTRA GÖTALANDS LÄN</t>
        </is>
      </c>
      <c r="E9394" t="inlineStr">
        <is>
          <t>TRANEMO</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771-2023</t>
        </is>
      </c>
      <c r="B9395" s="1" t="n">
        <v>44931</v>
      </c>
      <c r="C9395" s="1" t="n">
        <v>45212</v>
      </c>
      <c r="D9395" t="inlineStr">
        <is>
          <t>VÄSTRA GÖTALANDS LÄN</t>
        </is>
      </c>
      <c r="E9395" t="inlineStr">
        <is>
          <t>ORUST</t>
        </is>
      </c>
      <c r="G9395" t="n">
        <v>2.6</v>
      </c>
      <c r="H9395" t="n">
        <v>0</v>
      </c>
      <c r="I9395" t="n">
        <v>0</v>
      </c>
      <c r="J9395" t="n">
        <v>0</v>
      </c>
      <c r="K9395" t="n">
        <v>0</v>
      </c>
      <c r="L9395" t="n">
        <v>0</v>
      </c>
      <c r="M9395" t="n">
        <v>0</v>
      </c>
      <c r="N9395" t="n">
        <v>0</v>
      </c>
      <c r="O9395" t="n">
        <v>0</v>
      </c>
      <c r="P9395" t="n">
        <v>0</v>
      </c>
      <c r="Q9395" t="n">
        <v>0</v>
      </c>
      <c r="R9395" s="2" t="inlineStr"/>
    </row>
    <row r="9396" ht="15" customHeight="1">
      <c r="A9396" t="inlineStr">
        <is>
          <t>A 857-2023</t>
        </is>
      </c>
      <c r="B9396" s="1" t="n">
        <v>44931</v>
      </c>
      <c r="C9396" s="1" t="n">
        <v>45212</v>
      </c>
      <c r="D9396" t="inlineStr">
        <is>
          <t>VÄSTRA GÖTALANDS LÄN</t>
        </is>
      </c>
      <c r="E9396" t="inlineStr">
        <is>
          <t>ÅMÅL</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868-2023</t>
        </is>
      </c>
      <c r="B9397" s="1" t="n">
        <v>44931</v>
      </c>
      <c r="C9397" s="1" t="n">
        <v>45212</v>
      </c>
      <c r="D9397" t="inlineStr">
        <is>
          <t>VÄSTRA GÖTALANDS LÄN</t>
        </is>
      </c>
      <c r="E9397" t="inlineStr">
        <is>
          <t>MUNKEDAL</t>
        </is>
      </c>
      <c r="G9397" t="n">
        <v>16.9</v>
      </c>
      <c r="H9397" t="n">
        <v>0</v>
      </c>
      <c r="I9397" t="n">
        <v>0</v>
      </c>
      <c r="J9397" t="n">
        <v>0</v>
      </c>
      <c r="K9397" t="n">
        <v>0</v>
      </c>
      <c r="L9397" t="n">
        <v>0</v>
      </c>
      <c r="M9397" t="n">
        <v>0</v>
      </c>
      <c r="N9397" t="n">
        <v>0</v>
      </c>
      <c r="O9397" t="n">
        <v>0</v>
      </c>
      <c r="P9397" t="n">
        <v>0</v>
      </c>
      <c r="Q9397" t="n">
        <v>0</v>
      </c>
      <c r="R9397" s="2" t="inlineStr"/>
    </row>
    <row r="9398" ht="15" customHeight="1">
      <c r="A9398" t="inlineStr">
        <is>
          <t>A 962-2023</t>
        </is>
      </c>
      <c r="B9398" s="1" t="n">
        <v>44934</v>
      </c>
      <c r="C9398" s="1" t="n">
        <v>45212</v>
      </c>
      <c r="D9398" t="inlineStr">
        <is>
          <t>VÄSTRA GÖTALANDS LÄN</t>
        </is>
      </c>
      <c r="E9398" t="inlineStr">
        <is>
          <t>VARA</t>
        </is>
      </c>
      <c r="G9398" t="n">
        <v>1.6</v>
      </c>
      <c r="H9398" t="n">
        <v>0</v>
      </c>
      <c r="I9398" t="n">
        <v>0</v>
      </c>
      <c r="J9398" t="n">
        <v>0</v>
      </c>
      <c r="K9398" t="n">
        <v>0</v>
      </c>
      <c r="L9398" t="n">
        <v>0</v>
      </c>
      <c r="M9398" t="n">
        <v>0</v>
      </c>
      <c r="N9398" t="n">
        <v>0</v>
      </c>
      <c r="O9398" t="n">
        <v>0</v>
      </c>
      <c r="P9398" t="n">
        <v>0</v>
      </c>
      <c r="Q9398" t="n">
        <v>0</v>
      </c>
      <c r="R9398" s="2" t="inlineStr"/>
    </row>
    <row r="9399" ht="15" customHeight="1">
      <c r="A9399" t="inlineStr">
        <is>
          <t>A 961-2023</t>
        </is>
      </c>
      <c r="B9399" s="1" t="n">
        <v>44934</v>
      </c>
      <c r="C9399" s="1" t="n">
        <v>45212</v>
      </c>
      <c r="D9399" t="inlineStr">
        <is>
          <t>VÄSTRA GÖTALANDS LÄN</t>
        </is>
      </c>
      <c r="E9399" t="inlineStr">
        <is>
          <t>VARA</t>
        </is>
      </c>
      <c r="G9399" t="n">
        <v>1.4</v>
      </c>
      <c r="H9399" t="n">
        <v>0</v>
      </c>
      <c r="I9399" t="n">
        <v>0</v>
      </c>
      <c r="J9399" t="n">
        <v>0</v>
      </c>
      <c r="K9399" t="n">
        <v>0</v>
      </c>
      <c r="L9399" t="n">
        <v>0</v>
      </c>
      <c r="M9399" t="n">
        <v>0</v>
      </c>
      <c r="N9399" t="n">
        <v>0</v>
      </c>
      <c r="O9399" t="n">
        <v>0</v>
      </c>
      <c r="P9399" t="n">
        <v>0</v>
      </c>
      <c r="Q9399" t="n">
        <v>0</v>
      </c>
      <c r="R9399" s="2" t="inlineStr"/>
    </row>
    <row r="9400" ht="15" customHeight="1">
      <c r="A9400" t="inlineStr">
        <is>
          <t>A 1021-2023</t>
        </is>
      </c>
      <c r="B9400" s="1" t="n">
        <v>44935</v>
      </c>
      <c r="C9400" s="1" t="n">
        <v>45212</v>
      </c>
      <c r="D9400" t="inlineStr">
        <is>
          <t>VÄSTRA GÖTALANDS LÄN</t>
        </is>
      </c>
      <c r="E9400" t="inlineStr">
        <is>
          <t>FÄRGELANDA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1051-2023</t>
        </is>
      </c>
      <c r="B9401" s="1" t="n">
        <v>44935</v>
      </c>
      <c r="C9401" s="1" t="n">
        <v>45212</v>
      </c>
      <c r="D9401" t="inlineStr">
        <is>
          <t>VÄSTRA GÖTALANDS LÄN</t>
        </is>
      </c>
      <c r="E9401" t="inlineStr">
        <is>
          <t>UDDEVALLA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1068-2023</t>
        </is>
      </c>
      <c r="B9402" s="1" t="n">
        <v>44935</v>
      </c>
      <c r="C9402" s="1" t="n">
        <v>45212</v>
      </c>
      <c r="D9402" t="inlineStr">
        <is>
          <t>VÄSTRA GÖTALANDS LÄN</t>
        </is>
      </c>
      <c r="E9402" t="inlineStr">
        <is>
          <t>MARK</t>
        </is>
      </c>
      <c r="G9402" t="n">
        <v>26.5</v>
      </c>
      <c r="H9402" t="n">
        <v>0</v>
      </c>
      <c r="I9402" t="n">
        <v>0</v>
      </c>
      <c r="J9402" t="n">
        <v>0</v>
      </c>
      <c r="K9402" t="n">
        <v>0</v>
      </c>
      <c r="L9402" t="n">
        <v>0</v>
      </c>
      <c r="M9402" t="n">
        <v>0</v>
      </c>
      <c r="N9402" t="n">
        <v>0</v>
      </c>
      <c r="O9402" t="n">
        <v>0</v>
      </c>
      <c r="P9402" t="n">
        <v>0</v>
      </c>
      <c r="Q9402" t="n">
        <v>0</v>
      </c>
      <c r="R9402" s="2" t="inlineStr"/>
    </row>
    <row r="9403" ht="15" customHeight="1">
      <c r="A9403" t="inlineStr">
        <is>
          <t>A 1191-2023</t>
        </is>
      </c>
      <c r="B9403" s="1" t="n">
        <v>44935</v>
      </c>
      <c r="C9403" s="1" t="n">
        <v>45212</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1190-2023</t>
        </is>
      </c>
      <c r="B9404" s="1" t="n">
        <v>44935</v>
      </c>
      <c r="C9404" s="1" t="n">
        <v>45212</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1526-2023</t>
        </is>
      </c>
      <c r="B9405" s="1" t="n">
        <v>44935</v>
      </c>
      <c r="C9405" s="1" t="n">
        <v>45212</v>
      </c>
      <c r="D9405" t="inlineStr">
        <is>
          <t>VÄSTRA GÖTALANDS LÄN</t>
        </is>
      </c>
      <c r="E9405" t="inlineStr">
        <is>
          <t>MUNKEDAL</t>
        </is>
      </c>
      <c r="G9405" t="n">
        <v>1.5</v>
      </c>
      <c r="H9405" t="n">
        <v>0</v>
      </c>
      <c r="I9405" t="n">
        <v>0</v>
      </c>
      <c r="J9405" t="n">
        <v>0</v>
      </c>
      <c r="K9405" t="n">
        <v>0</v>
      </c>
      <c r="L9405" t="n">
        <v>0</v>
      </c>
      <c r="M9405" t="n">
        <v>0</v>
      </c>
      <c r="N9405" t="n">
        <v>0</v>
      </c>
      <c r="O9405" t="n">
        <v>0</v>
      </c>
      <c r="P9405" t="n">
        <v>0</v>
      </c>
      <c r="Q9405" t="n">
        <v>0</v>
      </c>
      <c r="R9405" s="2" t="inlineStr"/>
    </row>
    <row r="9406" ht="15" customHeight="1">
      <c r="A9406" t="inlineStr">
        <is>
          <t>A 1141-2023</t>
        </is>
      </c>
      <c r="B9406" s="1" t="n">
        <v>44935</v>
      </c>
      <c r="C9406" s="1" t="n">
        <v>45212</v>
      </c>
      <c r="D9406" t="inlineStr">
        <is>
          <t>VÄSTRA GÖTALANDS LÄN</t>
        </is>
      </c>
      <c r="E9406" t="inlineStr">
        <is>
          <t>VARA</t>
        </is>
      </c>
      <c r="G9406" t="n">
        <v>2.2</v>
      </c>
      <c r="H9406" t="n">
        <v>0</v>
      </c>
      <c r="I9406" t="n">
        <v>0</v>
      </c>
      <c r="J9406" t="n">
        <v>0</v>
      </c>
      <c r="K9406" t="n">
        <v>0</v>
      </c>
      <c r="L9406" t="n">
        <v>0</v>
      </c>
      <c r="M9406" t="n">
        <v>0</v>
      </c>
      <c r="N9406" t="n">
        <v>0</v>
      </c>
      <c r="O9406" t="n">
        <v>0</v>
      </c>
      <c r="P9406" t="n">
        <v>0</v>
      </c>
      <c r="Q9406" t="n">
        <v>0</v>
      </c>
      <c r="R9406" s="2" t="inlineStr"/>
    </row>
    <row r="9407" ht="15" customHeight="1">
      <c r="A9407" t="inlineStr">
        <is>
          <t>A 1176-2023</t>
        </is>
      </c>
      <c r="B9407" s="1" t="n">
        <v>44935</v>
      </c>
      <c r="C9407" s="1" t="n">
        <v>45212</v>
      </c>
      <c r="D9407" t="inlineStr">
        <is>
          <t>VÄSTRA GÖTALANDS LÄN</t>
        </is>
      </c>
      <c r="E9407" t="inlineStr">
        <is>
          <t>MARK</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1315-2023</t>
        </is>
      </c>
      <c r="B9408" s="1" t="n">
        <v>44936</v>
      </c>
      <c r="C9408" s="1" t="n">
        <v>45212</v>
      </c>
      <c r="D9408" t="inlineStr">
        <is>
          <t>VÄSTRA GÖTALANDS LÄN</t>
        </is>
      </c>
      <c r="E9408" t="inlineStr">
        <is>
          <t>MARIESTAD</t>
        </is>
      </c>
      <c r="G9408" t="n">
        <v>0.8</v>
      </c>
      <c r="H9408" t="n">
        <v>0</v>
      </c>
      <c r="I9408" t="n">
        <v>0</v>
      </c>
      <c r="J9408" t="n">
        <v>0</v>
      </c>
      <c r="K9408" t="n">
        <v>0</v>
      </c>
      <c r="L9408" t="n">
        <v>0</v>
      </c>
      <c r="M9408" t="n">
        <v>0</v>
      </c>
      <c r="N9408" t="n">
        <v>0</v>
      </c>
      <c r="O9408" t="n">
        <v>0</v>
      </c>
      <c r="P9408" t="n">
        <v>0</v>
      </c>
      <c r="Q9408" t="n">
        <v>0</v>
      </c>
      <c r="R9408" s="2" t="inlineStr"/>
    </row>
    <row r="9409" ht="15" customHeight="1">
      <c r="A9409" t="inlineStr">
        <is>
          <t>A 1799-2023</t>
        </is>
      </c>
      <c r="B9409" s="1" t="n">
        <v>44936</v>
      </c>
      <c r="C9409" s="1" t="n">
        <v>45212</v>
      </c>
      <c r="D9409" t="inlineStr">
        <is>
          <t>VÄSTRA GÖTALANDS LÄN</t>
        </is>
      </c>
      <c r="E9409" t="inlineStr">
        <is>
          <t>VARA</t>
        </is>
      </c>
      <c r="G9409" t="n">
        <v>2.7</v>
      </c>
      <c r="H9409" t="n">
        <v>0</v>
      </c>
      <c r="I9409" t="n">
        <v>0</v>
      </c>
      <c r="J9409" t="n">
        <v>0</v>
      </c>
      <c r="K9409" t="n">
        <v>0</v>
      </c>
      <c r="L9409" t="n">
        <v>0</v>
      </c>
      <c r="M9409" t="n">
        <v>0</v>
      </c>
      <c r="N9409" t="n">
        <v>0</v>
      </c>
      <c r="O9409" t="n">
        <v>0</v>
      </c>
      <c r="P9409" t="n">
        <v>0</v>
      </c>
      <c r="Q9409" t="n">
        <v>0</v>
      </c>
      <c r="R9409" s="2" t="inlineStr"/>
    </row>
    <row r="9410" ht="15" customHeight="1">
      <c r="A9410" t="inlineStr">
        <is>
          <t>A 1283-2023</t>
        </is>
      </c>
      <c r="B9410" s="1" t="n">
        <v>44936</v>
      </c>
      <c r="C9410" s="1" t="n">
        <v>45212</v>
      </c>
      <c r="D9410" t="inlineStr">
        <is>
          <t>VÄSTRA GÖTALANDS LÄN</t>
        </is>
      </c>
      <c r="E9410" t="inlineStr">
        <is>
          <t>MARIESTAD</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1400-2023</t>
        </is>
      </c>
      <c r="B9411" s="1" t="n">
        <v>44936</v>
      </c>
      <c r="C9411" s="1" t="n">
        <v>45212</v>
      </c>
      <c r="D9411" t="inlineStr">
        <is>
          <t>VÄSTRA GÖTALANDS LÄN</t>
        </is>
      </c>
      <c r="E9411" t="inlineStr">
        <is>
          <t>VÅRGÅRDA</t>
        </is>
      </c>
      <c r="G9411" t="n">
        <v>8</v>
      </c>
      <c r="H9411" t="n">
        <v>0</v>
      </c>
      <c r="I9411" t="n">
        <v>0</v>
      </c>
      <c r="J9411" t="n">
        <v>0</v>
      </c>
      <c r="K9411" t="n">
        <v>0</v>
      </c>
      <c r="L9411" t="n">
        <v>0</v>
      </c>
      <c r="M9411" t="n">
        <v>0</v>
      </c>
      <c r="N9411" t="n">
        <v>0</v>
      </c>
      <c r="O9411" t="n">
        <v>0</v>
      </c>
      <c r="P9411" t="n">
        <v>0</v>
      </c>
      <c r="Q9411" t="n">
        <v>0</v>
      </c>
      <c r="R9411" s="2" t="inlineStr"/>
    </row>
    <row r="9412" ht="15" customHeight="1">
      <c r="A9412" t="inlineStr">
        <is>
          <t>A 1829-2023</t>
        </is>
      </c>
      <c r="B9412" s="1" t="n">
        <v>44936</v>
      </c>
      <c r="C9412" s="1" t="n">
        <v>45212</v>
      </c>
      <c r="D9412" t="inlineStr">
        <is>
          <t>VÄSTRA GÖTALANDS LÄN</t>
        </is>
      </c>
      <c r="E9412" t="inlineStr">
        <is>
          <t>TIDAHOLM</t>
        </is>
      </c>
      <c r="G9412" t="n">
        <v>9</v>
      </c>
      <c r="H9412" t="n">
        <v>0</v>
      </c>
      <c r="I9412" t="n">
        <v>0</v>
      </c>
      <c r="J9412" t="n">
        <v>0</v>
      </c>
      <c r="K9412" t="n">
        <v>0</v>
      </c>
      <c r="L9412" t="n">
        <v>0</v>
      </c>
      <c r="M9412" t="n">
        <v>0</v>
      </c>
      <c r="N9412" t="n">
        <v>0</v>
      </c>
      <c r="O9412" t="n">
        <v>0</v>
      </c>
      <c r="P9412" t="n">
        <v>0</v>
      </c>
      <c r="Q9412" t="n">
        <v>0</v>
      </c>
      <c r="R9412" s="2" t="inlineStr"/>
    </row>
    <row r="9413" ht="15" customHeight="1">
      <c r="A9413" t="inlineStr">
        <is>
          <t>A 1456-2023</t>
        </is>
      </c>
      <c r="B9413" s="1" t="n">
        <v>44937</v>
      </c>
      <c r="C9413" s="1" t="n">
        <v>45212</v>
      </c>
      <c r="D9413" t="inlineStr">
        <is>
          <t>VÄSTRA GÖTALANDS LÄN</t>
        </is>
      </c>
      <c r="E9413" t="inlineStr">
        <is>
          <t>MARK</t>
        </is>
      </c>
      <c r="F9413" t="inlineStr">
        <is>
          <t>Sveaskog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1491-2023</t>
        </is>
      </c>
      <c r="B9414" s="1" t="n">
        <v>44937</v>
      </c>
      <c r="C9414" s="1" t="n">
        <v>45212</v>
      </c>
      <c r="D9414" t="inlineStr">
        <is>
          <t>VÄSTRA GÖTALANDS LÄN</t>
        </is>
      </c>
      <c r="E9414" t="inlineStr">
        <is>
          <t>DALS-ED</t>
        </is>
      </c>
      <c r="G9414" t="n">
        <v>11.1</v>
      </c>
      <c r="H9414" t="n">
        <v>0</v>
      </c>
      <c r="I9414" t="n">
        <v>0</v>
      </c>
      <c r="J9414" t="n">
        <v>0</v>
      </c>
      <c r="K9414" t="n">
        <v>0</v>
      </c>
      <c r="L9414" t="n">
        <v>0</v>
      </c>
      <c r="M9414" t="n">
        <v>0</v>
      </c>
      <c r="N9414" t="n">
        <v>0</v>
      </c>
      <c r="O9414" t="n">
        <v>0</v>
      </c>
      <c r="P9414" t="n">
        <v>0</v>
      </c>
      <c r="Q9414" t="n">
        <v>0</v>
      </c>
      <c r="R9414" s="2" t="inlineStr"/>
    </row>
    <row r="9415" ht="15" customHeight="1">
      <c r="A9415" t="inlineStr">
        <is>
          <t>A 1544-2023</t>
        </is>
      </c>
      <c r="B9415" s="1" t="n">
        <v>44937</v>
      </c>
      <c r="C9415" s="1" t="n">
        <v>45212</v>
      </c>
      <c r="D9415" t="inlineStr">
        <is>
          <t>VÄSTRA GÖTALANDS LÄN</t>
        </is>
      </c>
      <c r="E9415" t="inlineStr">
        <is>
          <t>MARIESTAD</t>
        </is>
      </c>
      <c r="G9415" t="n">
        <v>5.3</v>
      </c>
      <c r="H9415" t="n">
        <v>0</v>
      </c>
      <c r="I9415" t="n">
        <v>0</v>
      </c>
      <c r="J9415" t="n">
        <v>0</v>
      </c>
      <c r="K9415" t="n">
        <v>0</v>
      </c>
      <c r="L9415" t="n">
        <v>0</v>
      </c>
      <c r="M9415" t="n">
        <v>0</v>
      </c>
      <c r="N9415" t="n">
        <v>0</v>
      </c>
      <c r="O9415" t="n">
        <v>0</v>
      </c>
      <c r="P9415" t="n">
        <v>0</v>
      </c>
      <c r="Q9415" t="n">
        <v>0</v>
      </c>
      <c r="R9415" s="2" t="inlineStr"/>
    </row>
    <row r="9416" ht="15" customHeight="1">
      <c r="A9416" t="inlineStr">
        <is>
          <t>A 1579-2023</t>
        </is>
      </c>
      <c r="B9416" s="1" t="n">
        <v>44937</v>
      </c>
      <c r="C9416" s="1" t="n">
        <v>45212</v>
      </c>
      <c r="D9416" t="inlineStr">
        <is>
          <t>VÄSTRA GÖTALANDS LÄN</t>
        </is>
      </c>
      <c r="E9416" t="inlineStr">
        <is>
          <t>TIDAHOLM</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2022-2023</t>
        </is>
      </c>
      <c r="B9417" s="1" t="n">
        <v>44937</v>
      </c>
      <c r="C9417" s="1" t="n">
        <v>45212</v>
      </c>
      <c r="D9417" t="inlineStr">
        <is>
          <t>VÄSTRA GÖTALANDS LÄN</t>
        </is>
      </c>
      <c r="E9417" t="inlineStr">
        <is>
          <t>SVENLJUNGA</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1454-2023</t>
        </is>
      </c>
      <c r="B9418" s="1" t="n">
        <v>44937</v>
      </c>
      <c r="C9418" s="1" t="n">
        <v>45212</v>
      </c>
      <c r="D9418" t="inlineStr">
        <is>
          <t>VÄSTRA GÖTALANDS LÄN</t>
        </is>
      </c>
      <c r="E9418" t="inlineStr">
        <is>
          <t>KARLSBORG</t>
        </is>
      </c>
      <c r="G9418" t="n">
        <v>6.8</v>
      </c>
      <c r="H9418" t="n">
        <v>0</v>
      </c>
      <c r="I9418" t="n">
        <v>0</v>
      </c>
      <c r="J9418" t="n">
        <v>0</v>
      </c>
      <c r="K9418" t="n">
        <v>0</v>
      </c>
      <c r="L9418" t="n">
        <v>0</v>
      </c>
      <c r="M9418" t="n">
        <v>0</v>
      </c>
      <c r="N9418" t="n">
        <v>0</v>
      </c>
      <c r="O9418" t="n">
        <v>0</v>
      </c>
      <c r="P9418" t="n">
        <v>0</v>
      </c>
      <c r="Q9418" t="n">
        <v>0</v>
      </c>
      <c r="R9418" s="2" t="inlineStr"/>
    </row>
    <row r="9419" ht="15" customHeight="1">
      <c r="A9419" t="inlineStr">
        <is>
          <t>A 1486-2023</t>
        </is>
      </c>
      <c r="B9419" s="1" t="n">
        <v>44937</v>
      </c>
      <c r="C9419" s="1" t="n">
        <v>45212</v>
      </c>
      <c r="D9419" t="inlineStr">
        <is>
          <t>VÄSTRA GÖTALANDS LÄN</t>
        </is>
      </c>
      <c r="E9419" t="inlineStr">
        <is>
          <t>TJÖRN</t>
        </is>
      </c>
      <c r="G9419" t="n">
        <v>0.2</v>
      </c>
      <c r="H9419" t="n">
        <v>0</v>
      </c>
      <c r="I9419" t="n">
        <v>0</v>
      </c>
      <c r="J9419" t="n">
        <v>0</v>
      </c>
      <c r="K9419" t="n">
        <v>0</v>
      </c>
      <c r="L9419" t="n">
        <v>0</v>
      </c>
      <c r="M9419" t="n">
        <v>0</v>
      </c>
      <c r="N9419" t="n">
        <v>0</v>
      </c>
      <c r="O9419" t="n">
        <v>0</v>
      </c>
      <c r="P9419" t="n">
        <v>0</v>
      </c>
      <c r="Q9419" t="n">
        <v>0</v>
      </c>
      <c r="R9419" s="2" t="inlineStr"/>
    </row>
    <row r="9420" ht="15" customHeight="1">
      <c r="A9420" t="inlineStr">
        <is>
          <t>A 1542-2023</t>
        </is>
      </c>
      <c r="B9420" s="1" t="n">
        <v>44937</v>
      </c>
      <c r="C9420" s="1" t="n">
        <v>45212</v>
      </c>
      <c r="D9420" t="inlineStr">
        <is>
          <t>VÄSTRA GÖTALANDS LÄN</t>
        </is>
      </c>
      <c r="E9420" t="inlineStr">
        <is>
          <t>TROLLHÄTTAN</t>
        </is>
      </c>
      <c r="G9420" t="n">
        <v>8.5</v>
      </c>
      <c r="H9420" t="n">
        <v>0</v>
      </c>
      <c r="I9420" t="n">
        <v>0</v>
      </c>
      <c r="J9420" t="n">
        <v>0</v>
      </c>
      <c r="K9420" t="n">
        <v>0</v>
      </c>
      <c r="L9420" t="n">
        <v>0</v>
      </c>
      <c r="M9420" t="n">
        <v>0</v>
      </c>
      <c r="N9420" t="n">
        <v>0</v>
      </c>
      <c r="O9420" t="n">
        <v>0</v>
      </c>
      <c r="P9420" t="n">
        <v>0</v>
      </c>
      <c r="Q9420" t="n">
        <v>0</v>
      </c>
      <c r="R9420" s="2" t="inlineStr"/>
    </row>
    <row r="9421" ht="15" customHeight="1">
      <c r="A9421" t="inlineStr">
        <is>
          <t>A 1554-2023</t>
        </is>
      </c>
      <c r="B9421" s="1" t="n">
        <v>44937</v>
      </c>
      <c r="C9421" s="1" t="n">
        <v>45212</v>
      </c>
      <c r="D9421" t="inlineStr">
        <is>
          <t>VÄSTRA GÖTALANDS LÄN</t>
        </is>
      </c>
      <c r="E9421" t="inlineStr">
        <is>
          <t>TÖREBODA</t>
        </is>
      </c>
      <c r="F9421" t="inlineStr">
        <is>
          <t>Övriga statliga verk och myndigheter</t>
        </is>
      </c>
      <c r="G9421" t="n">
        <v>0.8</v>
      </c>
      <c r="H9421" t="n">
        <v>0</v>
      </c>
      <c r="I9421" t="n">
        <v>0</v>
      </c>
      <c r="J9421" t="n">
        <v>0</v>
      </c>
      <c r="K9421" t="n">
        <v>0</v>
      </c>
      <c r="L9421" t="n">
        <v>0</v>
      </c>
      <c r="M9421" t="n">
        <v>0</v>
      </c>
      <c r="N9421" t="n">
        <v>0</v>
      </c>
      <c r="O9421" t="n">
        <v>0</v>
      </c>
      <c r="P9421" t="n">
        <v>0</v>
      </c>
      <c r="Q9421" t="n">
        <v>0</v>
      </c>
      <c r="R9421" s="2" t="inlineStr"/>
    </row>
    <row r="9422" ht="15" customHeight="1">
      <c r="A9422" t="inlineStr">
        <is>
          <t>A 1545-2023</t>
        </is>
      </c>
      <c r="B9422" s="1" t="n">
        <v>44937</v>
      </c>
      <c r="C9422" s="1" t="n">
        <v>45212</v>
      </c>
      <c r="D9422" t="inlineStr">
        <is>
          <t>VÄSTRA GÖTALANDS LÄN</t>
        </is>
      </c>
      <c r="E9422" t="inlineStr">
        <is>
          <t>MARIESTAD</t>
        </is>
      </c>
      <c r="G9422" t="n">
        <v>0.5</v>
      </c>
      <c r="H9422" t="n">
        <v>0</v>
      </c>
      <c r="I9422" t="n">
        <v>0</v>
      </c>
      <c r="J9422" t="n">
        <v>0</v>
      </c>
      <c r="K9422" t="n">
        <v>0</v>
      </c>
      <c r="L9422" t="n">
        <v>0</v>
      </c>
      <c r="M9422" t="n">
        <v>0</v>
      </c>
      <c r="N9422" t="n">
        <v>0</v>
      </c>
      <c r="O9422" t="n">
        <v>0</v>
      </c>
      <c r="P9422" t="n">
        <v>0</v>
      </c>
      <c r="Q9422" t="n">
        <v>0</v>
      </c>
      <c r="R9422" s="2" t="inlineStr"/>
    </row>
    <row r="9423" ht="15" customHeight="1">
      <c r="A9423" t="inlineStr">
        <is>
          <t>A 2028-2023</t>
        </is>
      </c>
      <c r="B9423" s="1" t="n">
        <v>44937</v>
      </c>
      <c r="C9423" s="1" t="n">
        <v>45212</v>
      </c>
      <c r="D9423" t="inlineStr">
        <is>
          <t>VÄSTRA GÖTALANDS LÄN</t>
        </is>
      </c>
      <c r="E9423" t="inlineStr">
        <is>
          <t>SVENLJUNGA</t>
        </is>
      </c>
      <c r="G9423" t="n">
        <v>3.1</v>
      </c>
      <c r="H9423" t="n">
        <v>0</v>
      </c>
      <c r="I9423" t="n">
        <v>0</v>
      </c>
      <c r="J9423" t="n">
        <v>0</v>
      </c>
      <c r="K9423" t="n">
        <v>0</v>
      </c>
      <c r="L9423" t="n">
        <v>0</v>
      </c>
      <c r="M9423" t="n">
        <v>0</v>
      </c>
      <c r="N9423" t="n">
        <v>0</v>
      </c>
      <c r="O9423" t="n">
        <v>0</v>
      </c>
      <c r="P9423" t="n">
        <v>0</v>
      </c>
      <c r="Q9423" t="n">
        <v>0</v>
      </c>
      <c r="R9423" s="2" t="inlineStr"/>
    </row>
    <row r="9424" ht="15" customHeight="1">
      <c r="A9424" t="inlineStr">
        <is>
          <t>A 1743-2023</t>
        </is>
      </c>
      <c r="B9424" s="1" t="n">
        <v>44938</v>
      </c>
      <c r="C9424" s="1" t="n">
        <v>45212</v>
      </c>
      <c r="D9424" t="inlineStr">
        <is>
          <t>VÄSTRA GÖTALANDS LÄN</t>
        </is>
      </c>
      <c r="E9424" t="inlineStr">
        <is>
          <t>BORÅS</t>
        </is>
      </c>
      <c r="F9424" t="inlineStr">
        <is>
          <t>Kyrkan</t>
        </is>
      </c>
      <c r="G9424" t="n">
        <v>4.5</v>
      </c>
      <c r="H9424" t="n">
        <v>0</v>
      </c>
      <c r="I9424" t="n">
        <v>0</v>
      </c>
      <c r="J9424" t="n">
        <v>0</v>
      </c>
      <c r="K9424" t="n">
        <v>0</v>
      </c>
      <c r="L9424" t="n">
        <v>0</v>
      </c>
      <c r="M9424" t="n">
        <v>0</v>
      </c>
      <c r="N9424" t="n">
        <v>0</v>
      </c>
      <c r="O9424" t="n">
        <v>0</v>
      </c>
      <c r="P9424" t="n">
        <v>0</v>
      </c>
      <c r="Q9424" t="n">
        <v>0</v>
      </c>
      <c r="R9424" s="2" t="inlineStr"/>
    </row>
    <row r="9425" ht="15" customHeight="1">
      <c r="A9425" t="inlineStr">
        <is>
          <t>A 1830-2023</t>
        </is>
      </c>
      <c r="B9425" s="1" t="n">
        <v>44938</v>
      </c>
      <c r="C9425" s="1" t="n">
        <v>45212</v>
      </c>
      <c r="D9425" t="inlineStr">
        <is>
          <t>VÄSTRA GÖTALANDS LÄN</t>
        </is>
      </c>
      <c r="E9425" t="inlineStr">
        <is>
          <t>SKARA</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1938-2023</t>
        </is>
      </c>
      <c r="B9426" s="1" t="n">
        <v>44938</v>
      </c>
      <c r="C9426" s="1" t="n">
        <v>45212</v>
      </c>
      <c r="D9426" t="inlineStr">
        <is>
          <t>VÄSTRA GÖTALANDS LÄN</t>
        </is>
      </c>
      <c r="E9426" t="inlineStr">
        <is>
          <t>MUNKEDAL</t>
        </is>
      </c>
      <c r="F9426" t="inlineStr">
        <is>
          <t>Övriga Aktiebolag</t>
        </is>
      </c>
      <c r="G9426" t="n">
        <v>3.6</v>
      </c>
      <c r="H9426" t="n">
        <v>0</v>
      </c>
      <c r="I9426" t="n">
        <v>0</v>
      </c>
      <c r="J9426" t="n">
        <v>0</v>
      </c>
      <c r="K9426" t="n">
        <v>0</v>
      </c>
      <c r="L9426" t="n">
        <v>0</v>
      </c>
      <c r="M9426" t="n">
        <v>0</v>
      </c>
      <c r="N9426" t="n">
        <v>0</v>
      </c>
      <c r="O9426" t="n">
        <v>0</v>
      </c>
      <c r="P9426" t="n">
        <v>0</v>
      </c>
      <c r="Q9426" t="n">
        <v>0</v>
      </c>
      <c r="R9426" s="2" t="inlineStr"/>
    </row>
    <row r="9427" ht="15" customHeight="1">
      <c r="A9427" t="inlineStr">
        <is>
          <t>A 2032-2023</t>
        </is>
      </c>
      <c r="B9427" s="1" t="n">
        <v>44938</v>
      </c>
      <c r="C9427" s="1" t="n">
        <v>45212</v>
      </c>
      <c r="D9427" t="inlineStr">
        <is>
          <t>VÄSTRA GÖTALANDS LÄN</t>
        </is>
      </c>
      <c r="E9427" t="inlineStr">
        <is>
          <t>SVENLJUNGA</t>
        </is>
      </c>
      <c r="G9427" t="n">
        <v>4</v>
      </c>
      <c r="H9427" t="n">
        <v>0</v>
      </c>
      <c r="I9427" t="n">
        <v>0</v>
      </c>
      <c r="J9427" t="n">
        <v>0</v>
      </c>
      <c r="K9427" t="n">
        <v>0</v>
      </c>
      <c r="L9427" t="n">
        <v>0</v>
      </c>
      <c r="M9427" t="n">
        <v>0</v>
      </c>
      <c r="N9427" t="n">
        <v>0</v>
      </c>
      <c r="O9427" t="n">
        <v>0</v>
      </c>
      <c r="P9427" t="n">
        <v>0</v>
      </c>
      <c r="Q9427" t="n">
        <v>0</v>
      </c>
      <c r="R9427" s="2" t="inlineStr"/>
    </row>
    <row r="9428" ht="15" customHeight="1">
      <c r="A9428" t="inlineStr">
        <is>
          <t>A 1841-2023</t>
        </is>
      </c>
      <c r="B9428" s="1" t="n">
        <v>44938</v>
      </c>
      <c r="C9428" s="1" t="n">
        <v>45212</v>
      </c>
      <c r="D9428" t="inlineStr">
        <is>
          <t>VÄSTRA GÖTALANDS LÄN</t>
        </is>
      </c>
      <c r="E9428" t="inlineStr">
        <is>
          <t>SKARA</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2004-2023</t>
        </is>
      </c>
      <c r="B9429" s="1" t="n">
        <v>44939</v>
      </c>
      <c r="C9429" s="1" t="n">
        <v>45212</v>
      </c>
      <c r="D9429" t="inlineStr">
        <is>
          <t>VÄSTRA GÖTALANDS LÄN</t>
        </is>
      </c>
      <c r="E9429" t="inlineStr">
        <is>
          <t>TANUM</t>
        </is>
      </c>
      <c r="G9429" t="n">
        <v>9.9</v>
      </c>
      <c r="H9429" t="n">
        <v>0</v>
      </c>
      <c r="I9429" t="n">
        <v>0</v>
      </c>
      <c r="J9429" t="n">
        <v>0</v>
      </c>
      <c r="K9429" t="n">
        <v>0</v>
      </c>
      <c r="L9429" t="n">
        <v>0</v>
      </c>
      <c r="M9429" t="n">
        <v>0</v>
      </c>
      <c r="N9429" t="n">
        <v>0</v>
      </c>
      <c r="O9429" t="n">
        <v>0</v>
      </c>
      <c r="P9429" t="n">
        <v>0</v>
      </c>
      <c r="Q9429" t="n">
        <v>0</v>
      </c>
      <c r="R9429" s="2" t="inlineStr"/>
    </row>
    <row r="9430" ht="15" customHeight="1">
      <c r="A9430" t="inlineStr">
        <is>
          <t>A 2060-2023</t>
        </is>
      </c>
      <c r="B9430" s="1" t="n">
        <v>44939</v>
      </c>
      <c r="C9430" s="1" t="n">
        <v>45212</v>
      </c>
      <c r="D9430" t="inlineStr">
        <is>
          <t>VÄSTRA GÖTALANDS LÄN</t>
        </is>
      </c>
      <c r="E9430" t="inlineStr">
        <is>
          <t>HJO</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2070-2023</t>
        </is>
      </c>
      <c r="B9431" s="1" t="n">
        <v>44939</v>
      </c>
      <c r="C9431" s="1" t="n">
        <v>45212</v>
      </c>
      <c r="D9431" t="inlineStr">
        <is>
          <t>VÄSTRA GÖTALANDS LÄN</t>
        </is>
      </c>
      <c r="E9431" t="inlineStr">
        <is>
          <t>HJO</t>
        </is>
      </c>
      <c r="G9431" t="n">
        <v>11.6</v>
      </c>
      <c r="H9431" t="n">
        <v>0</v>
      </c>
      <c r="I9431" t="n">
        <v>0</v>
      </c>
      <c r="J9431" t="n">
        <v>0</v>
      </c>
      <c r="K9431" t="n">
        <v>0</v>
      </c>
      <c r="L9431" t="n">
        <v>0</v>
      </c>
      <c r="M9431" t="n">
        <v>0</v>
      </c>
      <c r="N9431" t="n">
        <v>0</v>
      </c>
      <c r="O9431" t="n">
        <v>0</v>
      </c>
      <c r="P9431" t="n">
        <v>0</v>
      </c>
      <c r="Q9431" t="n">
        <v>0</v>
      </c>
      <c r="R9431" s="2" t="inlineStr"/>
    </row>
    <row r="9432" ht="15" customHeight="1">
      <c r="A9432" t="inlineStr">
        <is>
          <t>A 1885-2023</t>
        </is>
      </c>
      <c r="B9432" s="1" t="n">
        <v>44939</v>
      </c>
      <c r="C9432" s="1" t="n">
        <v>45212</v>
      </c>
      <c r="D9432" t="inlineStr">
        <is>
          <t>VÄSTRA GÖTALANDS LÄN</t>
        </is>
      </c>
      <c r="E9432" t="inlineStr">
        <is>
          <t>BORÅS</t>
        </is>
      </c>
      <c r="F9432" t="inlineStr">
        <is>
          <t>Sveaskog</t>
        </is>
      </c>
      <c r="G9432" t="n">
        <v>6.7</v>
      </c>
      <c r="H9432" t="n">
        <v>0</v>
      </c>
      <c r="I9432" t="n">
        <v>0</v>
      </c>
      <c r="J9432" t="n">
        <v>0</v>
      </c>
      <c r="K9432" t="n">
        <v>0</v>
      </c>
      <c r="L9432" t="n">
        <v>0</v>
      </c>
      <c r="M9432" t="n">
        <v>0</v>
      </c>
      <c r="N9432" t="n">
        <v>0</v>
      </c>
      <c r="O9432" t="n">
        <v>0</v>
      </c>
      <c r="P9432" t="n">
        <v>0</v>
      </c>
      <c r="Q9432" t="n">
        <v>0</v>
      </c>
      <c r="R9432" s="2" t="inlineStr"/>
    </row>
    <row r="9433" ht="15" customHeight="1">
      <c r="A9433" t="inlineStr">
        <is>
          <t>A 1997-2023</t>
        </is>
      </c>
      <c r="B9433" s="1" t="n">
        <v>44939</v>
      </c>
      <c r="C9433" s="1" t="n">
        <v>45212</v>
      </c>
      <c r="D9433" t="inlineStr">
        <is>
          <t>VÄSTRA GÖTALANDS LÄN</t>
        </is>
      </c>
      <c r="E9433" t="inlineStr">
        <is>
          <t>FÄRGELANDA</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2231-2023</t>
        </is>
      </c>
      <c r="B9434" s="1" t="n">
        <v>44942</v>
      </c>
      <c r="C9434" s="1" t="n">
        <v>45212</v>
      </c>
      <c r="D9434" t="inlineStr">
        <is>
          <t>VÄSTRA GÖTALANDS LÄN</t>
        </is>
      </c>
      <c r="E9434" t="inlineStr">
        <is>
          <t>STRÖMSTAD</t>
        </is>
      </c>
      <c r="G9434" t="n">
        <v>2</v>
      </c>
      <c r="H9434" t="n">
        <v>0</v>
      </c>
      <c r="I9434" t="n">
        <v>0</v>
      </c>
      <c r="J9434" t="n">
        <v>0</v>
      </c>
      <c r="K9434" t="n">
        <v>0</v>
      </c>
      <c r="L9434" t="n">
        <v>0</v>
      </c>
      <c r="M9434" t="n">
        <v>0</v>
      </c>
      <c r="N9434" t="n">
        <v>0</v>
      </c>
      <c r="O9434" t="n">
        <v>0</v>
      </c>
      <c r="P9434" t="n">
        <v>0</v>
      </c>
      <c r="Q9434" t="n">
        <v>0</v>
      </c>
      <c r="R9434" s="2" t="inlineStr"/>
    </row>
    <row r="9435" ht="15" customHeight="1">
      <c r="A9435" t="inlineStr">
        <is>
          <t>A 2340-2023</t>
        </is>
      </c>
      <c r="B9435" s="1" t="n">
        <v>44942</v>
      </c>
      <c r="C9435" s="1" t="n">
        <v>45212</v>
      </c>
      <c r="D9435" t="inlineStr">
        <is>
          <t>VÄSTRA GÖTALANDS LÄN</t>
        </is>
      </c>
      <c r="E9435" t="inlineStr">
        <is>
          <t>MARK</t>
        </is>
      </c>
      <c r="G9435" t="n">
        <v>2.2</v>
      </c>
      <c r="H9435" t="n">
        <v>0</v>
      </c>
      <c r="I9435" t="n">
        <v>0</v>
      </c>
      <c r="J9435" t="n">
        <v>0</v>
      </c>
      <c r="K9435" t="n">
        <v>0</v>
      </c>
      <c r="L9435" t="n">
        <v>0</v>
      </c>
      <c r="M9435" t="n">
        <v>0</v>
      </c>
      <c r="N9435" t="n">
        <v>0</v>
      </c>
      <c r="O9435" t="n">
        <v>0</v>
      </c>
      <c r="P9435" t="n">
        <v>0</v>
      </c>
      <c r="Q9435" t="n">
        <v>0</v>
      </c>
      <c r="R9435" s="2" t="inlineStr"/>
    </row>
    <row r="9436" ht="15" customHeight="1">
      <c r="A9436" t="inlineStr">
        <is>
          <t>A 2388-2023</t>
        </is>
      </c>
      <c r="B9436" s="1" t="n">
        <v>44942</v>
      </c>
      <c r="C9436" s="1" t="n">
        <v>45212</v>
      </c>
      <c r="D9436" t="inlineStr">
        <is>
          <t>VÄSTRA GÖTALANDS LÄN</t>
        </is>
      </c>
      <c r="E9436" t="inlineStr">
        <is>
          <t>TIDAHOLM</t>
        </is>
      </c>
      <c r="G9436" t="n">
        <v>0.8</v>
      </c>
      <c r="H9436" t="n">
        <v>0</v>
      </c>
      <c r="I9436" t="n">
        <v>0</v>
      </c>
      <c r="J9436" t="n">
        <v>0</v>
      </c>
      <c r="K9436" t="n">
        <v>0</v>
      </c>
      <c r="L9436" t="n">
        <v>0</v>
      </c>
      <c r="M9436" t="n">
        <v>0</v>
      </c>
      <c r="N9436" t="n">
        <v>0</v>
      </c>
      <c r="O9436" t="n">
        <v>0</v>
      </c>
      <c r="P9436" t="n">
        <v>0</v>
      </c>
      <c r="Q9436" t="n">
        <v>0</v>
      </c>
      <c r="R9436" s="2" t="inlineStr"/>
    </row>
    <row r="9437" ht="15" customHeight="1">
      <c r="A9437" t="inlineStr">
        <is>
          <t>A 2345-2023</t>
        </is>
      </c>
      <c r="B9437" s="1" t="n">
        <v>44942</v>
      </c>
      <c r="C9437" s="1" t="n">
        <v>45212</v>
      </c>
      <c r="D9437" t="inlineStr">
        <is>
          <t>VÄSTRA GÖTALANDS LÄN</t>
        </is>
      </c>
      <c r="E9437" t="inlineStr">
        <is>
          <t>VÅRGÅRDA</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2390-2023</t>
        </is>
      </c>
      <c r="B9438" s="1" t="n">
        <v>44942</v>
      </c>
      <c r="C9438" s="1" t="n">
        <v>45212</v>
      </c>
      <c r="D9438" t="inlineStr">
        <is>
          <t>VÄSTRA GÖTALANDS LÄN</t>
        </is>
      </c>
      <c r="E9438" t="inlineStr">
        <is>
          <t>MARIESTAD</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2443-2023</t>
        </is>
      </c>
      <c r="B9439" s="1" t="n">
        <v>44943</v>
      </c>
      <c r="C9439" s="1" t="n">
        <v>45212</v>
      </c>
      <c r="D9439" t="inlineStr">
        <is>
          <t>VÄSTRA GÖTALANDS LÄN</t>
        </is>
      </c>
      <c r="E9439" t="inlineStr">
        <is>
          <t>LERUM</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2530-2023</t>
        </is>
      </c>
      <c r="B9440" s="1" t="n">
        <v>44943</v>
      </c>
      <c r="C9440" s="1" t="n">
        <v>45212</v>
      </c>
      <c r="D9440" t="inlineStr">
        <is>
          <t>VÄSTRA GÖTALANDS LÄN</t>
        </is>
      </c>
      <c r="E9440" t="inlineStr">
        <is>
          <t>BENGTSFORS</t>
        </is>
      </c>
      <c r="G9440" t="n">
        <v>11.4</v>
      </c>
      <c r="H9440" t="n">
        <v>0</v>
      </c>
      <c r="I9440" t="n">
        <v>0</v>
      </c>
      <c r="J9440" t="n">
        <v>0</v>
      </c>
      <c r="K9440" t="n">
        <v>0</v>
      </c>
      <c r="L9440" t="n">
        <v>0</v>
      </c>
      <c r="M9440" t="n">
        <v>0</v>
      </c>
      <c r="N9440" t="n">
        <v>0</v>
      </c>
      <c r="O9440" t="n">
        <v>0</v>
      </c>
      <c r="P9440" t="n">
        <v>0</v>
      </c>
      <c r="Q9440" t="n">
        <v>0</v>
      </c>
      <c r="R9440" s="2" t="inlineStr"/>
    </row>
    <row r="9441" ht="15" customHeight="1">
      <c r="A9441" t="inlineStr">
        <is>
          <t>A 2430-2023</t>
        </is>
      </c>
      <c r="B9441" s="1" t="n">
        <v>44943</v>
      </c>
      <c r="C9441" s="1" t="n">
        <v>45212</v>
      </c>
      <c r="D9441" t="inlineStr">
        <is>
          <t>VÄSTRA GÖTALANDS LÄN</t>
        </is>
      </c>
      <c r="E9441" t="inlineStr">
        <is>
          <t>MARK</t>
        </is>
      </c>
      <c r="G9441" t="n">
        <v>1.2</v>
      </c>
      <c r="H9441" t="n">
        <v>0</v>
      </c>
      <c r="I9441" t="n">
        <v>0</v>
      </c>
      <c r="J9441" t="n">
        <v>0</v>
      </c>
      <c r="K9441" t="n">
        <v>0</v>
      </c>
      <c r="L9441" t="n">
        <v>0</v>
      </c>
      <c r="M9441" t="n">
        <v>0</v>
      </c>
      <c r="N9441" t="n">
        <v>0</v>
      </c>
      <c r="O9441" t="n">
        <v>0</v>
      </c>
      <c r="P9441" t="n">
        <v>0</v>
      </c>
      <c r="Q9441" t="n">
        <v>0</v>
      </c>
      <c r="R9441" s="2" t="inlineStr"/>
    </row>
    <row r="9442" ht="15" customHeight="1">
      <c r="A9442" t="inlineStr">
        <is>
          <t>A 2447-2023</t>
        </is>
      </c>
      <c r="B9442" s="1" t="n">
        <v>44943</v>
      </c>
      <c r="C9442" s="1" t="n">
        <v>45212</v>
      </c>
      <c r="D9442" t="inlineStr">
        <is>
          <t>VÄSTRA GÖTALANDS LÄN</t>
        </is>
      </c>
      <c r="E9442" t="inlineStr">
        <is>
          <t>LERUM</t>
        </is>
      </c>
      <c r="G9442" t="n">
        <v>3.6</v>
      </c>
      <c r="H9442" t="n">
        <v>0</v>
      </c>
      <c r="I9442" t="n">
        <v>0</v>
      </c>
      <c r="J9442" t="n">
        <v>0</v>
      </c>
      <c r="K9442" t="n">
        <v>0</v>
      </c>
      <c r="L9442" t="n">
        <v>0</v>
      </c>
      <c r="M9442" t="n">
        <v>0</v>
      </c>
      <c r="N9442" t="n">
        <v>0</v>
      </c>
      <c r="O9442" t="n">
        <v>0</v>
      </c>
      <c r="P9442" t="n">
        <v>0</v>
      </c>
      <c r="Q9442" t="n">
        <v>0</v>
      </c>
      <c r="R9442" s="2" t="inlineStr"/>
    </row>
    <row r="9443" ht="15" customHeight="1">
      <c r="A9443" t="inlineStr">
        <is>
          <t>A 2517-2023</t>
        </is>
      </c>
      <c r="B9443" s="1" t="n">
        <v>44943</v>
      </c>
      <c r="C9443" s="1" t="n">
        <v>45212</v>
      </c>
      <c r="D9443" t="inlineStr">
        <is>
          <t>VÄSTRA GÖTALANDS LÄN</t>
        </is>
      </c>
      <c r="E9443" t="inlineStr">
        <is>
          <t>BENGTSFORS</t>
        </is>
      </c>
      <c r="G9443" t="n">
        <v>8.4</v>
      </c>
      <c r="H9443" t="n">
        <v>0</v>
      </c>
      <c r="I9443" t="n">
        <v>0</v>
      </c>
      <c r="J9443" t="n">
        <v>0</v>
      </c>
      <c r="K9443" t="n">
        <v>0</v>
      </c>
      <c r="L9443" t="n">
        <v>0</v>
      </c>
      <c r="M9443" t="n">
        <v>0</v>
      </c>
      <c r="N9443" t="n">
        <v>0</v>
      </c>
      <c r="O9443" t="n">
        <v>0</v>
      </c>
      <c r="P9443" t="n">
        <v>0</v>
      </c>
      <c r="Q9443" t="n">
        <v>0</v>
      </c>
      <c r="R9443" s="2" t="inlineStr"/>
    </row>
    <row r="9444" ht="15" customHeight="1">
      <c r="A9444" t="inlineStr">
        <is>
          <t>A 2524-2023</t>
        </is>
      </c>
      <c r="B9444" s="1" t="n">
        <v>44943</v>
      </c>
      <c r="C9444" s="1" t="n">
        <v>45212</v>
      </c>
      <c r="D9444" t="inlineStr">
        <is>
          <t>VÄSTRA GÖTALANDS LÄN</t>
        </is>
      </c>
      <c r="E9444" t="inlineStr">
        <is>
          <t>BENGTSFORS</t>
        </is>
      </c>
      <c r="G9444" t="n">
        <v>0.5</v>
      </c>
      <c r="H9444" t="n">
        <v>0</v>
      </c>
      <c r="I9444" t="n">
        <v>0</v>
      </c>
      <c r="J9444" t="n">
        <v>0</v>
      </c>
      <c r="K9444" t="n">
        <v>0</v>
      </c>
      <c r="L9444" t="n">
        <v>0</v>
      </c>
      <c r="M9444" t="n">
        <v>0</v>
      </c>
      <c r="N9444" t="n">
        <v>0</v>
      </c>
      <c r="O9444" t="n">
        <v>0</v>
      </c>
      <c r="P9444" t="n">
        <v>0</v>
      </c>
      <c r="Q9444" t="n">
        <v>0</v>
      </c>
      <c r="R9444" s="2" t="inlineStr"/>
    </row>
    <row r="9445" ht="15" customHeight="1">
      <c r="A9445" t="inlineStr">
        <is>
          <t>A 2576-2023</t>
        </is>
      </c>
      <c r="B9445" s="1" t="n">
        <v>44943</v>
      </c>
      <c r="C9445" s="1" t="n">
        <v>45212</v>
      </c>
      <c r="D9445" t="inlineStr">
        <is>
          <t>VÄSTRA GÖTALANDS LÄN</t>
        </is>
      </c>
      <c r="E9445" t="inlineStr">
        <is>
          <t>SKÖVDE</t>
        </is>
      </c>
      <c r="G9445" t="n">
        <v>8.199999999999999</v>
      </c>
      <c r="H9445" t="n">
        <v>0</v>
      </c>
      <c r="I9445" t="n">
        <v>0</v>
      </c>
      <c r="J9445" t="n">
        <v>0</v>
      </c>
      <c r="K9445" t="n">
        <v>0</v>
      </c>
      <c r="L9445" t="n">
        <v>0</v>
      </c>
      <c r="M9445" t="n">
        <v>0</v>
      </c>
      <c r="N9445" t="n">
        <v>0</v>
      </c>
      <c r="O9445" t="n">
        <v>0</v>
      </c>
      <c r="P9445" t="n">
        <v>0</v>
      </c>
      <c r="Q9445" t="n">
        <v>0</v>
      </c>
      <c r="R9445" s="2" t="inlineStr"/>
    </row>
    <row r="9446" ht="15" customHeight="1">
      <c r="A9446" t="inlineStr">
        <is>
          <t>A 2917-2023</t>
        </is>
      </c>
      <c r="B9446" s="1" t="n">
        <v>44943</v>
      </c>
      <c r="C9446" s="1" t="n">
        <v>45212</v>
      </c>
      <c r="D9446" t="inlineStr">
        <is>
          <t>VÄSTRA GÖTALANDS LÄN</t>
        </is>
      </c>
      <c r="E9446" t="inlineStr">
        <is>
          <t>VÅRGÅRDA</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2450-2023</t>
        </is>
      </c>
      <c r="B9447" s="1" t="n">
        <v>44943</v>
      </c>
      <c r="C9447" s="1" t="n">
        <v>45212</v>
      </c>
      <c r="D9447" t="inlineStr">
        <is>
          <t>VÄSTRA GÖTALANDS LÄN</t>
        </is>
      </c>
      <c r="E9447" t="inlineStr">
        <is>
          <t>LERUM</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2570-2023</t>
        </is>
      </c>
      <c r="B9448" s="1" t="n">
        <v>44943</v>
      </c>
      <c r="C9448" s="1" t="n">
        <v>45212</v>
      </c>
      <c r="D9448" t="inlineStr">
        <is>
          <t>VÄSTRA GÖTALANDS LÄN</t>
        </is>
      </c>
      <c r="E9448" t="inlineStr">
        <is>
          <t>BENGTSFORS</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2440-2023</t>
        </is>
      </c>
      <c r="B9449" s="1" t="n">
        <v>44943</v>
      </c>
      <c r="C9449" s="1" t="n">
        <v>45212</v>
      </c>
      <c r="D9449" t="inlineStr">
        <is>
          <t>VÄSTRA GÖTALANDS LÄN</t>
        </is>
      </c>
      <c r="E9449" t="inlineStr">
        <is>
          <t>LERUM</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2583-2023</t>
        </is>
      </c>
      <c r="B9450" s="1" t="n">
        <v>44943</v>
      </c>
      <c r="C9450" s="1" t="n">
        <v>45212</v>
      </c>
      <c r="D9450" t="inlineStr">
        <is>
          <t>VÄSTRA GÖTALANDS LÄN</t>
        </is>
      </c>
      <c r="E9450" t="inlineStr">
        <is>
          <t>MARIESTAD</t>
        </is>
      </c>
      <c r="G9450" t="n">
        <v>5.9</v>
      </c>
      <c r="H9450" t="n">
        <v>0</v>
      </c>
      <c r="I9450" t="n">
        <v>0</v>
      </c>
      <c r="J9450" t="n">
        <v>0</v>
      </c>
      <c r="K9450" t="n">
        <v>0</v>
      </c>
      <c r="L9450" t="n">
        <v>0</v>
      </c>
      <c r="M9450" t="n">
        <v>0</v>
      </c>
      <c r="N9450" t="n">
        <v>0</v>
      </c>
      <c r="O9450" t="n">
        <v>0</v>
      </c>
      <c r="P9450" t="n">
        <v>0</v>
      </c>
      <c r="Q9450" t="n">
        <v>0</v>
      </c>
      <c r="R9450" s="2" t="inlineStr"/>
    </row>
    <row r="9451" ht="15" customHeight="1">
      <c r="A9451" t="inlineStr">
        <is>
          <t>A 2706-2023</t>
        </is>
      </c>
      <c r="B9451" s="1" t="n">
        <v>44944</v>
      </c>
      <c r="C9451" s="1" t="n">
        <v>45212</v>
      </c>
      <c r="D9451" t="inlineStr">
        <is>
          <t>VÄSTRA GÖTALANDS LÄN</t>
        </is>
      </c>
      <c r="E9451" t="inlineStr">
        <is>
          <t>TANUM</t>
        </is>
      </c>
      <c r="G9451" t="n">
        <v>1.1</v>
      </c>
      <c r="H9451" t="n">
        <v>0</v>
      </c>
      <c r="I9451" t="n">
        <v>0</v>
      </c>
      <c r="J9451" t="n">
        <v>0</v>
      </c>
      <c r="K9451" t="n">
        <v>0</v>
      </c>
      <c r="L9451" t="n">
        <v>0</v>
      </c>
      <c r="M9451" t="n">
        <v>0</v>
      </c>
      <c r="N9451" t="n">
        <v>0</v>
      </c>
      <c r="O9451" t="n">
        <v>0</v>
      </c>
      <c r="P9451" t="n">
        <v>0</v>
      </c>
      <c r="Q9451" t="n">
        <v>0</v>
      </c>
      <c r="R9451" s="2" t="inlineStr"/>
    </row>
    <row r="9452" ht="15" customHeight="1">
      <c r="A9452" t="inlineStr">
        <is>
          <t>A 2661-2023</t>
        </is>
      </c>
      <c r="B9452" s="1" t="n">
        <v>44944</v>
      </c>
      <c r="C9452" s="1" t="n">
        <v>45212</v>
      </c>
      <c r="D9452" t="inlineStr">
        <is>
          <t>VÄSTRA GÖTALANDS LÄN</t>
        </is>
      </c>
      <c r="E9452" t="inlineStr">
        <is>
          <t>UDDEVALLA</t>
        </is>
      </c>
      <c r="G9452" t="n">
        <v>6.1</v>
      </c>
      <c r="H9452" t="n">
        <v>0</v>
      </c>
      <c r="I9452" t="n">
        <v>0</v>
      </c>
      <c r="J9452" t="n">
        <v>0</v>
      </c>
      <c r="K9452" t="n">
        <v>0</v>
      </c>
      <c r="L9452" t="n">
        <v>0</v>
      </c>
      <c r="M9452" t="n">
        <v>0</v>
      </c>
      <c r="N9452" t="n">
        <v>0</v>
      </c>
      <c r="O9452" t="n">
        <v>0</v>
      </c>
      <c r="P9452" t="n">
        <v>0</v>
      </c>
      <c r="Q9452" t="n">
        <v>0</v>
      </c>
      <c r="R9452" s="2" t="inlineStr"/>
    </row>
    <row r="9453" ht="15" customHeight="1">
      <c r="A9453" t="inlineStr">
        <is>
          <t>A 2803-2023</t>
        </is>
      </c>
      <c r="B9453" s="1" t="n">
        <v>44944</v>
      </c>
      <c r="C9453" s="1" t="n">
        <v>45212</v>
      </c>
      <c r="D9453" t="inlineStr">
        <is>
          <t>VÄSTRA GÖTALANDS LÄN</t>
        </is>
      </c>
      <c r="E9453" t="inlineStr">
        <is>
          <t>BENGTSFORS</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2809-2023</t>
        </is>
      </c>
      <c r="B9454" s="1" t="n">
        <v>44944</v>
      </c>
      <c r="C9454" s="1" t="n">
        <v>45212</v>
      </c>
      <c r="D9454" t="inlineStr">
        <is>
          <t>VÄSTRA GÖTALANDS LÄN</t>
        </is>
      </c>
      <c r="E9454" t="inlineStr">
        <is>
          <t>MARIESTAD</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2792-2023</t>
        </is>
      </c>
      <c r="B9455" s="1" t="n">
        <v>44944</v>
      </c>
      <c r="C9455" s="1" t="n">
        <v>45212</v>
      </c>
      <c r="D9455" t="inlineStr">
        <is>
          <t>VÄSTRA GÖTALANDS LÄN</t>
        </is>
      </c>
      <c r="E9455" t="inlineStr">
        <is>
          <t>TANUM</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2808-2023</t>
        </is>
      </c>
      <c r="B9456" s="1" t="n">
        <v>44944</v>
      </c>
      <c r="C9456" s="1" t="n">
        <v>45212</v>
      </c>
      <c r="D9456" t="inlineStr">
        <is>
          <t>VÄSTRA GÖTALANDS LÄN</t>
        </is>
      </c>
      <c r="E9456" t="inlineStr">
        <is>
          <t>MARIESTAD</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2930-2023</t>
        </is>
      </c>
      <c r="B9457" s="1" t="n">
        <v>44945</v>
      </c>
      <c r="C9457" s="1" t="n">
        <v>45212</v>
      </c>
      <c r="D9457" t="inlineStr">
        <is>
          <t>VÄSTRA GÖTALANDS LÄN</t>
        </is>
      </c>
      <c r="E9457" t="inlineStr">
        <is>
          <t>TIDAHOLM</t>
        </is>
      </c>
      <c r="F9457" t="inlineStr">
        <is>
          <t>Sveaskog</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2866-2023</t>
        </is>
      </c>
      <c r="B9458" s="1" t="n">
        <v>44945</v>
      </c>
      <c r="C9458" s="1" t="n">
        <v>45212</v>
      </c>
      <c r="D9458" t="inlineStr">
        <is>
          <t>VÄSTRA GÖTALANDS LÄN</t>
        </is>
      </c>
      <c r="E9458" t="inlineStr">
        <is>
          <t>HJO</t>
        </is>
      </c>
      <c r="G9458" t="n">
        <v>0.6</v>
      </c>
      <c r="H9458" t="n">
        <v>0</v>
      </c>
      <c r="I9458" t="n">
        <v>0</v>
      </c>
      <c r="J9458" t="n">
        <v>0</v>
      </c>
      <c r="K9458" t="n">
        <v>0</v>
      </c>
      <c r="L9458" t="n">
        <v>0</v>
      </c>
      <c r="M9458" t="n">
        <v>0</v>
      </c>
      <c r="N9458" t="n">
        <v>0</v>
      </c>
      <c r="O9458" t="n">
        <v>0</v>
      </c>
      <c r="P9458" t="n">
        <v>0</v>
      </c>
      <c r="Q9458" t="n">
        <v>0</v>
      </c>
      <c r="R9458" s="2" t="inlineStr"/>
    </row>
    <row r="9459" ht="15" customHeight="1">
      <c r="A9459" t="inlineStr">
        <is>
          <t>A 2989-2023</t>
        </is>
      </c>
      <c r="B9459" s="1" t="n">
        <v>44945</v>
      </c>
      <c r="C9459" s="1" t="n">
        <v>45212</v>
      </c>
      <c r="D9459" t="inlineStr">
        <is>
          <t>VÄSTRA GÖTALANDS LÄN</t>
        </is>
      </c>
      <c r="E9459" t="inlineStr">
        <is>
          <t>FALKÖPING</t>
        </is>
      </c>
      <c r="G9459" t="n">
        <v>1.7</v>
      </c>
      <c r="H9459" t="n">
        <v>0</v>
      </c>
      <c r="I9459" t="n">
        <v>0</v>
      </c>
      <c r="J9459" t="n">
        <v>0</v>
      </c>
      <c r="K9459" t="n">
        <v>0</v>
      </c>
      <c r="L9459" t="n">
        <v>0</v>
      </c>
      <c r="M9459" t="n">
        <v>0</v>
      </c>
      <c r="N9459" t="n">
        <v>0</v>
      </c>
      <c r="O9459" t="n">
        <v>0</v>
      </c>
      <c r="P9459" t="n">
        <v>0</v>
      </c>
      <c r="Q9459" t="n">
        <v>0</v>
      </c>
      <c r="R9459" s="2" t="inlineStr"/>
    </row>
    <row r="9460" ht="15" customHeight="1">
      <c r="A9460" t="inlineStr">
        <is>
          <t>A 3166-2023</t>
        </is>
      </c>
      <c r="B9460" s="1" t="n">
        <v>44945</v>
      </c>
      <c r="C9460" s="1" t="n">
        <v>45212</v>
      </c>
      <c r="D9460" t="inlineStr">
        <is>
          <t>VÄSTRA GÖTALANDS LÄN</t>
        </is>
      </c>
      <c r="E9460" t="inlineStr">
        <is>
          <t>MARK</t>
        </is>
      </c>
      <c r="G9460" t="n">
        <v>1.4</v>
      </c>
      <c r="H9460" t="n">
        <v>0</v>
      </c>
      <c r="I9460" t="n">
        <v>0</v>
      </c>
      <c r="J9460" t="n">
        <v>0</v>
      </c>
      <c r="K9460" t="n">
        <v>0</v>
      </c>
      <c r="L9460" t="n">
        <v>0</v>
      </c>
      <c r="M9460" t="n">
        <v>0</v>
      </c>
      <c r="N9460" t="n">
        <v>0</v>
      </c>
      <c r="O9460" t="n">
        <v>0</v>
      </c>
      <c r="P9460" t="n">
        <v>0</v>
      </c>
      <c r="Q9460" t="n">
        <v>0</v>
      </c>
      <c r="R9460" s="2" t="inlineStr"/>
    </row>
    <row r="9461" ht="15" customHeight="1">
      <c r="A9461" t="inlineStr">
        <is>
          <t>A 3288-2023</t>
        </is>
      </c>
      <c r="B9461" s="1" t="n">
        <v>44945</v>
      </c>
      <c r="C9461" s="1" t="n">
        <v>45212</v>
      </c>
      <c r="D9461" t="inlineStr">
        <is>
          <t>VÄSTRA GÖTALANDS LÄN</t>
        </is>
      </c>
      <c r="E9461" t="inlineStr">
        <is>
          <t>MUNKEDAL</t>
        </is>
      </c>
      <c r="F9461" t="inlineStr">
        <is>
          <t>Övriga Aktiebolag</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3058-2023</t>
        </is>
      </c>
      <c r="B9462" s="1" t="n">
        <v>44946</v>
      </c>
      <c r="C9462" s="1" t="n">
        <v>45212</v>
      </c>
      <c r="D9462" t="inlineStr">
        <is>
          <t>VÄSTRA GÖTALANDS LÄN</t>
        </is>
      </c>
      <c r="E9462" t="inlineStr">
        <is>
          <t>VÅRGÅRDA</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3155-2023</t>
        </is>
      </c>
      <c r="B9463" s="1" t="n">
        <v>44946</v>
      </c>
      <c r="C9463" s="1" t="n">
        <v>45212</v>
      </c>
      <c r="D9463" t="inlineStr">
        <is>
          <t>VÄSTRA GÖTALANDS LÄN</t>
        </is>
      </c>
      <c r="E9463" t="inlineStr">
        <is>
          <t>BENGTSFORS</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3057-2023</t>
        </is>
      </c>
      <c r="B9464" s="1" t="n">
        <v>44946</v>
      </c>
      <c r="C9464" s="1" t="n">
        <v>45212</v>
      </c>
      <c r="D9464" t="inlineStr">
        <is>
          <t>VÄSTRA GÖTALANDS LÄN</t>
        </is>
      </c>
      <c r="E9464" t="inlineStr">
        <is>
          <t>VÅRGÅRDA</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3131-2023</t>
        </is>
      </c>
      <c r="B9465" s="1" t="n">
        <v>44946</v>
      </c>
      <c r="C9465" s="1" t="n">
        <v>45212</v>
      </c>
      <c r="D9465" t="inlineStr">
        <is>
          <t>VÄSTRA GÖTALANDS LÄN</t>
        </is>
      </c>
      <c r="E9465" t="inlineStr">
        <is>
          <t>TANUM</t>
        </is>
      </c>
      <c r="G9465" t="n">
        <v>11.4</v>
      </c>
      <c r="H9465" t="n">
        <v>0</v>
      </c>
      <c r="I9465" t="n">
        <v>0</v>
      </c>
      <c r="J9465" t="n">
        <v>0</v>
      </c>
      <c r="K9465" t="n">
        <v>0</v>
      </c>
      <c r="L9465" t="n">
        <v>0</v>
      </c>
      <c r="M9465" t="n">
        <v>0</v>
      </c>
      <c r="N9465" t="n">
        <v>0</v>
      </c>
      <c r="O9465" t="n">
        <v>0</v>
      </c>
      <c r="P9465" t="n">
        <v>0</v>
      </c>
      <c r="Q9465" t="n">
        <v>0</v>
      </c>
      <c r="R9465" s="2" t="inlineStr"/>
    </row>
    <row r="9466" ht="15" customHeight="1">
      <c r="A9466" t="inlineStr">
        <is>
          <t>A 3074-2023</t>
        </is>
      </c>
      <c r="B9466" s="1" t="n">
        <v>44946</v>
      </c>
      <c r="C9466" s="1" t="n">
        <v>45212</v>
      </c>
      <c r="D9466" t="inlineStr">
        <is>
          <t>VÄSTRA GÖTALANDS LÄN</t>
        </is>
      </c>
      <c r="E9466" t="inlineStr">
        <is>
          <t>TROLLHÄTTAN</t>
        </is>
      </c>
      <c r="G9466" t="n">
        <v>6.1</v>
      </c>
      <c r="H9466" t="n">
        <v>0</v>
      </c>
      <c r="I9466" t="n">
        <v>0</v>
      </c>
      <c r="J9466" t="n">
        <v>0</v>
      </c>
      <c r="K9466" t="n">
        <v>0</v>
      </c>
      <c r="L9466" t="n">
        <v>0</v>
      </c>
      <c r="M9466" t="n">
        <v>0</v>
      </c>
      <c r="N9466" t="n">
        <v>0</v>
      </c>
      <c r="O9466" t="n">
        <v>0</v>
      </c>
      <c r="P9466" t="n">
        <v>0</v>
      </c>
      <c r="Q9466" t="n">
        <v>0</v>
      </c>
      <c r="R9466" s="2" t="inlineStr"/>
    </row>
    <row r="9467" ht="15" customHeight="1">
      <c r="A9467" t="inlineStr">
        <is>
          <t>A 3144-2023</t>
        </is>
      </c>
      <c r="B9467" s="1" t="n">
        <v>44946</v>
      </c>
      <c r="C9467" s="1" t="n">
        <v>45212</v>
      </c>
      <c r="D9467" t="inlineStr">
        <is>
          <t>VÄSTRA GÖTALANDS LÄN</t>
        </is>
      </c>
      <c r="E9467" t="inlineStr">
        <is>
          <t>SKARA</t>
        </is>
      </c>
      <c r="G9467" t="n">
        <v>7.3</v>
      </c>
      <c r="H9467" t="n">
        <v>0</v>
      </c>
      <c r="I9467" t="n">
        <v>0</v>
      </c>
      <c r="J9467" t="n">
        <v>0</v>
      </c>
      <c r="K9467" t="n">
        <v>0</v>
      </c>
      <c r="L9467" t="n">
        <v>0</v>
      </c>
      <c r="M9467" t="n">
        <v>0</v>
      </c>
      <c r="N9467" t="n">
        <v>0</v>
      </c>
      <c r="O9467" t="n">
        <v>0</v>
      </c>
      <c r="P9467" t="n">
        <v>0</v>
      </c>
      <c r="Q9467" t="n">
        <v>0</v>
      </c>
      <c r="R9467" s="2" t="inlineStr"/>
    </row>
    <row r="9468" ht="15" customHeight="1">
      <c r="A9468" t="inlineStr">
        <is>
          <t>A 3223-2023</t>
        </is>
      </c>
      <c r="B9468" s="1" t="n">
        <v>44946</v>
      </c>
      <c r="C9468" s="1" t="n">
        <v>45212</v>
      </c>
      <c r="D9468" t="inlineStr">
        <is>
          <t>VÄSTRA GÖTALANDS LÄN</t>
        </is>
      </c>
      <c r="E9468" t="inlineStr">
        <is>
          <t>BOLLEBYGD</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3611-2023</t>
        </is>
      </c>
      <c r="B9469" s="1" t="n">
        <v>44946</v>
      </c>
      <c r="C9469" s="1" t="n">
        <v>45212</v>
      </c>
      <c r="D9469" t="inlineStr">
        <is>
          <t>VÄSTRA GÖTALANDS LÄN</t>
        </is>
      </c>
      <c r="E9469" t="inlineStr">
        <is>
          <t>MUNKEDAL</t>
        </is>
      </c>
      <c r="F9469" t="inlineStr">
        <is>
          <t>Övriga Aktiebolag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3249-2023</t>
        </is>
      </c>
      <c r="B9470" s="1" t="n">
        <v>44947</v>
      </c>
      <c r="C9470" s="1" t="n">
        <v>45212</v>
      </c>
      <c r="D9470" t="inlineStr">
        <is>
          <t>VÄSTRA GÖTALANDS LÄN</t>
        </is>
      </c>
      <c r="E9470" t="inlineStr">
        <is>
          <t>TRANEMO</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3250-2023</t>
        </is>
      </c>
      <c r="B9471" s="1" t="n">
        <v>44947</v>
      </c>
      <c r="C9471" s="1" t="n">
        <v>45212</v>
      </c>
      <c r="D9471" t="inlineStr">
        <is>
          <t>VÄSTRA GÖTALANDS LÄN</t>
        </is>
      </c>
      <c r="E9471" t="inlineStr">
        <is>
          <t>ULRICEHAMN</t>
        </is>
      </c>
      <c r="G9471" t="n">
        <v>8.199999999999999</v>
      </c>
      <c r="H9471" t="n">
        <v>0</v>
      </c>
      <c r="I9471" t="n">
        <v>0</v>
      </c>
      <c r="J9471" t="n">
        <v>0</v>
      </c>
      <c r="K9471" t="n">
        <v>0</v>
      </c>
      <c r="L9471" t="n">
        <v>0</v>
      </c>
      <c r="M9471" t="n">
        <v>0</v>
      </c>
      <c r="N9471" t="n">
        <v>0</v>
      </c>
      <c r="O9471" t="n">
        <v>0</v>
      </c>
      <c r="P9471" t="n">
        <v>0</v>
      </c>
      <c r="Q9471" t="n">
        <v>0</v>
      </c>
      <c r="R9471" s="2" t="inlineStr"/>
    </row>
    <row r="9472" ht="15" customHeight="1">
      <c r="A9472" t="inlineStr">
        <is>
          <t>A 3476-2023</t>
        </is>
      </c>
      <c r="B9472" s="1" t="n">
        <v>44949</v>
      </c>
      <c r="C9472" s="1" t="n">
        <v>45212</v>
      </c>
      <c r="D9472" t="inlineStr">
        <is>
          <t>VÄSTRA GÖTALANDS LÄN</t>
        </is>
      </c>
      <c r="E9472" t="inlineStr">
        <is>
          <t>BORÅS</t>
        </is>
      </c>
      <c r="G9472" t="n">
        <v>3.4</v>
      </c>
      <c r="H9472" t="n">
        <v>0</v>
      </c>
      <c r="I9472" t="n">
        <v>0</v>
      </c>
      <c r="J9472" t="n">
        <v>0</v>
      </c>
      <c r="K9472" t="n">
        <v>0</v>
      </c>
      <c r="L9472" t="n">
        <v>0</v>
      </c>
      <c r="M9472" t="n">
        <v>0</v>
      </c>
      <c r="N9472" t="n">
        <v>0</v>
      </c>
      <c r="O9472" t="n">
        <v>0</v>
      </c>
      <c r="P9472" t="n">
        <v>0</v>
      </c>
      <c r="Q9472" t="n">
        <v>0</v>
      </c>
      <c r="R9472" s="2" t="inlineStr"/>
    </row>
    <row r="9473" ht="15" customHeight="1">
      <c r="A9473" t="inlineStr">
        <is>
          <t>A 3483-2023</t>
        </is>
      </c>
      <c r="B9473" s="1" t="n">
        <v>44949</v>
      </c>
      <c r="C9473" s="1" t="n">
        <v>45212</v>
      </c>
      <c r="D9473" t="inlineStr">
        <is>
          <t>VÄSTRA GÖTALANDS LÄN</t>
        </is>
      </c>
      <c r="E9473" t="inlineStr">
        <is>
          <t>BORÅS</t>
        </is>
      </c>
      <c r="G9473" t="n">
        <v>0.3</v>
      </c>
      <c r="H9473" t="n">
        <v>0</v>
      </c>
      <c r="I9473" t="n">
        <v>0</v>
      </c>
      <c r="J9473" t="n">
        <v>0</v>
      </c>
      <c r="K9473" t="n">
        <v>0</v>
      </c>
      <c r="L9473" t="n">
        <v>0</v>
      </c>
      <c r="M9473" t="n">
        <v>0</v>
      </c>
      <c r="N9473" t="n">
        <v>0</v>
      </c>
      <c r="O9473" t="n">
        <v>0</v>
      </c>
      <c r="P9473" t="n">
        <v>0</v>
      </c>
      <c r="Q9473" t="n">
        <v>0</v>
      </c>
      <c r="R9473" s="2" t="inlineStr"/>
    </row>
    <row r="9474" ht="15" customHeight="1">
      <c r="A9474" t="inlineStr">
        <is>
          <t>A 3413-2023</t>
        </is>
      </c>
      <c r="B9474" s="1" t="n">
        <v>44949</v>
      </c>
      <c r="C9474" s="1" t="n">
        <v>45212</v>
      </c>
      <c r="D9474" t="inlineStr">
        <is>
          <t>VÄSTRA GÖTALANDS LÄN</t>
        </is>
      </c>
      <c r="E9474" t="inlineStr">
        <is>
          <t>ALE</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3495-2023</t>
        </is>
      </c>
      <c r="B9475" s="1" t="n">
        <v>44949</v>
      </c>
      <c r="C9475" s="1" t="n">
        <v>45212</v>
      </c>
      <c r="D9475" t="inlineStr">
        <is>
          <t>VÄSTRA GÖTALANDS LÄN</t>
        </is>
      </c>
      <c r="E9475" t="inlineStr">
        <is>
          <t>ALINGSÅS</t>
        </is>
      </c>
      <c r="G9475" t="n">
        <v>3.8</v>
      </c>
      <c r="H9475" t="n">
        <v>0</v>
      </c>
      <c r="I9475" t="n">
        <v>0</v>
      </c>
      <c r="J9475" t="n">
        <v>0</v>
      </c>
      <c r="K9475" t="n">
        <v>0</v>
      </c>
      <c r="L9475" t="n">
        <v>0</v>
      </c>
      <c r="M9475" t="n">
        <v>0</v>
      </c>
      <c r="N9475" t="n">
        <v>0</v>
      </c>
      <c r="O9475" t="n">
        <v>0</v>
      </c>
      <c r="P9475" t="n">
        <v>0</v>
      </c>
      <c r="Q9475" t="n">
        <v>0</v>
      </c>
      <c r="R9475" s="2" t="inlineStr"/>
    </row>
    <row r="9476" ht="15" customHeight="1">
      <c r="A9476" t="inlineStr">
        <is>
          <t>A 3398-2023</t>
        </is>
      </c>
      <c r="B9476" s="1" t="n">
        <v>44949</v>
      </c>
      <c r="C9476" s="1" t="n">
        <v>45212</v>
      </c>
      <c r="D9476" t="inlineStr">
        <is>
          <t>VÄSTRA GÖTALANDS LÄN</t>
        </is>
      </c>
      <c r="E9476" t="inlineStr">
        <is>
          <t>DALS-ED</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3408-2023</t>
        </is>
      </c>
      <c r="B9477" s="1" t="n">
        <v>44949</v>
      </c>
      <c r="C9477" s="1" t="n">
        <v>45212</v>
      </c>
      <c r="D9477" t="inlineStr">
        <is>
          <t>VÄSTRA GÖTALANDS LÄN</t>
        </is>
      </c>
      <c r="E9477" t="inlineStr">
        <is>
          <t>LILLA EDET</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3469-2023</t>
        </is>
      </c>
      <c r="B9478" s="1" t="n">
        <v>44949</v>
      </c>
      <c r="C9478" s="1" t="n">
        <v>45212</v>
      </c>
      <c r="D9478" t="inlineStr">
        <is>
          <t>VÄSTRA GÖTALANDS LÄN</t>
        </is>
      </c>
      <c r="E9478" t="inlineStr">
        <is>
          <t>BORÅS</t>
        </is>
      </c>
      <c r="G9478" t="n">
        <v>1.4</v>
      </c>
      <c r="H9478" t="n">
        <v>0</v>
      </c>
      <c r="I9478" t="n">
        <v>0</v>
      </c>
      <c r="J9478" t="n">
        <v>0</v>
      </c>
      <c r="K9478" t="n">
        <v>0</v>
      </c>
      <c r="L9478" t="n">
        <v>0</v>
      </c>
      <c r="M9478" t="n">
        <v>0</v>
      </c>
      <c r="N9478" t="n">
        <v>0</v>
      </c>
      <c r="O9478" t="n">
        <v>0</v>
      </c>
      <c r="P9478" t="n">
        <v>0</v>
      </c>
      <c r="Q9478" t="n">
        <v>0</v>
      </c>
      <c r="R9478" s="2" t="inlineStr"/>
    </row>
    <row r="9479" ht="15" customHeight="1">
      <c r="A9479" t="inlineStr">
        <is>
          <t>A 3482-2023</t>
        </is>
      </c>
      <c r="B9479" s="1" t="n">
        <v>44949</v>
      </c>
      <c r="C9479" s="1" t="n">
        <v>45212</v>
      </c>
      <c r="D9479" t="inlineStr">
        <is>
          <t>VÄSTRA GÖTALANDS LÄN</t>
        </is>
      </c>
      <c r="E9479" t="inlineStr">
        <is>
          <t>BORÅS</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3655-2023</t>
        </is>
      </c>
      <c r="B9480" s="1" t="n">
        <v>44950</v>
      </c>
      <c r="C9480" s="1" t="n">
        <v>45212</v>
      </c>
      <c r="D9480" t="inlineStr">
        <is>
          <t>VÄSTRA GÖTALANDS LÄN</t>
        </is>
      </c>
      <c r="E9480" t="inlineStr">
        <is>
          <t>MARK</t>
        </is>
      </c>
      <c r="F9480" t="inlineStr">
        <is>
          <t>Sveaskog</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3682-2023</t>
        </is>
      </c>
      <c r="B9481" s="1" t="n">
        <v>44950</v>
      </c>
      <c r="C9481" s="1" t="n">
        <v>45212</v>
      </c>
      <c r="D9481" t="inlineStr">
        <is>
          <t>VÄSTRA GÖTALANDS LÄN</t>
        </is>
      </c>
      <c r="E9481" t="inlineStr">
        <is>
          <t>MARK</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3656-2023</t>
        </is>
      </c>
      <c r="B9482" s="1" t="n">
        <v>44950</v>
      </c>
      <c r="C9482" s="1" t="n">
        <v>45212</v>
      </c>
      <c r="D9482" t="inlineStr">
        <is>
          <t>VÄSTRA GÖTALANDS LÄN</t>
        </is>
      </c>
      <c r="E9482" t="inlineStr">
        <is>
          <t>MARK</t>
        </is>
      </c>
      <c r="F9482" t="inlineStr">
        <is>
          <t>Sveaskog</t>
        </is>
      </c>
      <c r="G9482" t="n">
        <v>9.800000000000001</v>
      </c>
      <c r="H9482" t="n">
        <v>0</v>
      </c>
      <c r="I9482" t="n">
        <v>0</v>
      </c>
      <c r="J9482" t="n">
        <v>0</v>
      </c>
      <c r="K9482" t="n">
        <v>0</v>
      </c>
      <c r="L9482" t="n">
        <v>0</v>
      </c>
      <c r="M9482" t="n">
        <v>0</v>
      </c>
      <c r="N9482" t="n">
        <v>0</v>
      </c>
      <c r="O9482" t="n">
        <v>0</v>
      </c>
      <c r="P9482" t="n">
        <v>0</v>
      </c>
      <c r="Q9482" t="n">
        <v>0</v>
      </c>
      <c r="R9482" s="2" t="inlineStr"/>
    </row>
    <row r="9483" ht="15" customHeight="1">
      <c r="A9483" t="inlineStr">
        <is>
          <t>A 3987-2023</t>
        </is>
      </c>
      <c r="B9483" s="1" t="n">
        <v>44950</v>
      </c>
      <c r="C9483" s="1" t="n">
        <v>45212</v>
      </c>
      <c r="D9483" t="inlineStr">
        <is>
          <t>VÄSTRA GÖTALANDS LÄN</t>
        </is>
      </c>
      <c r="E9483" t="inlineStr">
        <is>
          <t>MARK</t>
        </is>
      </c>
      <c r="G9483" t="n">
        <v>0.9</v>
      </c>
      <c r="H9483" t="n">
        <v>0</v>
      </c>
      <c r="I9483" t="n">
        <v>0</v>
      </c>
      <c r="J9483" t="n">
        <v>0</v>
      </c>
      <c r="K9483" t="n">
        <v>0</v>
      </c>
      <c r="L9483" t="n">
        <v>0</v>
      </c>
      <c r="M9483" t="n">
        <v>0</v>
      </c>
      <c r="N9483" t="n">
        <v>0</v>
      </c>
      <c r="O9483" t="n">
        <v>0</v>
      </c>
      <c r="P9483" t="n">
        <v>0</v>
      </c>
      <c r="Q9483" t="n">
        <v>0</v>
      </c>
      <c r="R9483" s="2" t="inlineStr"/>
    </row>
    <row r="9484" ht="15" customHeight="1">
      <c r="A9484" t="inlineStr">
        <is>
          <t>A 4085-2023</t>
        </is>
      </c>
      <c r="B9484" s="1" t="n">
        <v>44950</v>
      </c>
      <c r="C9484" s="1" t="n">
        <v>45212</v>
      </c>
      <c r="D9484" t="inlineStr">
        <is>
          <t>VÄSTRA GÖTALANDS LÄN</t>
        </is>
      </c>
      <c r="E9484" t="inlineStr">
        <is>
          <t>ÅMÅL</t>
        </is>
      </c>
      <c r="F9484" t="inlineStr">
        <is>
          <t>Bergvik skog väst AB</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3613-2023</t>
        </is>
      </c>
      <c r="B9485" s="1" t="n">
        <v>44950</v>
      </c>
      <c r="C9485" s="1" t="n">
        <v>45212</v>
      </c>
      <c r="D9485" t="inlineStr">
        <is>
          <t>VÄSTRA GÖTALANDS LÄN</t>
        </is>
      </c>
      <c r="E9485" t="inlineStr">
        <is>
          <t>HERRLJUNGA</t>
        </is>
      </c>
      <c r="G9485" t="n">
        <v>5.2</v>
      </c>
      <c r="H9485" t="n">
        <v>0</v>
      </c>
      <c r="I9485" t="n">
        <v>0</v>
      </c>
      <c r="J9485" t="n">
        <v>0</v>
      </c>
      <c r="K9485" t="n">
        <v>0</v>
      </c>
      <c r="L9485" t="n">
        <v>0</v>
      </c>
      <c r="M9485" t="n">
        <v>0</v>
      </c>
      <c r="N9485" t="n">
        <v>0</v>
      </c>
      <c r="O9485" t="n">
        <v>0</v>
      </c>
      <c r="P9485" t="n">
        <v>0</v>
      </c>
      <c r="Q9485" t="n">
        <v>0</v>
      </c>
      <c r="R9485" s="2" t="inlineStr"/>
    </row>
    <row r="9486" ht="15" customHeight="1">
      <c r="A9486" t="inlineStr">
        <is>
          <t>A 3647-2023</t>
        </is>
      </c>
      <c r="B9486" s="1" t="n">
        <v>44950</v>
      </c>
      <c r="C9486" s="1" t="n">
        <v>45212</v>
      </c>
      <c r="D9486" t="inlineStr">
        <is>
          <t>VÄSTRA GÖTALANDS LÄN</t>
        </is>
      </c>
      <c r="E9486" t="inlineStr">
        <is>
          <t>SVENLJUNGA</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3653-2023</t>
        </is>
      </c>
      <c r="B9487" s="1" t="n">
        <v>44950</v>
      </c>
      <c r="C9487" s="1" t="n">
        <v>45212</v>
      </c>
      <c r="D9487" t="inlineStr">
        <is>
          <t>VÄSTRA GÖTALANDS LÄN</t>
        </is>
      </c>
      <c r="E9487" t="inlineStr">
        <is>
          <t>MARK</t>
        </is>
      </c>
      <c r="F9487" t="inlineStr">
        <is>
          <t>Sveaskog</t>
        </is>
      </c>
      <c r="G9487" t="n">
        <v>1</v>
      </c>
      <c r="H9487" t="n">
        <v>0</v>
      </c>
      <c r="I9487" t="n">
        <v>0</v>
      </c>
      <c r="J9487" t="n">
        <v>0</v>
      </c>
      <c r="K9487" t="n">
        <v>0</v>
      </c>
      <c r="L9487" t="n">
        <v>0</v>
      </c>
      <c r="M9487" t="n">
        <v>0</v>
      </c>
      <c r="N9487" t="n">
        <v>0</v>
      </c>
      <c r="O9487" t="n">
        <v>0</v>
      </c>
      <c r="P9487" t="n">
        <v>0</v>
      </c>
      <c r="Q9487" t="n">
        <v>0</v>
      </c>
      <c r="R9487" s="2" t="inlineStr"/>
    </row>
    <row r="9488" ht="15" customHeight="1">
      <c r="A9488" t="inlineStr">
        <is>
          <t>A 3860-2023</t>
        </is>
      </c>
      <c r="B9488" s="1" t="n">
        <v>44951</v>
      </c>
      <c r="C9488" s="1" t="n">
        <v>45212</v>
      </c>
      <c r="D9488" t="inlineStr">
        <is>
          <t>VÄSTRA GÖTALANDS LÄN</t>
        </is>
      </c>
      <c r="E9488" t="inlineStr">
        <is>
          <t>ULRICEHAMN</t>
        </is>
      </c>
      <c r="G9488" t="n">
        <v>20.5</v>
      </c>
      <c r="H9488" t="n">
        <v>0</v>
      </c>
      <c r="I9488" t="n">
        <v>0</v>
      </c>
      <c r="J9488" t="n">
        <v>0</v>
      </c>
      <c r="K9488" t="n">
        <v>0</v>
      </c>
      <c r="L9488" t="n">
        <v>0</v>
      </c>
      <c r="M9488" t="n">
        <v>0</v>
      </c>
      <c r="N9488" t="n">
        <v>0</v>
      </c>
      <c r="O9488" t="n">
        <v>0</v>
      </c>
      <c r="P9488" t="n">
        <v>0</v>
      </c>
      <c r="Q9488" t="n">
        <v>0</v>
      </c>
      <c r="R9488" s="2" t="inlineStr"/>
    </row>
    <row r="9489" ht="15" customHeight="1">
      <c r="A9489" t="inlineStr">
        <is>
          <t>A 3759-2023</t>
        </is>
      </c>
      <c r="B9489" s="1" t="n">
        <v>44951</v>
      </c>
      <c r="C9489" s="1" t="n">
        <v>45212</v>
      </c>
      <c r="D9489" t="inlineStr">
        <is>
          <t>VÄSTRA GÖTALANDS LÄN</t>
        </is>
      </c>
      <c r="E9489" t="inlineStr">
        <is>
          <t>STRÖMSTAD</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3787-2023</t>
        </is>
      </c>
      <c r="B9490" s="1" t="n">
        <v>44951</v>
      </c>
      <c r="C9490" s="1" t="n">
        <v>45212</v>
      </c>
      <c r="D9490" t="inlineStr">
        <is>
          <t>VÄSTRA GÖTALANDS LÄN</t>
        </is>
      </c>
      <c r="E9490" t="inlineStr">
        <is>
          <t>TANUM</t>
        </is>
      </c>
      <c r="G9490" t="n">
        <v>4.2</v>
      </c>
      <c r="H9490" t="n">
        <v>0</v>
      </c>
      <c r="I9490" t="n">
        <v>0</v>
      </c>
      <c r="J9490" t="n">
        <v>0</v>
      </c>
      <c r="K9490" t="n">
        <v>0</v>
      </c>
      <c r="L9490" t="n">
        <v>0</v>
      </c>
      <c r="M9490" t="n">
        <v>0</v>
      </c>
      <c r="N9490" t="n">
        <v>0</v>
      </c>
      <c r="O9490" t="n">
        <v>0</v>
      </c>
      <c r="P9490" t="n">
        <v>0</v>
      </c>
      <c r="Q9490" t="n">
        <v>0</v>
      </c>
      <c r="R9490" s="2" t="inlineStr"/>
    </row>
    <row r="9491" ht="15" customHeight="1">
      <c r="A9491" t="inlineStr">
        <is>
          <t>A 3861-2023</t>
        </is>
      </c>
      <c r="B9491" s="1" t="n">
        <v>44951</v>
      </c>
      <c r="C9491" s="1" t="n">
        <v>45212</v>
      </c>
      <c r="D9491" t="inlineStr">
        <is>
          <t>VÄSTRA GÖTALANDS LÄN</t>
        </is>
      </c>
      <c r="E9491" t="inlineStr">
        <is>
          <t>ULRICEHAMN</t>
        </is>
      </c>
      <c r="G9491" t="n">
        <v>4.3</v>
      </c>
      <c r="H9491" t="n">
        <v>0</v>
      </c>
      <c r="I9491" t="n">
        <v>0</v>
      </c>
      <c r="J9491" t="n">
        <v>0</v>
      </c>
      <c r="K9491" t="n">
        <v>0</v>
      </c>
      <c r="L9491" t="n">
        <v>0</v>
      </c>
      <c r="M9491" t="n">
        <v>0</v>
      </c>
      <c r="N9491" t="n">
        <v>0</v>
      </c>
      <c r="O9491" t="n">
        <v>0</v>
      </c>
      <c r="P9491" t="n">
        <v>0</v>
      </c>
      <c r="Q9491" t="n">
        <v>0</v>
      </c>
      <c r="R9491" s="2" t="inlineStr"/>
    </row>
    <row r="9492" ht="15" customHeight="1">
      <c r="A9492" t="inlineStr">
        <is>
          <t>A 3754-2023</t>
        </is>
      </c>
      <c r="B9492" s="1" t="n">
        <v>44951</v>
      </c>
      <c r="C9492" s="1" t="n">
        <v>45212</v>
      </c>
      <c r="D9492" t="inlineStr">
        <is>
          <t>VÄSTRA GÖTALANDS LÄN</t>
        </is>
      </c>
      <c r="E9492" t="inlineStr">
        <is>
          <t>VÅRGÅRDA</t>
        </is>
      </c>
      <c r="G9492" t="n">
        <v>1</v>
      </c>
      <c r="H9492" t="n">
        <v>0</v>
      </c>
      <c r="I9492" t="n">
        <v>0</v>
      </c>
      <c r="J9492" t="n">
        <v>0</v>
      </c>
      <c r="K9492" t="n">
        <v>0</v>
      </c>
      <c r="L9492" t="n">
        <v>0</v>
      </c>
      <c r="M9492" t="n">
        <v>0</v>
      </c>
      <c r="N9492" t="n">
        <v>0</v>
      </c>
      <c r="O9492" t="n">
        <v>0</v>
      </c>
      <c r="P9492" t="n">
        <v>0</v>
      </c>
      <c r="Q9492" t="n">
        <v>0</v>
      </c>
      <c r="R9492" s="2" t="inlineStr"/>
    </row>
    <row r="9493" ht="15" customHeight="1">
      <c r="A9493" t="inlineStr">
        <is>
          <t>A 3862-2023</t>
        </is>
      </c>
      <c r="B9493" s="1" t="n">
        <v>44951</v>
      </c>
      <c r="C9493" s="1" t="n">
        <v>45212</v>
      </c>
      <c r="D9493" t="inlineStr">
        <is>
          <t>VÄSTRA GÖTALANDS LÄN</t>
        </is>
      </c>
      <c r="E9493" t="inlineStr">
        <is>
          <t>ULRICEHAMN</t>
        </is>
      </c>
      <c r="G9493" t="n">
        <v>10.7</v>
      </c>
      <c r="H9493" t="n">
        <v>0</v>
      </c>
      <c r="I9493" t="n">
        <v>0</v>
      </c>
      <c r="J9493" t="n">
        <v>0</v>
      </c>
      <c r="K9493" t="n">
        <v>0</v>
      </c>
      <c r="L9493" t="n">
        <v>0</v>
      </c>
      <c r="M9493" t="n">
        <v>0</v>
      </c>
      <c r="N9493" t="n">
        <v>0</v>
      </c>
      <c r="O9493" t="n">
        <v>0</v>
      </c>
      <c r="P9493" t="n">
        <v>0</v>
      </c>
      <c r="Q9493" t="n">
        <v>0</v>
      </c>
      <c r="R9493" s="2" t="inlineStr"/>
    </row>
    <row r="9494" ht="15" customHeight="1">
      <c r="A9494" t="inlineStr">
        <is>
          <t>A 4178-2023</t>
        </is>
      </c>
      <c r="B9494" s="1" t="n">
        <v>44951</v>
      </c>
      <c r="C9494" s="1" t="n">
        <v>45212</v>
      </c>
      <c r="D9494" t="inlineStr">
        <is>
          <t>VÄSTRA GÖTALANDS LÄN</t>
        </is>
      </c>
      <c r="E9494" t="inlineStr">
        <is>
          <t>TÖREBODA</t>
        </is>
      </c>
      <c r="G9494" t="n">
        <v>20</v>
      </c>
      <c r="H9494" t="n">
        <v>0</v>
      </c>
      <c r="I9494" t="n">
        <v>0</v>
      </c>
      <c r="J9494" t="n">
        <v>0</v>
      </c>
      <c r="K9494" t="n">
        <v>0</v>
      </c>
      <c r="L9494" t="n">
        <v>0</v>
      </c>
      <c r="M9494" t="n">
        <v>0</v>
      </c>
      <c r="N9494" t="n">
        <v>0</v>
      </c>
      <c r="O9494" t="n">
        <v>0</v>
      </c>
      <c r="P9494" t="n">
        <v>0</v>
      </c>
      <c r="Q9494" t="n">
        <v>0</v>
      </c>
      <c r="R9494" s="2" t="inlineStr"/>
    </row>
    <row r="9495" ht="15" customHeight="1">
      <c r="A9495" t="inlineStr">
        <is>
          <t>A 4218-2023</t>
        </is>
      </c>
      <c r="B9495" s="1" t="n">
        <v>44951</v>
      </c>
      <c r="C9495" s="1" t="n">
        <v>45212</v>
      </c>
      <c r="D9495" t="inlineStr">
        <is>
          <t>VÄSTRA GÖTALANDS LÄN</t>
        </is>
      </c>
      <c r="E9495" t="inlineStr">
        <is>
          <t>TÖREBODA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4578-2023</t>
        </is>
      </c>
      <c r="B9496" s="1" t="n">
        <v>44951</v>
      </c>
      <c r="C9496" s="1" t="n">
        <v>45212</v>
      </c>
      <c r="D9496" t="inlineStr">
        <is>
          <t>VÄSTRA GÖTALANDS LÄN</t>
        </is>
      </c>
      <c r="E9496" t="inlineStr">
        <is>
          <t>STENUNGSUND</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3839-2023</t>
        </is>
      </c>
      <c r="B9497" s="1" t="n">
        <v>44951</v>
      </c>
      <c r="C9497" s="1" t="n">
        <v>45212</v>
      </c>
      <c r="D9497" t="inlineStr">
        <is>
          <t>VÄSTRA GÖTALANDS LÄN</t>
        </is>
      </c>
      <c r="E9497" t="inlineStr">
        <is>
          <t>UDDEVALLA</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4272-2023</t>
        </is>
      </c>
      <c r="B9498" s="1" t="n">
        <v>44951</v>
      </c>
      <c r="C9498" s="1" t="n">
        <v>45212</v>
      </c>
      <c r="D9498" t="inlineStr">
        <is>
          <t>VÄSTRA GÖTALANDS LÄN</t>
        </is>
      </c>
      <c r="E9498" t="inlineStr">
        <is>
          <t>HJO</t>
        </is>
      </c>
      <c r="G9498" t="n">
        <v>1.8</v>
      </c>
      <c r="H9498" t="n">
        <v>0</v>
      </c>
      <c r="I9498" t="n">
        <v>0</v>
      </c>
      <c r="J9498" t="n">
        <v>0</v>
      </c>
      <c r="K9498" t="n">
        <v>0</v>
      </c>
      <c r="L9498" t="n">
        <v>0</v>
      </c>
      <c r="M9498" t="n">
        <v>0</v>
      </c>
      <c r="N9498" t="n">
        <v>0</v>
      </c>
      <c r="O9498" t="n">
        <v>0</v>
      </c>
      <c r="P9498" t="n">
        <v>0</v>
      </c>
      <c r="Q9498" t="n">
        <v>0</v>
      </c>
      <c r="R9498" s="2" t="inlineStr"/>
    </row>
    <row r="9499" ht="15" customHeight="1">
      <c r="A9499" t="inlineStr">
        <is>
          <t>A 4068-2023</t>
        </is>
      </c>
      <c r="B9499" s="1" t="n">
        <v>44952</v>
      </c>
      <c r="C9499" s="1" t="n">
        <v>45212</v>
      </c>
      <c r="D9499" t="inlineStr">
        <is>
          <t>VÄSTRA GÖTALANDS LÄN</t>
        </is>
      </c>
      <c r="E9499" t="inlineStr">
        <is>
          <t>VÅRGÅRDA</t>
        </is>
      </c>
      <c r="G9499" t="n">
        <v>0.9</v>
      </c>
      <c r="H9499" t="n">
        <v>0</v>
      </c>
      <c r="I9499" t="n">
        <v>0</v>
      </c>
      <c r="J9499" t="n">
        <v>0</v>
      </c>
      <c r="K9499" t="n">
        <v>0</v>
      </c>
      <c r="L9499" t="n">
        <v>0</v>
      </c>
      <c r="M9499" t="n">
        <v>0</v>
      </c>
      <c r="N9499" t="n">
        <v>0</v>
      </c>
      <c r="O9499" t="n">
        <v>0</v>
      </c>
      <c r="P9499" t="n">
        <v>0</v>
      </c>
      <c r="Q9499" t="n">
        <v>0</v>
      </c>
      <c r="R9499" s="2" t="inlineStr"/>
    </row>
    <row r="9500" ht="15" customHeight="1">
      <c r="A9500" t="inlineStr">
        <is>
          <t>A 4107-2023</t>
        </is>
      </c>
      <c r="B9500" s="1" t="n">
        <v>44952</v>
      </c>
      <c r="C9500" s="1" t="n">
        <v>45212</v>
      </c>
      <c r="D9500" t="inlineStr">
        <is>
          <t>VÄSTRA GÖTALANDS LÄN</t>
        </is>
      </c>
      <c r="E9500" t="inlineStr">
        <is>
          <t>DALS-ED</t>
        </is>
      </c>
      <c r="G9500" t="n">
        <v>9.199999999999999</v>
      </c>
      <c r="H9500" t="n">
        <v>0</v>
      </c>
      <c r="I9500" t="n">
        <v>0</v>
      </c>
      <c r="J9500" t="n">
        <v>0</v>
      </c>
      <c r="K9500" t="n">
        <v>0</v>
      </c>
      <c r="L9500" t="n">
        <v>0</v>
      </c>
      <c r="M9500" t="n">
        <v>0</v>
      </c>
      <c r="N9500" t="n">
        <v>0</v>
      </c>
      <c r="O9500" t="n">
        <v>0</v>
      </c>
      <c r="P9500" t="n">
        <v>0</v>
      </c>
      <c r="Q9500" t="n">
        <v>0</v>
      </c>
      <c r="R9500" s="2" t="inlineStr"/>
    </row>
    <row r="9501" ht="15" customHeight="1">
      <c r="A9501" t="inlineStr">
        <is>
          <t>A 4112-2023</t>
        </is>
      </c>
      <c r="B9501" s="1" t="n">
        <v>44952</v>
      </c>
      <c r="C9501" s="1" t="n">
        <v>45212</v>
      </c>
      <c r="D9501" t="inlineStr">
        <is>
          <t>VÄSTRA GÖTALANDS LÄN</t>
        </is>
      </c>
      <c r="E9501" t="inlineStr">
        <is>
          <t>DALS-ED</t>
        </is>
      </c>
      <c r="G9501" t="n">
        <v>7.4</v>
      </c>
      <c r="H9501" t="n">
        <v>0</v>
      </c>
      <c r="I9501" t="n">
        <v>0</v>
      </c>
      <c r="J9501" t="n">
        <v>0</v>
      </c>
      <c r="K9501" t="n">
        <v>0</v>
      </c>
      <c r="L9501" t="n">
        <v>0</v>
      </c>
      <c r="M9501" t="n">
        <v>0</v>
      </c>
      <c r="N9501" t="n">
        <v>0</v>
      </c>
      <c r="O9501" t="n">
        <v>0</v>
      </c>
      <c r="P9501" t="n">
        <v>0</v>
      </c>
      <c r="Q9501" t="n">
        <v>0</v>
      </c>
      <c r="R9501" s="2" t="inlineStr"/>
    </row>
    <row r="9502" ht="15" customHeight="1">
      <c r="A9502" t="inlineStr">
        <is>
          <t>A 4436-2023</t>
        </is>
      </c>
      <c r="B9502" s="1" t="n">
        <v>44952</v>
      </c>
      <c r="C9502" s="1" t="n">
        <v>45212</v>
      </c>
      <c r="D9502" t="inlineStr">
        <is>
          <t>VÄSTRA GÖTALANDS LÄN</t>
        </is>
      </c>
      <c r="E9502" t="inlineStr">
        <is>
          <t>FALKÖPING</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3989-2023</t>
        </is>
      </c>
      <c r="B9503" s="1" t="n">
        <v>44952</v>
      </c>
      <c r="C9503" s="1" t="n">
        <v>45212</v>
      </c>
      <c r="D9503" t="inlineStr">
        <is>
          <t>VÄSTRA GÖTALANDS LÄN</t>
        </is>
      </c>
      <c r="E9503" t="inlineStr">
        <is>
          <t>MELLERUD</t>
        </is>
      </c>
      <c r="G9503" t="n">
        <v>1.5</v>
      </c>
      <c r="H9503" t="n">
        <v>0</v>
      </c>
      <c r="I9503" t="n">
        <v>0</v>
      </c>
      <c r="J9503" t="n">
        <v>0</v>
      </c>
      <c r="K9503" t="n">
        <v>0</v>
      </c>
      <c r="L9503" t="n">
        <v>0</v>
      </c>
      <c r="M9503" t="n">
        <v>0</v>
      </c>
      <c r="N9503" t="n">
        <v>0</v>
      </c>
      <c r="O9503" t="n">
        <v>0</v>
      </c>
      <c r="P9503" t="n">
        <v>0</v>
      </c>
      <c r="Q9503" t="n">
        <v>0</v>
      </c>
      <c r="R9503" s="2" t="inlineStr"/>
    </row>
    <row r="9504" ht="15" customHeight="1">
      <c r="A9504" t="inlineStr">
        <is>
          <t>A 4062-2023</t>
        </is>
      </c>
      <c r="B9504" s="1" t="n">
        <v>44952</v>
      </c>
      <c r="C9504" s="1" t="n">
        <v>45212</v>
      </c>
      <c r="D9504" t="inlineStr">
        <is>
          <t>VÄSTRA GÖTALANDS LÄN</t>
        </is>
      </c>
      <c r="E9504" t="inlineStr">
        <is>
          <t>MUNKEDAL</t>
        </is>
      </c>
      <c r="F9504" t="inlineStr">
        <is>
          <t>Övriga Aktiebolag</t>
        </is>
      </c>
      <c r="G9504" t="n">
        <v>4.4</v>
      </c>
      <c r="H9504" t="n">
        <v>0</v>
      </c>
      <c r="I9504" t="n">
        <v>0</v>
      </c>
      <c r="J9504" t="n">
        <v>0</v>
      </c>
      <c r="K9504" t="n">
        <v>0</v>
      </c>
      <c r="L9504" t="n">
        <v>0</v>
      </c>
      <c r="M9504" t="n">
        <v>0</v>
      </c>
      <c r="N9504" t="n">
        <v>0</v>
      </c>
      <c r="O9504" t="n">
        <v>0</v>
      </c>
      <c r="P9504" t="n">
        <v>0</v>
      </c>
      <c r="Q9504" t="n">
        <v>0</v>
      </c>
      <c r="R9504" s="2" t="inlineStr"/>
    </row>
    <row r="9505" ht="15" customHeight="1">
      <c r="A9505" t="inlineStr">
        <is>
          <t>A 4099-2023</t>
        </is>
      </c>
      <c r="B9505" s="1" t="n">
        <v>44952</v>
      </c>
      <c r="C9505" s="1" t="n">
        <v>45212</v>
      </c>
      <c r="D9505" t="inlineStr">
        <is>
          <t>VÄSTRA GÖTALANDS LÄN</t>
        </is>
      </c>
      <c r="E9505" t="inlineStr">
        <is>
          <t>TRANEMO</t>
        </is>
      </c>
      <c r="G9505" t="n">
        <v>1</v>
      </c>
      <c r="H9505" t="n">
        <v>0</v>
      </c>
      <c r="I9505" t="n">
        <v>0</v>
      </c>
      <c r="J9505" t="n">
        <v>0</v>
      </c>
      <c r="K9505" t="n">
        <v>0</v>
      </c>
      <c r="L9505" t="n">
        <v>0</v>
      </c>
      <c r="M9505" t="n">
        <v>0</v>
      </c>
      <c r="N9505" t="n">
        <v>0</v>
      </c>
      <c r="O9505" t="n">
        <v>0</v>
      </c>
      <c r="P9505" t="n">
        <v>0</v>
      </c>
      <c r="Q9505" t="n">
        <v>0</v>
      </c>
      <c r="R9505" s="2" t="inlineStr"/>
    </row>
    <row r="9506" ht="15" customHeight="1">
      <c r="A9506" t="inlineStr">
        <is>
          <t>A 4114-2023</t>
        </is>
      </c>
      <c r="B9506" s="1" t="n">
        <v>44952</v>
      </c>
      <c r="C9506" s="1" t="n">
        <v>45212</v>
      </c>
      <c r="D9506" t="inlineStr">
        <is>
          <t>VÄSTRA GÖTALANDS LÄN</t>
        </is>
      </c>
      <c r="E9506" t="inlineStr">
        <is>
          <t>DALS-ED</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4415-2023</t>
        </is>
      </c>
      <c r="B9507" s="1" t="n">
        <v>44952</v>
      </c>
      <c r="C9507" s="1" t="n">
        <v>45212</v>
      </c>
      <c r="D9507" t="inlineStr">
        <is>
          <t>VÄSTRA GÖTALANDS LÄN</t>
        </is>
      </c>
      <c r="E9507" t="inlineStr">
        <is>
          <t>FALKÖPING</t>
        </is>
      </c>
      <c r="G9507" t="n">
        <v>17.8</v>
      </c>
      <c r="H9507" t="n">
        <v>0</v>
      </c>
      <c r="I9507" t="n">
        <v>0</v>
      </c>
      <c r="J9507" t="n">
        <v>0</v>
      </c>
      <c r="K9507" t="n">
        <v>0</v>
      </c>
      <c r="L9507" t="n">
        <v>0</v>
      </c>
      <c r="M9507" t="n">
        <v>0</v>
      </c>
      <c r="N9507" t="n">
        <v>0</v>
      </c>
      <c r="O9507" t="n">
        <v>0</v>
      </c>
      <c r="P9507" t="n">
        <v>0</v>
      </c>
      <c r="Q9507" t="n">
        <v>0</v>
      </c>
      <c r="R9507" s="2" t="inlineStr"/>
    </row>
    <row r="9508" ht="15" customHeight="1">
      <c r="A9508" t="inlineStr">
        <is>
          <t>A 4025-2023</t>
        </is>
      </c>
      <c r="B9508" s="1" t="n">
        <v>44952</v>
      </c>
      <c r="C9508" s="1" t="n">
        <v>45212</v>
      </c>
      <c r="D9508" t="inlineStr">
        <is>
          <t>VÄSTRA GÖTALANDS LÄN</t>
        </is>
      </c>
      <c r="E9508" t="inlineStr">
        <is>
          <t>DALS-ED</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4033-2023</t>
        </is>
      </c>
      <c r="B9509" s="1" t="n">
        <v>44952</v>
      </c>
      <c r="C9509" s="1" t="n">
        <v>45212</v>
      </c>
      <c r="D9509" t="inlineStr">
        <is>
          <t>VÄSTRA GÖTALANDS LÄN</t>
        </is>
      </c>
      <c r="E9509" t="inlineStr">
        <is>
          <t>SOTENÄS</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4098-2023</t>
        </is>
      </c>
      <c r="B9510" s="1" t="n">
        <v>44952</v>
      </c>
      <c r="C9510" s="1" t="n">
        <v>45212</v>
      </c>
      <c r="D9510" t="inlineStr">
        <is>
          <t>VÄSTRA GÖTALANDS LÄN</t>
        </is>
      </c>
      <c r="E9510" t="inlineStr">
        <is>
          <t>TRANEMO</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4108-2023</t>
        </is>
      </c>
      <c r="B9511" s="1" t="n">
        <v>44952</v>
      </c>
      <c r="C9511" s="1" t="n">
        <v>45212</v>
      </c>
      <c r="D9511" t="inlineStr">
        <is>
          <t>VÄSTRA GÖTALANDS LÄN</t>
        </is>
      </c>
      <c r="E9511" t="inlineStr">
        <is>
          <t>DALS-ED</t>
        </is>
      </c>
      <c r="G9511" t="n">
        <v>4</v>
      </c>
      <c r="H9511" t="n">
        <v>0</v>
      </c>
      <c r="I9511" t="n">
        <v>0</v>
      </c>
      <c r="J9511" t="n">
        <v>0</v>
      </c>
      <c r="K9511" t="n">
        <v>0</v>
      </c>
      <c r="L9511" t="n">
        <v>0</v>
      </c>
      <c r="M9511" t="n">
        <v>0</v>
      </c>
      <c r="N9511" t="n">
        <v>0</v>
      </c>
      <c r="O9511" t="n">
        <v>0</v>
      </c>
      <c r="P9511" t="n">
        <v>0</v>
      </c>
      <c r="Q9511" t="n">
        <v>0</v>
      </c>
      <c r="R9511" s="2" t="inlineStr"/>
    </row>
    <row r="9512" ht="15" customHeight="1">
      <c r="A9512" t="inlineStr">
        <is>
          <t>A 3948-2023</t>
        </is>
      </c>
      <c r="B9512" s="1" t="n">
        <v>44952</v>
      </c>
      <c r="C9512" s="1" t="n">
        <v>45212</v>
      </c>
      <c r="D9512" t="inlineStr">
        <is>
          <t>VÄSTRA GÖTALANDS LÄN</t>
        </is>
      </c>
      <c r="E9512" t="inlineStr">
        <is>
          <t>FALKÖPING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3965-2023</t>
        </is>
      </c>
      <c r="B9513" s="1" t="n">
        <v>44952</v>
      </c>
      <c r="C9513" s="1" t="n">
        <v>45212</v>
      </c>
      <c r="D9513" t="inlineStr">
        <is>
          <t>VÄSTRA GÖTALANDS LÄN</t>
        </is>
      </c>
      <c r="E9513" t="inlineStr">
        <is>
          <t>LILLA EDET</t>
        </is>
      </c>
      <c r="G9513" t="n">
        <v>2</v>
      </c>
      <c r="H9513" t="n">
        <v>0</v>
      </c>
      <c r="I9513" t="n">
        <v>0</v>
      </c>
      <c r="J9513" t="n">
        <v>0</v>
      </c>
      <c r="K9513" t="n">
        <v>0</v>
      </c>
      <c r="L9513" t="n">
        <v>0</v>
      </c>
      <c r="M9513" t="n">
        <v>0</v>
      </c>
      <c r="N9513" t="n">
        <v>0</v>
      </c>
      <c r="O9513" t="n">
        <v>0</v>
      </c>
      <c r="P9513" t="n">
        <v>0</v>
      </c>
      <c r="Q9513" t="n">
        <v>0</v>
      </c>
      <c r="R9513" s="2" t="inlineStr"/>
    </row>
    <row r="9514" ht="15" customHeight="1">
      <c r="A9514" t="inlineStr">
        <is>
          <t>A 3992-2023</t>
        </is>
      </c>
      <c r="B9514" s="1" t="n">
        <v>44952</v>
      </c>
      <c r="C9514" s="1" t="n">
        <v>45212</v>
      </c>
      <c r="D9514" t="inlineStr">
        <is>
          <t>VÄSTRA GÖTALANDS LÄN</t>
        </is>
      </c>
      <c r="E9514" t="inlineStr">
        <is>
          <t>MELLERUD</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4065-2023</t>
        </is>
      </c>
      <c r="B9515" s="1" t="n">
        <v>44952</v>
      </c>
      <c r="C9515" s="1" t="n">
        <v>45212</v>
      </c>
      <c r="D9515" t="inlineStr">
        <is>
          <t>VÄSTRA GÖTALANDS LÄN</t>
        </is>
      </c>
      <c r="E9515" t="inlineStr">
        <is>
          <t>VÅRGÅRDA</t>
        </is>
      </c>
      <c r="G9515" t="n">
        <v>1.6</v>
      </c>
      <c r="H9515" t="n">
        <v>0</v>
      </c>
      <c r="I9515" t="n">
        <v>0</v>
      </c>
      <c r="J9515" t="n">
        <v>0</v>
      </c>
      <c r="K9515" t="n">
        <v>0</v>
      </c>
      <c r="L9515" t="n">
        <v>0</v>
      </c>
      <c r="M9515" t="n">
        <v>0</v>
      </c>
      <c r="N9515" t="n">
        <v>0</v>
      </c>
      <c r="O9515" t="n">
        <v>0</v>
      </c>
      <c r="P9515" t="n">
        <v>0</v>
      </c>
      <c r="Q9515" t="n">
        <v>0</v>
      </c>
      <c r="R9515" s="2" t="inlineStr"/>
    </row>
    <row r="9516" ht="15" customHeight="1">
      <c r="A9516" t="inlineStr">
        <is>
          <t>A 4100-2023</t>
        </is>
      </c>
      <c r="B9516" s="1" t="n">
        <v>44952</v>
      </c>
      <c r="C9516" s="1" t="n">
        <v>45212</v>
      </c>
      <c r="D9516" t="inlineStr">
        <is>
          <t>VÄSTRA GÖTALANDS LÄN</t>
        </is>
      </c>
      <c r="E9516" t="inlineStr">
        <is>
          <t>TRANEMO</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4105-2023</t>
        </is>
      </c>
      <c r="B9517" s="1" t="n">
        <v>44952</v>
      </c>
      <c r="C9517" s="1" t="n">
        <v>45212</v>
      </c>
      <c r="D9517" t="inlineStr">
        <is>
          <t>VÄSTRA GÖTALANDS LÄN</t>
        </is>
      </c>
      <c r="E9517" t="inlineStr">
        <is>
          <t>DALS-ED</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4110-2023</t>
        </is>
      </c>
      <c r="B9518" s="1" t="n">
        <v>44952</v>
      </c>
      <c r="C9518" s="1" t="n">
        <v>45212</v>
      </c>
      <c r="D9518" t="inlineStr">
        <is>
          <t>VÄSTRA GÖTALANDS LÄN</t>
        </is>
      </c>
      <c r="E9518" t="inlineStr">
        <is>
          <t>DALS-ED</t>
        </is>
      </c>
      <c r="G9518" t="n">
        <v>27.4</v>
      </c>
      <c r="H9518" t="n">
        <v>0</v>
      </c>
      <c r="I9518" t="n">
        <v>0</v>
      </c>
      <c r="J9518" t="n">
        <v>0</v>
      </c>
      <c r="K9518" t="n">
        <v>0</v>
      </c>
      <c r="L9518" t="n">
        <v>0</v>
      </c>
      <c r="M9518" t="n">
        <v>0</v>
      </c>
      <c r="N9518" t="n">
        <v>0</v>
      </c>
      <c r="O9518" t="n">
        <v>0</v>
      </c>
      <c r="P9518" t="n">
        <v>0</v>
      </c>
      <c r="Q9518" t="n">
        <v>0</v>
      </c>
      <c r="R9518" s="2" t="inlineStr"/>
    </row>
    <row r="9519" ht="15" customHeight="1">
      <c r="A9519" t="inlineStr">
        <is>
          <t>A 4115-2023</t>
        </is>
      </c>
      <c r="B9519" s="1" t="n">
        <v>44952</v>
      </c>
      <c r="C9519" s="1" t="n">
        <v>45212</v>
      </c>
      <c r="D9519" t="inlineStr">
        <is>
          <t>VÄSTRA GÖTALANDS LÄN</t>
        </is>
      </c>
      <c r="E9519" t="inlineStr">
        <is>
          <t>DALS-ED</t>
        </is>
      </c>
      <c r="G9519" t="n">
        <v>4.2</v>
      </c>
      <c r="H9519" t="n">
        <v>0</v>
      </c>
      <c r="I9519" t="n">
        <v>0</v>
      </c>
      <c r="J9519" t="n">
        <v>0</v>
      </c>
      <c r="K9519" t="n">
        <v>0</v>
      </c>
      <c r="L9519" t="n">
        <v>0</v>
      </c>
      <c r="M9519" t="n">
        <v>0</v>
      </c>
      <c r="N9519" t="n">
        <v>0</v>
      </c>
      <c r="O9519" t="n">
        <v>0</v>
      </c>
      <c r="P9519" t="n">
        <v>0</v>
      </c>
      <c r="Q9519" t="n">
        <v>0</v>
      </c>
      <c r="R9519" s="2" t="inlineStr"/>
    </row>
    <row r="9520" ht="15" customHeight="1">
      <c r="A9520" t="inlineStr">
        <is>
          <t>A 4434-2023</t>
        </is>
      </c>
      <c r="B9520" s="1" t="n">
        <v>44952</v>
      </c>
      <c r="C9520" s="1" t="n">
        <v>45212</v>
      </c>
      <c r="D9520" t="inlineStr">
        <is>
          <t>VÄSTRA GÖTALANDS LÄN</t>
        </is>
      </c>
      <c r="E9520" t="inlineStr">
        <is>
          <t>FALKÖPING</t>
        </is>
      </c>
      <c r="G9520" t="n">
        <v>3.7</v>
      </c>
      <c r="H9520" t="n">
        <v>0</v>
      </c>
      <c r="I9520" t="n">
        <v>0</v>
      </c>
      <c r="J9520" t="n">
        <v>0</v>
      </c>
      <c r="K9520" t="n">
        <v>0</v>
      </c>
      <c r="L9520" t="n">
        <v>0</v>
      </c>
      <c r="M9520" t="n">
        <v>0</v>
      </c>
      <c r="N9520" t="n">
        <v>0</v>
      </c>
      <c r="O9520" t="n">
        <v>0</v>
      </c>
      <c r="P9520" t="n">
        <v>0</v>
      </c>
      <c r="Q9520" t="n">
        <v>0</v>
      </c>
      <c r="R9520" s="2" t="inlineStr"/>
    </row>
    <row r="9521" ht="15" customHeight="1">
      <c r="A9521" t="inlineStr">
        <is>
          <t>A 4141-2023</t>
        </is>
      </c>
      <c r="B9521" s="1" t="n">
        <v>44953</v>
      </c>
      <c r="C9521" s="1" t="n">
        <v>45212</v>
      </c>
      <c r="D9521" t="inlineStr">
        <is>
          <t>VÄSTRA GÖTALANDS LÄN</t>
        </is>
      </c>
      <c r="E9521" t="inlineStr">
        <is>
          <t>VÄNERSBORG</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4145-2023</t>
        </is>
      </c>
      <c r="B9522" s="1" t="n">
        <v>44953</v>
      </c>
      <c r="C9522" s="1" t="n">
        <v>45212</v>
      </c>
      <c r="D9522" t="inlineStr">
        <is>
          <t>VÄSTRA GÖTALANDS LÄN</t>
        </is>
      </c>
      <c r="E9522" t="inlineStr">
        <is>
          <t>ALINGSÅS</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4241-2023</t>
        </is>
      </c>
      <c r="B9523" s="1" t="n">
        <v>44953</v>
      </c>
      <c r="C9523" s="1" t="n">
        <v>45212</v>
      </c>
      <c r="D9523" t="inlineStr">
        <is>
          <t>VÄSTRA GÖTALANDS LÄN</t>
        </is>
      </c>
      <c r="E9523" t="inlineStr">
        <is>
          <t>TIBRO</t>
        </is>
      </c>
      <c r="G9523" t="n">
        <v>2.9</v>
      </c>
      <c r="H9523" t="n">
        <v>0</v>
      </c>
      <c r="I9523" t="n">
        <v>0</v>
      </c>
      <c r="J9523" t="n">
        <v>0</v>
      </c>
      <c r="K9523" t="n">
        <v>0</v>
      </c>
      <c r="L9523" t="n">
        <v>0</v>
      </c>
      <c r="M9523" t="n">
        <v>0</v>
      </c>
      <c r="N9523" t="n">
        <v>0</v>
      </c>
      <c r="O9523" t="n">
        <v>0</v>
      </c>
      <c r="P9523" t="n">
        <v>0</v>
      </c>
      <c r="Q9523" t="n">
        <v>0</v>
      </c>
      <c r="R9523" s="2" t="inlineStr"/>
    </row>
    <row r="9524" ht="15" customHeight="1">
      <c r="A9524" t="inlineStr">
        <is>
          <t>A 4321-2023</t>
        </is>
      </c>
      <c r="B9524" s="1" t="n">
        <v>44953</v>
      </c>
      <c r="C9524" s="1" t="n">
        <v>45212</v>
      </c>
      <c r="D9524" t="inlineStr">
        <is>
          <t>VÄSTRA GÖTALANDS LÄN</t>
        </is>
      </c>
      <c r="E9524" t="inlineStr">
        <is>
          <t>HJO</t>
        </is>
      </c>
      <c r="F9524" t="inlineStr">
        <is>
          <t>Övriga Aktiebolag</t>
        </is>
      </c>
      <c r="G9524" t="n">
        <v>3.2</v>
      </c>
      <c r="H9524" t="n">
        <v>0</v>
      </c>
      <c r="I9524" t="n">
        <v>0</v>
      </c>
      <c r="J9524" t="n">
        <v>0</v>
      </c>
      <c r="K9524" t="n">
        <v>0</v>
      </c>
      <c r="L9524" t="n">
        <v>0</v>
      </c>
      <c r="M9524" t="n">
        <v>0</v>
      </c>
      <c r="N9524" t="n">
        <v>0</v>
      </c>
      <c r="O9524" t="n">
        <v>0</v>
      </c>
      <c r="P9524" t="n">
        <v>0</v>
      </c>
      <c r="Q9524" t="n">
        <v>0</v>
      </c>
      <c r="R9524" s="2" t="inlineStr"/>
    </row>
    <row r="9525" ht="15" customHeight="1">
      <c r="A9525" t="inlineStr">
        <is>
          <t>A 4147-2023</t>
        </is>
      </c>
      <c r="B9525" s="1" t="n">
        <v>44953</v>
      </c>
      <c r="C9525" s="1" t="n">
        <v>45212</v>
      </c>
      <c r="D9525" t="inlineStr">
        <is>
          <t>VÄSTRA GÖTALANDS LÄN</t>
        </is>
      </c>
      <c r="E9525" t="inlineStr">
        <is>
          <t>ALINGSÅS</t>
        </is>
      </c>
      <c r="G9525" t="n">
        <v>2.7</v>
      </c>
      <c r="H9525" t="n">
        <v>0</v>
      </c>
      <c r="I9525" t="n">
        <v>0</v>
      </c>
      <c r="J9525" t="n">
        <v>0</v>
      </c>
      <c r="K9525" t="n">
        <v>0</v>
      </c>
      <c r="L9525" t="n">
        <v>0</v>
      </c>
      <c r="M9525" t="n">
        <v>0</v>
      </c>
      <c r="N9525" t="n">
        <v>0</v>
      </c>
      <c r="O9525" t="n">
        <v>0</v>
      </c>
      <c r="P9525" t="n">
        <v>0</v>
      </c>
      <c r="Q9525" t="n">
        <v>0</v>
      </c>
      <c r="R9525" s="2" t="inlineStr"/>
    </row>
    <row r="9526" ht="15" customHeight="1">
      <c r="A9526" t="inlineStr">
        <is>
          <t>A 4151-2023</t>
        </is>
      </c>
      <c r="B9526" s="1" t="n">
        <v>44953</v>
      </c>
      <c r="C9526" s="1" t="n">
        <v>45212</v>
      </c>
      <c r="D9526" t="inlineStr">
        <is>
          <t>VÄSTRA GÖTALANDS LÄN</t>
        </is>
      </c>
      <c r="E9526" t="inlineStr">
        <is>
          <t>MARK</t>
        </is>
      </c>
      <c r="G9526" t="n">
        <v>3.9</v>
      </c>
      <c r="H9526" t="n">
        <v>0</v>
      </c>
      <c r="I9526" t="n">
        <v>0</v>
      </c>
      <c r="J9526" t="n">
        <v>0</v>
      </c>
      <c r="K9526" t="n">
        <v>0</v>
      </c>
      <c r="L9526" t="n">
        <v>0</v>
      </c>
      <c r="M9526" t="n">
        <v>0</v>
      </c>
      <c r="N9526" t="n">
        <v>0</v>
      </c>
      <c r="O9526" t="n">
        <v>0</v>
      </c>
      <c r="P9526" t="n">
        <v>0</v>
      </c>
      <c r="Q9526" t="n">
        <v>0</v>
      </c>
      <c r="R9526" s="2" t="inlineStr"/>
    </row>
    <row r="9527" ht="15" customHeight="1">
      <c r="A9527" t="inlineStr">
        <is>
          <t>A 4231-2023</t>
        </is>
      </c>
      <c r="B9527" s="1" t="n">
        <v>44953</v>
      </c>
      <c r="C9527" s="1" t="n">
        <v>45212</v>
      </c>
      <c r="D9527" t="inlineStr">
        <is>
          <t>VÄSTRA GÖTALANDS LÄN</t>
        </is>
      </c>
      <c r="E9527" t="inlineStr">
        <is>
          <t>SVENLJUNGA</t>
        </is>
      </c>
      <c r="G9527" t="n">
        <v>1</v>
      </c>
      <c r="H9527" t="n">
        <v>0</v>
      </c>
      <c r="I9527" t="n">
        <v>0</v>
      </c>
      <c r="J9527" t="n">
        <v>0</v>
      </c>
      <c r="K9527" t="n">
        <v>0</v>
      </c>
      <c r="L9527" t="n">
        <v>0</v>
      </c>
      <c r="M9527" t="n">
        <v>0</v>
      </c>
      <c r="N9527" t="n">
        <v>0</v>
      </c>
      <c r="O9527" t="n">
        <v>0</v>
      </c>
      <c r="P9527" t="n">
        <v>0</v>
      </c>
      <c r="Q9527" t="n">
        <v>0</v>
      </c>
      <c r="R9527" s="2" t="inlineStr"/>
    </row>
    <row r="9528" ht="15" customHeight="1">
      <c r="A9528" t="inlineStr">
        <is>
          <t>A 4242-2023</t>
        </is>
      </c>
      <c r="B9528" s="1" t="n">
        <v>44953</v>
      </c>
      <c r="C9528" s="1" t="n">
        <v>45212</v>
      </c>
      <c r="D9528" t="inlineStr">
        <is>
          <t>VÄSTRA GÖTALANDS LÄN</t>
        </is>
      </c>
      <c r="E9528" t="inlineStr">
        <is>
          <t>TIBRO</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4327-2023</t>
        </is>
      </c>
      <c r="B9529" s="1" t="n">
        <v>44953</v>
      </c>
      <c r="C9529" s="1" t="n">
        <v>45212</v>
      </c>
      <c r="D9529" t="inlineStr">
        <is>
          <t>VÄSTRA GÖTALANDS LÄN</t>
        </is>
      </c>
      <c r="E9529" t="inlineStr">
        <is>
          <t>BENGTSFORS</t>
        </is>
      </c>
      <c r="G9529" t="n">
        <v>1.5</v>
      </c>
      <c r="H9529" t="n">
        <v>0</v>
      </c>
      <c r="I9529" t="n">
        <v>0</v>
      </c>
      <c r="J9529" t="n">
        <v>0</v>
      </c>
      <c r="K9529" t="n">
        <v>0</v>
      </c>
      <c r="L9529" t="n">
        <v>0</v>
      </c>
      <c r="M9529" t="n">
        <v>0</v>
      </c>
      <c r="N9529" t="n">
        <v>0</v>
      </c>
      <c r="O9529" t="n">
        <v>0</v>
      </c>
      <c r="P9529" t="n">
        <v>0</v>
      </c>
      <c r="Q9529" t="n">
        <v>0</v>
      </c>
      <c r="R9529" s="2" t="inlineStr"/>
    </row>
    <row r="9530" ht="15" customHeight="1">
      <c r="A9530" t="inlineStr">
        <is>
          <t>A 4144-2023</t>
        </is>
      </c>
      <c r="B9530" s="1" t="n">
        <v>44953</v>
      </c>
      <c r="C9530" s="1" t="n">
        <v>45212</v>
      </c>
      <c r="D9530" t="inlineStr">
        <is>
          <t>VÄSTRA GÖTALANDS LÄN</t>
        </is>
      </c>
      <c r="E9530" t="inlineStr">
        <is>
          <t>ALINGSÅS</t>
        </is>
      </c>
      <c r="G9530" t="n">
        <v>6.5</v>
      </c>
      <c r="H9530" t="n">
        <v>0</v>
      </c>
      <c r="I9530" t="n">
        <v>0</v>
      </c>
      <c r="J9530" t="n">
        <v>0</v>
      </c>
      <c r="K9530" t="n">
        <v>0</v>
      </c>
      <c r="L9530" t="n">
        <v>0</v>
      </c>
      <c r="M9530" t="n">
        <v>0</v>
      </c>
      <c r="N9530" t="n">
        <v>0</v>
      </c>
      <c r="O9530" t="n">
        <v>0</v>
      </c>
      <c r="P9530" t="n">
        <v>0</v>
      </c>
      <c r="Q9530" t="n">
        <v>0</v>
      </c>
      <c r="R9530" s="2" t="inlineStr"/>
    </row>
    <row r="9531" ht="15" customHeight="1">
      <c r="A9531" t="inlineStr">
        <is>
          <t>A 4149-2023</t>
        </is>
      </c>
      <c r="B9531" s="1" t="n">
        <v>44953</v>
      </c>
      <c r="C9531" s="1" t="n">
        <v>45212</v>
      </c>
      <c r="D9531" t="inlineStr">
        <is>
          <t>VÄSTRA GÖTALANDS LÄN</t>
        </is>
      </c>
      <c r="E9531" t="inlineStr">
        <is>
          <t>ALINGSÅS</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4157-2023</t>
        </is>
      </c>
      <c r="B9532" s="1" t="n">
        <v>44953</v>
      </c>
      <c r="C9532" s="1" t="n">
        <v>45212</v>
      </c>
      <c r="D9532" t="inlineStr">
        <is>
          <t>VÄSTRA GÖTALANDS LÄN</t>
        </is>
      </c>
      <c r="E9532" t="inlineStr">
        <is>
          <t>SVENLJUNGA</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4222-2023</t>
        </is>
      </c>
      <c r="B9533" s="1" t="n">
        <v>44953</v>
      </c>
      <c r="C9533" s="1" t="n">
        <v>45212</v>
      </c>
      <c r="D9533" t="inlineStr">
        <is>
          <t>VÄSTRA GÖTALANDS LÄN</t>
        </is>
      </c>
      <c r="E9533" t="inlineStr">
        <is>
          <t>MELLERUD</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4306-2023</t>
        </is>
      </c>
      <c r="B9534" s="1" t="n">
        <v>44953</v>
      </c>
      <c r="C9534" s="1" t="n">
        <v>45212</v>
      </c>
      <c r="D9534" t="inlineStr">
        <is>
          <t>VÄSTRA GÖTALANDS LÄN</t>
        </is>
      </c>
      <c r="E9534" t="inlineStr">
        <is>
          <t>SKARA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4740-2023</t>
        </is>
      </c>
      <c r="B9535" s="1" t="n">
        <v>44953</v>
      </c>
      <c r="C9535" s="1" t="n">
        <v>45212</v>
      </c>
      <c r="D9535" t="inlineStr">
        <is>
          <t>VÄSTRA GÖTALANDS LÄN</t>
        </is>
      </c>
      <c r="E9535" t="inlineStr">
        <is>
          <t>ÅMÅL</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4362-2023</t>
        </is>
      </c>
      <c r="B9536" s="1" t="n">
        <v>44954</v>
      </c>
      <c r="C9536" s="1" t="n">
        <v>45212</v>
      </c>
      <c r="D9536" t="inlineStr">
        <is>
          <t>VÄSTRA GÖTALANDS LÄN</t>
        </is>
      </c>
      <c r="E9536" t="inlineStr">
        <is>
          <t>TANUM</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4528-2023</t>
        </is>
      </c>
      <c r="B9537" s="1" t="n">
        <v>44956</v>
      </c>
      <c r="C9537" s="1" t="n">
        <v>45212</v>
      </c>
      <c r="D9537" t="inlineStr">
        <is>
          <t>VÄSTRA GÖTALANDS LÄN</t>
        </is>
      </c>
      <c r="E9537" t="inlineStr">
        <is>
          <t>ALINGSÅS</t>
        </is>
      </c>
      <c r="G9537" t="n">
        <v>1.8</v>
      </c>
      <c r="H9537" t="n">
        <v>0</v>
      </c>
      <c r="I9537" t="n">
        <v>0</v>
      </c>
      <c r="J9537" t="n">
        <v>0</v>
      </c>
      <c r="K9537" t="n">
        <v>0</v>
      </c>
      <c r="L9537" t="n">
        <v>0</v>
      </c>
      <c r="M9537" t="n">
        <v>0</v>
      </c>
      <c r="N9537" t="n">
        <v>0</v>
      </c>
      <c r="O9537" t="n">
        <v>0</v>
      </c>
      <c r="P9537" t="n">
        <v>0</v>
      </c>
      <c r="Q9537" t="n">
        <v>0</v>
      </c>
      <c r="R9537" s="2" t="inlineStr"/>
    </row>
    <row r="9538" ht="15" customHeight="1">
      <c r="A9538" t="inlineStr">
        <is>
          <t>A 4591-2023</t>
        </is>
      </c>
      <c r="B9538" s="1" t="n">
        <v>44956</v>
      </c>
      <c r="C9538" s="1" t="n">
        <v>45212</v>
      </c>
      <c r="D9538" t="inlineStr">
        <is>
          <t>VÄSTRA GÖTALANDS LÄN</t>
        </is>
      </c>
      <c r="E9538" t="inlineStr">
        <is>
          <t>MELLERUD</t>
        </is>
      </c>
      <c r="G9538" t="n">
        <v>2.4</v>
      </c>
      <c r="H9538" t="n">
        <v>0</v>
      </c>
      <c r="I9538" t="n">
        <v>0</v>
      </c>
      <c r="J9538" t="n">
        <v>0</v>
      </c>
      <c r="K9538" t="n">
        <v>0</v>
      </c>
      <c r="L9538" t="n">
        <v>0</v>
      </c>
      <c r="M9538" t="n">
        <v>0</v>
      </c>
      <c r="N9538" t="n">
        <v>0</v>
      </c>
      <c r="O9538" t="n">
        <v>0</v>
      </c>
      <c r="P9538" t="n">
        <v>0</v>
      </c>
      <c r="Q9538" t="n">
        <v>0</v>
      </c>
      <c r="R9538" s="2" t="inlineStr"/>
    </row>
    <row r="9539" ht="15" customHeight="1">
      <c r="A9539" t="inlineStr">
        <is>
          <t>A 4653-2023</t>
        </is>
      </c>
      <c r="B9539" s="1" t="n">
        <v>44957</v>
      </c>
      <c r="C9539" s="1" t="n">
        <v>45212</v>
      </c>
      <c r="D9539" t="inlineStr">
        <is>
          <t>VÄSTRA GÖTALANDS LÄN</t>
        </is>
      </c>
      <c r="E9539" t="inlineStr">
        <is>
          <t>TROLLHÄTTAN</t>
        </is>
      </c>
      <c r="G9539" t="n">
        <v>14.8</v>
      </c>
      <c r="H9539" t="n">
        <v>0</v>
      </c>
      <c r="I9539" t="n">
        <v>0</v>
      </c>
      <c r="J9539" t="n">
        <v>0</v>
      </c>
      <c r="K9539" t="n">
        <v>0</v>
      </c>
      <c r="L9539" t="n">
        <v>0</v>
      </c>
      <c r="M9539" t="n">
        <v>0</v>
      </c>
      <c r="N9539" t="n">
        <v>0</v>
      </c>
      <c r="O9539" t="n">
        <v>0</v>
      </c>
      <c r="P9539" t="n">
        <v>0</v>
      </c>
      <c r="Q9539" t="n">
        <v>0</v>
      </c>
      <c r="R9539" s="2" t="inlineStr"/>
    </row>
    <row r="9540" ht="15" customHeight="1">
      <c r="A9540" t="inlineStr">
        <is>
          <t>A 4665-2023</t>
        </is>
      </c>
      <c r="B9540" s="1" t="n">
        <v>44957</v>
      </c>
      <c r="C9540" s="1" t="n">
        <v>45212</v>
      </c>
      <c r="D9540" t="inlineStr">
        <is>
          <t>VÄSTRA GÖTALANDS LÄN</t>
        </is>
      </c>
      <c r="E9540" t="inlineStr">
        <is>
          <t>ALE</t>
        </is>
      </c>
      <c r="G9540" t="n">
        <v>3.8</v>
      </c>
      <c r="H9540" t="n">
        <v>0</v>
      </c>
      <c r="I9540" t="n">
        <v>0</v>
      </c>
      <c r="J9540" t="n">
        <v>0</v>
      </c>
      <c r="K9540" t="n">
        <v>0</v>
      </c>
      <c r="L9540" t="n">
        <v>0</v>
      </c>
      <c r="M9540" t="n">
        <v>0</v>
      </c>
      <c r="N9540" t="n">
        <v>0</v>
      </c>
      <c r="O9540" t="n">
        <v>0</v>
      </c>
      <c r="P9540" t="n">
        <v>0</v>
      </c>
      <c r="Q9540" t="n">
        <v>0</v>
      </c>
      <c r="R9540" s="2" t="inlineStr"/>
    </row>
    <row r="9541" ht="15" customHeight="1">
      <c r="A9541" t="inlineStr">
        <is>
          <t>A 4733-2023</t>
        </is>
      </c>
      <c r="B9541" s="1" t="n">
        <v>44957</v>
      </c>
      <c r="C9541" s="1" t="n">
        <v>45212</v>
      </c>
      <c r="D9541" t="inlineStr">
        <is>
          <t>VÄSTRA GÖTALANDS LÄN</t>
        </is>
      </c>
      <c r="E9541" t="inlineStr">
        <is>
          <t>MARK</t>
        </is>
      </c>
      <c r="F9541" t="inlineStr">
        <is>
          <t>Sveaskog</t>
        </is>
      </c>
      <c r="G9541" t="n">
        <v>9.699999999999999</v>
      </c>
      <c r="H9541" t="n">
        <v>0</v>
      </c>
      <c r="I9541" t="n">
        <v>0</v>
      </c>
      <c r="J9541" t="n">
        <v>0</v>
      </c>
      <c r="K9541" t="n">
        <v>0</v>
      </c>
      <c r="L9541" t="n">
        <v>0</v>
      </c>
      <c r="M9541" t="n">
        <v>0</v>
      </c>
      <c r="N9541" t="n">
        <v>0</v>
      </c>
      <c r="O9541" t="n">
        <v>0</v>
      </c>
      <c r="P9541" t="n">
        <v>0</v>
      </c>
      <c r="Q9541" t="n">
        <v>0</v>
      </c>
      <c r="R9541" s="2" t="inlineStr"/>
    </row>
    <row r="9542" ht="15" customHeight="1">
      <c r="A9542" t="inlineStr">
        <is>
          <t>A 5375-2023</t>
        </is>
      </c>
      <c r="B9542" s="1" t="n">
        <v>44957</v>
      </c>
      <c r="C9542" s="1" t="n">
        <v>45212</v>
      </c>
      <c r="D9542" t="inlineStr">
        <is>
          <t>VÄSTRA GÖTALANDS LÄN</t>
        </is>
      </c>
      <c r="E9542" t="inlineStr">
        <is>
          <t>FALKÖPING</t>
        </is>
      </c>
      <c r="G9542" t="n">
        <v>1.3</v>
      </c>
      <c r="H9542" t="n">
        <v>0</v>
      </c>
      <c r="I9542" t="n">
        <v>0</v>
      </c>
      <c r="J9542" t="n">
        <v>0</v>
      </c>
      <c r="K9542" t="n">
        <v>0</v>
      </c>
      <c r="L9542" t="n">
        <v>0</v>
      </c>
      <c r="M9542" t="n">
        <v>0</v>
      </c>
      <c r="N9542" t="n">
        <v>0</v>
      </c>
      <c r="O9542" t="n">
        <v>0</v>
      </c>
      <c r="P9542" t="n">
        <v>0</v>
      </c>
      <c r="Q9542" t="n">
        <v>0</v>
      </c>
      <c r="R9542" s="2" t="inlineStr"/>
    </row>
    <row r="9543" ht="15" customHeight="1">
      <c r="A9543" t="inlineStr">
        <is>
          <t>A 4685-2023</t>
        </is>
      </c>
      <c r="B9543" s="1" t="n">
        <v>44957</v>
      </c>
      <c r="C9543" s="1" t="n">
        <v>45212</v>
      </c>
      <c r="D9543" t="inlineStr">
        <is>
          <t>VÄSTRA GÖTALANDS LÄN</t>
        </is>
      </c>
      <c r="E9543" t="inlineStr">
        <is>
          <t>MARIESTAD</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4734-2023</t>
        </is>
      </c>
      <c r="B9544" s="1" t="n">
        <v>44957</v>
      </c>
      <c r="C9544" s="1" t="n">
        <v>45212</v>
      </c>
      <c r="D9544" t="inlineStr">
        <is>
          <t>VÄSTRA GÖTALANDS LÄN</t>
        </is>
      </c>
      <c r="E9544" t="inlineStr">
        <is>
          <t>STENUNGSUND</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4675-2023</t>
        </is>
      </c>
      <c r="B9545" s="1" t="n">
        <v>44957</v>
      </c>
      <c r="C9545" s="1" t="n">
        <v>45212</v>
      </c>
      <c r="D9545" t="inlineStr">
        <is>
          <t>VÄSTRA GÖTALANDS LÄN</t>
        </is>
      </c>
      <c r="E9545" t="inlineStr">
        <is>
          <t>FALKÖPING</t>
        </is>
      </c>
      <c r="G9545" t="n">
        <v>0.4</v>
      </c>
      <c r="H9545" t="n">
        <v>0</v>
      </c>
      <c r="I9545" t="n">
        <v>0</v>
      </c>
      <c r="J9545" t="n">
        <v>0</v>
      </c>
      <c r="K9545" t="n">
        <v>0</v>
      </c>
      <c r="L9545" t="n">
        <v>0</v>
      </c>
      <c r="M9545" t="n">
        <v>0</v>
      </c>
      <c r="N9545" t="n">
        <v>0</v>
      </c>
      <c r="O9545" t="n">
        <v>0</v>
      </c>
      <c r="P9545" t="n">
        <v>0</v>
      </c>
      <c r="Q9545" t="n">
        <v>0</v>
      </c>
      <c r="R9545" s="2" t="inlineStr"/>
    </row>
    <row r="9546" ht="15" customHeight="1">
      <c r="A9546" t="inlineStr">
        <is>
          <t>A 4720-2023</t>
        </is>
      </c>
      <c r="B9546" s="1" t="n">
        <v>44957</v>
      </c>
      <c r="C9546" s="1" t="n">
        <v>45212</v>
      </c>
      <c r="D9546" t="inlineStr">
        <is>
          <t>VÄSTRA GÖTALANDS LÄN</t>
        </is>
      </c>
      <c r="E9546" t="inlineStr">
        <is>
          <t>STRÖMSTAD</t>
        </is>
      </c>
      <c r="G9546" t="n">
        <v>3.1</v>
      </c>
      <c r="H9546" t="n">
        <v>0</v>
      </c>
      <c r="I9546" t="n">
        <v>0</v>
      </c>
      <c r="J9546" t="n">
        <v>0</v>
      </c>
      <c r="K9546" t="n">
        <v>0</v>
      </c>
      <c r="L9546" t="n">
        <v>0</v>
      </c>
      <c r="M9546" t="n">
        <v>0</v>
      </c>
      <c r="N9546" t="n">
        <v>0</v>
      </c>
      <c r="O9546" t="n">
        <v>0</v>
      </c>
      <c r="P9546" t="n">
        <v>0</v>
      </c>
      <c r="Q9546" t="n">
        <v>0</v>
      </c>
      <c r="R9546" s="2" t="inlineStr"/>
      <c r="U9546">
        <f>HYPERLINK("https://klasma.github.io/Logging_1486/knärot/A 4720-2023 knärot.png", "A 4720-2023")</f>
        <v/>
      </c>
      <c r="V9546">
        <f>HYPERLINK("https://klasma.github.io/Logging_1486/klagomål/A 4720-2023 klagomål.docx", "A 4720-2023")</f>
        <v/>
      </c>
      <c r="W9546">
        <f>HYPERLINK("https://klasma.github.io/Logging_1486/klagomålsmail/A 4720-2023 klagomålsmail.docx", "A 4720-2023")</f>
        <v/>
      </c>
      <c r="X9546">
        <f>HYPERLINK("https://klasma.github.io/Logging_1486/tillsyn/A 4720-2023 tillsyn.docx", "A 4720-2023")</f>
        <v/>
      </c>
      <c r="Y9546">
        <f>HYPERLINK("https://klasma.github.io/Logging_1486/tillsynsmail/A 4720-2023 tillsynsmail.docx", "A 4720-2023")</f>
        <v/>
      </c>
    </row>
    <row r="9547" ht="15" customHeight="1">
      <c r="A9547" t="inlineStr">
        <is>
          <t>A 5559-2023</t>
        </is>
      </c>
      <c r="B9547" s="1" t="n">
        <v>44957</v>
      </c>
      <c r="C9547" s="1" t="n">
        <v>45212</v>
      </c>
      <c r="D9547" t="inlineStr">
        <is>
          <t>VÄSTRA GÖTALANDS LÄN</t>
        </is>
      </c>
      <c r="E9547" t="inlineStr">
        <is>
          <t>SKARA</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4888-2023</t>
        </is>
      </c>
      <c r="B9548" s="1" t="n">
        <v>44958</v>
      </c>
      <c r="C9548" s="1" t="n">
        <v>45212</v>
      </c>
      <c r="D9548" t="inlineStr">
        <is>
          <t>VÄSTRA GÖTALANDS LÄN</t>
        </is>
      </c>
      <c r="E9548" t="inlineStr">
        <is>
          <t>TIDAHOLM</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4935-2023</t>
        </is>
      </c>
      <c r="B9549" s="1" t="n">
        <v>44958</v>
      </c>
      <c r="C9549" s="1" t="n">
        <v>45212</v>
      </c>
      <c r="D9549" t="inlineStr">
        <is>
          <t>VÄSTRA GÖTALANDS LÄN</t>
        </is>
      </c>
      <c r="E9549" t="inlineStr">
        <is>
          <t>BORÅS</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5056-2023</t>
        </is>
      </c>
      <c r="B9550" s="1" t="n">
        <v>44958</v>
      </c>
      <c r="C9550" s="1" t="n">
        <v>45212</v>
      </c>
      <c r="D9550" t="inlineStr">
        <is>
          <t>VÄSTRA GÖTALANDS LÄN</t>
        </is>
      </c>
      <c r="E9550" t="inlineStr">
        <is>
          <t>TRANEMO</t>
        </is>
      </c>
      <c r="G9550" t="n">
        <v>0.8</v>
      </c>
      <c r="H9550" t="n">
        <v>0</v>
      </c>
      <c r="I9550" t="n">
        <v>0</v>
      </c>
      <c r="J9550" t="n">
        <v>0</v>
      </c>
      <c r="K9550" t="n">
        <v>0</v>
      </c>
      <c r="L9550" t="n">
        <v>0</v>
      </c>
      <c r="M9550" t="n">
        <v>0</v>
      </c>
      <c r="N9550" t="n">
        <v>0</v>
      </c>
      <c r="O9550" t="n">
        <v>0</v>
      </c>
      <c r="P9550" t="n">
        <v>0</v>
      </c>
      <c r="Q9550" t="n">
        <v>0</v>
      </c>
      <c r="R9550" s="2" t="inlineStr"/>
    </row>
    <row r="9551" ht="15" customHeight="1">
      <c r="A9551" t="inlineStr">
        <is>
          <t>A 5866-2023</t>
        </is>
      </c>
      <c r="B9551" s="1" t="n">
        <v>44958</v>
      </c>
      <c r="C9551" s="1" t="n">
        <v>45212</v>
      </c>
      <c r="D9551" t="inlineStr">
        <is>
          <t>VÄSTRA GÖTALANDS LÄN</t>
        </is>
      </c>
      <c r="E9551" t="inlineStr">
        <is>
          <t>MUNKEDAL</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4932-2023</t>
        </is>
      </c>
      <c r="B9552" s="1" t="n">
        <v>44958</v>
      </c>
      <c r="C9552" s="1" t="n">
        <v>45212</v>
      </c>
      <c r="D9552" t="inlineStr">
        <is>
          <t>VÄSTRA GÖTALANDS LÄN</t>
        </is>
      </c>
      <c r="E9552" t="inlineStr">
        <is>
          <t>BORÅS</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4937-2023</t>
        </is>
      </c>
      <c r="B9553" s="1" t="n">
        <v>44958</v>
      </c>
      <c r="C9553" s="1" t="n">
        <v>45212</v>
      </c>
      <c r="D9553" t="inlineStr">
        <is>
          <t>VÄSTRA GÖTALANDS LÄN</t>
        </is>
      </c>
      <c r="E9553" t="inlineStr">
        <is>
          <t>BORÅS</t>
        </is>
      </c>
      <c r="G9553" t="n">
        <v>2.4</v>
      </c>
      <c r="H9553" t="n">
        <v>0</v>
      </c>
      <c r="I9553" t="n">
        <v>0</v>
      </c>
      <c r="J9553" t="n">
        <v>0</v>
      </c>
      <c r="K9553" t="n">
        <v>0</v>
      </c>
      <c r="L9553" t="n">
        <v>0</v>
      </c>
      <c r="M9553" t="n">
        <v>0</v>
      </c>
      <c r="N9553" t="n">
        <v>0</v>
      </c>
      <c r="O9553" t="n">
        <v>0</v>
      </c>
      <c r="P9553" t="n">
        <v>0</v>
      </c>
      <c r="Q9553" t="n">
        <v>0</v>
      </c>
      <c r="R9553" s="2" t="inlineStr"/>
    </row>
    <row r="9554" ht="15" customHeight="1">
      <c r="A9554" t="inlineStr">
        <is>
          <t>A 4954-2023</t>
        </is>
      </c>
      <c r="B9554" s="1" t="n">
        <v>44958</v>
      </c>
      <c r="C9554" s="1" t="n">
        <v>45212</v>
      </c>
      <c r="D9554" t="inlineStr">
        <is>
          <t>VÄSTRA GÖTALANDS LÄN</t>
        </is>
      </c>
      <c r="E9554" t="inlineStr">
        <is>
          <t>LILLA EDET</t>
        </is>
      </c>
      <c r="G9554" t="n">
        <v>3.5</v>
      </c>
      <c r="H9554" t="n">
        <v>0</v>
      </c>
      <c r="I9554" t="n">
        <v>0</v>
      </c>
      <c r="J9554" t="n">
        <v>0</v>
      </c>
      <c r="K9554" t="n">
        <v>0</v>
      </c>
      <c r="L9554" t="n">
        <v>0</v>
      </c>
      <c r="M9554" t="n">
        <v>0</v>
      </c>
      <c r="N9554" t="n">
        <v>0</v>
      </c>
      <c r="O9554" t="n">
        <v>0</v>
      </c>
      <c r="P9554" t="n">
        <v>0</v>
      </c>
      <c r="Q9554" t="n">
        <v>0</v>
      </c>
      <c r="R9554" s="2" t="inlineStr"/>
    </row>
    <row r="9555" ht="15" customHeight="1">
      <c r="A9555" t="inlineStr">
        <is>
          <t>A 5057-2023</t>
        </is>
      </c>
      <c r="B9555" s="1" t="n">
        <v>44958</v>
      </c>
      <c r="C9555" s="1" t="n">
        <v>45212</v>
      </c>
      <c r="D9555" t="inlineStr">
        <is>
          <t>VÄSTRA GÖTALANDS LÄN</t>
        </is>
      </c>
      <c r="E9555" t="inlineStr">
        <is>
          <t>BENGTSFORS</t>
        </is>
      </c>
      <c r="G9555" t="n">
        <v>3.4</v>
      </c>
      <c r="H9555" t="n">
        <v>0</v>
      </c>
      <c r="I9555" t="n">
        <v>0</v>
      </c>
      <c r="J9555" t="n">
        <v>0</v>
      </c>
      <c r="K9555" t="n">
        <v>0</v>
      </c>
      <c r="L9555" t="n">
        <v>0</v>
      </c>
      <c r="M9555" t="n">
        <v>0</v>
      </c>
      <c r="N9555" t="n">
        <v>0</v>
      </c>
      <c r="O9555" t="n">
        <v>0</v>
      </c>
      <c r="P9555" t="n">
        <v>0</v>
      </c>
      <c r="Q9555" t="n">
        <v>0</v>
      </c>
      <c r="R9555" s="2" t="inlineStr"/>
    </row>
    <row r="9556" ht="15" customHeight="1">
      <c r="A9556" t="inlineStr">
        <is>
          <t>A 5069-2023</t>
        </is>
      </c>
      <c r="B9556" s="1" t="n">
        <v>44958</v>
      </c>
      <c r="C9556" s="1" t="n">
        <v>45212</v>
      </c>
      <c r="D9556" t="inlineStr">
        <is>
          <t>VÄSTRA GÖTALANDS LÄN</t>
        </is>
      </c>
      <c r="E9556" t="inlineStr">
        <is>
          <t>TROLLHÄTTAN</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5090-2023</t>
        </is>
      </c>
      <c r="B9557" s="1" t="n">
        <v>44958</v>
      </c>
      <c r="C9557" s="1" t="n">
        <v>45212</v>
      </c>
      <c r="D9557" t="inlineStr">
        <is>
          <t>VÄSTRA GÖTALANDS LÄN</t>
        </is>
      </c>
      <c r="E9557" t="inlineStr">
        <is>
          <t>TRANEMO</t>
        </is>
      </c>
      <c r="G9557" t="n">
        <v>0.6</v>
      </c>
      <c r="H9557" t="n">
        <v>0</v>
      </c>
      <c r="I9557" t="n">
        <v>0</v>
      </c>
      <c r="J9557" t="n">
        <v>0</v>
      </c>
      <c r="K9557" t="n">
        <v>0</v>
      </c>
      <c r="L9557" t="n">
        <v>0</v>
      </c>
      <c r="M9557" t="n">
        <v>0</v>
      </c>
      <c r="N9557" t="n">
        <v>0</v>
      </c>
      <c r="O9557" t="n">
        <v>0</v>
      </c>
      <c r="P9557" t="n">
        <v>0</v>
      </c>
      <c r="Q9557" t="n">
        <v>0</v>
      </c>
      <c r="R9557" s="2" t="inlineStr"/>
    </row>
    <row r="9558" ht="15" customHeight="1">
      <c r="A9558" t="inlineStr">
        <is>
          <t>A 5781-2023</t>
        </is>
      </c>
      <c r="B9558" s="1" t="n">
        <v>44958</v>
      </c>
      <c r="C9558" s="1" t="n">
        <v>45212</v>
      </c>
      <c r="D9558" t="inlineStr">
        <is>
          <t>VÄSTRA GÖTALANDS LÄN</t>
        </is>
      </c>
      <c r="E9558" t="inlineStr">
        <is>
          <t>ÅMÅL</t>
        </is>
      </c>
      <c r="F9558" t="inlineStr">
        <is>
          <t>Bergvik skog väst AB</t>
        </is>
      </c>
      <c r="G9558" t="n">
        <v>5.9</v>
      </c>
      <c r="H9558" t="n">
        <v>0</v>
      </c>
      <c r="I9558" t="n">
        <v>0</v>
      </c>
      <c r="J9558" t="n">
        <v>0</v>
      </c>
      <c r="K9558" t="n">
        <v>0</v>
      </c>
      <c r="L9558" t="n">
        <v>0</v>
      </c>
      <c r="M9558" t="n">
        <v>0</v>
      </c>
      <c r="N9558" t="n">
        <v>0</v>
      </c>
      <c r="O9558" t="n">
        <v>0</v>
      </c>
      <c r="P9558" t="n">
        <v>0</v>
      </c>
      <c r="Q9558" t="n">
        <v>0</v>
      </c>
      <c r="R9558" s="2" t="inlineStr"/>
    </row>
    <row r="9559" ht="15" customHeight="1">
      <c r="A9559" t="inlineStr">
        <is>
          <t>A 4934-2023</t>
        </is>
      </c>
      <c r="B9559" s="1" t="n">
        <v>44958</v>
      </c>
      <c r="C9559" s="1" t="n">
        <v>45212</v>
      </c>
      <c r="D9559" t="inlineStr">
        <is>
          <t>VÄSTRA GÖTALANDS LÄN</t>
        </is>
      </c>
      <c r="E9559" t="inlineStr">
        <is>
          <t>BORÅS</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4961-2023</t>
        </is>
      </c>
      <c r="B9560" s="1" t="n">
        <v>44958</v>
      </c>
      <c r="C9560" s="1" t="n">
        <v>45212</v>
      </c>
      <c r="D9560" t="inlineStr">
        <is>
          <t>VÄSTRA GÖTALANDS LÄN</t>
        </is>
      </c>
      <c r="E9560" t="inlineStr">
        <is>
          <t>SVENLJUNGA</t>
        </is>
      </c>
      <c r="F9560" t="inlineStr">
        <is>
          <t>Sveaskog</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5088-2023</t>
        </is>
      </c>
      <c r="B9561" s="1" t="n">
        <v>44958</v>
      </c>
      <c r="C9561" s="1" t="n">
        <v>45212</v>
      </c>
      <c r="D9561" t="inlineStr">
        <is>
          <t>VÄSTRA GÖTALANDS LÄN</t>
        </is>
      </c>
      <c r="E9561" t="inlineStr">
        <is>
          <t>TRANEMO</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4933-2023</t>
        </is>
      </c>
      <c r="B9562" s="1" t="n">
        <v>44958</v>
      </c>
      <c r="C9562" s="1" t="n">
        <v>45212</v>
      </c>
      <c r="D9562" t="inlineStr">
        <is>
          <t>VÄSTRA GÖTALANDS LÄN</t>
        </is>
      </c>
      <c r="E9562" t="inlineStr">
        <is>
          <t>BORÅS</t>
        </is>
      </c>
      <c r="G9562" t="n">
        <v>3.4</v>
      </c>
      <c r="H9562" t="n">
        <v>0</v>
      </c>
      <c r="I9562" t="n">
        <v>0</v>
      </c>
      <c r="J9562" t="n">
        <v>0</v>
      </c>
      <c r="K9562" t="n">
        <v>0</v>
      </c>
      <c r="L9562" t="n">
        <v>0</v>
      </c>
      <c r="M9562" t="n">
        <v>0</v>
      </c>
      <c r="N9562" t="n">
        <v>0</v>
      </c>
      <c r="O9562" t="n">
        <v>0</v>
      </c>
      <c r="P9562" t="n">
        <v>0</v>
      </c>
      <c r="Q9562" t="n">
        <v>0</v>
      </c>
      <c r="R9562" s="2" t="inlineStr"/>
    </row>
    <row r="9563" ht="15" customHeight="1">
      <c r="A9563" t="inlineStr">
        <is>
          <t>A 4978-2023</t>
        </is>
      </c>
      <c r="B9563" s="1" t="n">
        <v>44958</v>
      </c>
      <c r="C9563" s="1" t="n">
        <v>45212</v>
      </c>
      <c r="D9563" t="inlineStr">
        <is>
          <t>VÄSTRA GÖTALANDS LÄN</t>
        </is>
      </c>
      <c r="E9563" t="inlineStr">
        <is>
          <t>SVENLJUNGA</t>
        </is>
      </c>
      <c r="G9563" t="n">
        <v>2.3</v>
      </c>
      <c r="H9563" t="n">
        <v>0</v>
      </c>
      <c r="I9563" t="n">
        <v>0</v>
      </c>
      <c r="J9563" t="n">
        <v>0</v>
      </c>
      <c r="K9563" t="n">
        <v>0</v>
      </c>
      <c r="L9563" t="n">
        <v>0</v>
      </c>
      <c r="M9563" t="n">
        <v>0</v>
      </c>
      <c r="N9563" t="n">
        <v>0</v>
      </c>
      <c r="O9563" t="n">
        <v>0</v>
      </c>
      <c r="P9563" t="n">
        <v>0</v>
      </c>
      <c r="Q9563" t="n">
        <v>0</v>
      </c>
      <c r="R9563" s="2" t="inlineStr"/>
    </row>
    <row r="9564" ht="15" customHeight="1">
      <c r="A9564" t="inlineStr">
        <is>
          <t>A 5011-2023</t>
        </is>
      </c>
      <c r="B9564" s="1" t="n">
        <v>44958</v>
      </c>
      <c r="C9564" s="1" t="n">
        <v>45212</v>
      </c>
      <c r="D9564" t="inlineStr">
        <is>
          <t>VÄSTRA GÖTALANDS LÄN</t>
        </is>
      </c>
      <c r="E9564" t="inlineStr">
        <is>
          <t>MARIESTAD</t>
        </is>
      </c>
      <c r="G9564" t="n">
        <v>4.4</v>
      </c>
      <c r="H9564" t="n">
        <v>0</v>
      </c>
      <c r="I9564" t="n">
        <v>0</v>
      </c>
      <c r="J9564" t="n">
        <v>0</v>
      </c>
      <c r="K9564" t="n">
        <v>0</v>
      </c>
      <c r="L9564" t="n">
        <v>0</v>
      </c>
      <c r="M9564" t="n">
        <v>0</v>
      </c>
      <c r="N9564" t="n">
        <v>0</v>
      </c>
      <c r="O9564" t="n">
        <v>0</v>
      </c>
      <c r="P9564" t="n">
        <v>0</v>
      </c>
      <c r="Q9564" t="n">
        <v>0</v>
      </c>
      <c r="R9564" s="2" t="inlineStr"/>
    </row>
    <row r="9565" ht="15" customHeight="1">
      <c r="A9565" t="inlineStr">
        <is>
          <t>A 5050-2023</t>
        </is>
      </c>
      <c r="B9565" s="1" t="n">
        <v>44958</v>
      </c>
      <c r="C9565" s="1" t="n">
        <v>45212</v>
      </c>
      <c r="D9565" t="inlineStr">
        <is>
          <t>VÄSTRA GÖTALANDS LÄN</t>
        </is>
      </c>
      <c r="E9565" t="inlineStr">
        <is>
          <t>TRANEMO</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5058-2023</t>
        </is>
      </c>
      <c r="B9566" s="1" t="n">
        <v>44958</v>
      </c>
      <c r="C9566" s="1" t="n">
        <v>45212</v>
      </c>
      <c r="D9566" t="inlineStr">
        <is>
          <t>VÄSTRA GÖTALANDS LÄN</t>
        </is>
      </c>
      <c r="E9566" t="inlineStr">
        <is>
          <t>TRANEMO</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5078-2023</t>
        </is>
      </c>
      <c r="B9567" s="1" t="n">
        <v>44958</v>
      </c>
      <c r="C9567" s="1" t="n">
        <v>45212</v>
      </c>
      <c r="D9567" t="inlineStr">
        <is>
          <t>VÄSTRA GÖTALANDS LÄN</t>
        </is>
      </c>
      <c r="E9567" t="inlineStr">
        <is>
          <t>TIBRO</t>
        </is>
      </c>
      <c r="G9567" t="n">
        <v>4.7</v>
      </c>
      <c r="H9567" t="n">
        <v>0</v>
      </c>
      <c r="I9567" t="n">
        <v>0</v>
      </c>
      <c r="J9567" t="n">
        <v>0</v>
      </c>
      <c r="K9567" t="n">
        <v>0</v>
      </c>
      <c r="L9567" t="n">
        <v>0</v>
      </c>
      <c r="M9567" t="n">
        <v>0</v>
      </c>
      <c r="N9567" t="n">
        <v>0</v>
      </c>
      <c r="O9567" t="n">
        <v>0</v>
      </c>
      <c r="P9567" t="n">
        <v>0</v>
      </c>
      <c r="Q9567" t="n">
        <v>0</v>
      </c>
      <c r="R9567" s="2" t="inlineStr"/>
    </row>
    <row r="9568" ht="15" customHeight="1">
      <c r="A9568" t="inlineStr">
        <is>
          <t>A 5091-2023</t>
        </is>
      </c>
      <c r="B9568" s="1" t="n">
        <v>44958</v>
      </c>
      <c r="C9568" s="1" t="n">
        <v>45212</v>
      </c>
      <c r="D9568" t="inlineStr">
        <is>
          <t>VÄSTRA GÖTALANDS LÄN</t>
        </is>
      </c>
      <c r="E9568" t="inlineStr">
        <is>
          <t>TRANEMO</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5327-2023</t>
        </is>
      </c>
      <c r="B9569" s="1" t="n">
        <v>44959</v>
      </c>
      <c r="C9569" s="1" t="n">
        <v>45212</v>
      </c>
      <c r="D9569" t="inlineStr">
        <is>
          <t>VÄSTRA GÖTALANDS LÄN</t>
        </is>
      </c>
      <c r="E9569" t="inlineStr">
        <is>
          <t>ULRICEHAMN</t>
        </is>
      </c>
      <c r="G9569" t="n">
        <v>1.8</v>
      </c>
      <c r="H9569" t="n">
        <v>0</v>
      </c>
      <c r="I9569" t="n">
        <v>0</v>
      </c>
      <c r="J9569" t="n">
        <v>0</v>
      </c>
      <c r="K9569" t="n">
        <v>0</v>
      </c>
      <c r="L9569" t="n">
        <v>0</v>
      </c>
      <c r="M9569" t="n">
        <v>0</v>
      </c>
      <c r="N9569" t="n">
        <v>0</v>
      </c>
      <c r="O9569" t="n">
        <v>0</v>
      </c>
      <c r="P9569" t="n">
        <v>0</v>
      </c>
      <c r="Q9569" t="n">
        <v>0</v>
      </c>
      <c r="R9569" s="2" t="inlineStr"/>
    </row>
    <row r="9570" ht="15" customHeight="1">
      <c r="A9570" t="inlineStr">
        <is>
          <t>A 5359-2023</t>
        </is>
      </c>
      <c r="B9570" s="1" t="n">
        <v>44959</v>
      </c>
      <c r="C9570" s="1" t="n">
        <v>45212</v>
      </c>
      <c r="D9570" t="inlineStr">
        <is>
          <t>VÄSTRA GÖTALANDS LÄN</t>
        </is>
      </c>
      <c r="E9570" t="inlineStr">
        <is>
          <t>LERUM</t>
        </is>
      </c>
      <c r="G9570" t="n">
        <v>1</v>
      </c>
      <c r="H9570" t="n">
        <v>0</v>
      </c>
      <c r="I9570" t="n">
        <v>0</v>
      </c>
      <c r="J9570" t="n">
        <v>0</v>
      </c>
      <c r="K9570" t="n">
        <v>0</v>
      </c>
      <c r="L9570" t="n">
        <v>0</v>
      </c>
      <c r="M9570" t="n">
        <v>0</v>
      </c>
      <c r="N9570" t="n">
        <v>0</v>
      </c>
      <c r="O9570" t="n">
        <v>0</v>
      </c>
      <c r="P9570" t="n">
        <v>0</v>
      </c>
      <c r="Q9570" t="n">
        <v>0</v>
      </c>
      <c r="R9570" s="2" t="inlineStr"/>
    </row>
    <row r="9571" ht="15" customHeight="1">
      <c r="A9571" t="inlineStr">
        <is>
          <t>A 5328-2023</t>
        </is>
      </c>
      <c r="B9571" s="1" t="n">
        <v>44959</v>
      </c>
      <c r="C9571" s="1" t="n">
        <v>45212</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5388-2023</t>
        </is>
      </c>
      <c r="B9572" s="1" t="n">
        <v>44959</v>
      </c>
      <c r="C9572" s="1" t="n">
        <v>45212</v>
      </c>
      <c r="D9572" t="inlineStr">
        <is>
          <t>VÄSTRA GÖTALANDS LÄN</t>
        </is>
      </c>
      <c r="E9572" t="inlineStr">
        <is>
          <t>DALS-ED</t>
        </is>
      </c>
      <c r="G9572" t="n">
        <v>1.9</v>
      </c>
      <c r="H9572" t="n">
        <v>0</v>
      </c>
      <c r="I9572" t="n">
        <v>0</v>
      </c>
      <c r="J9572" t="n">
        <v>0</v>
      </c>
      <c r="K9572" t="n">
        <v>0</v>
      </c>
      <c r="L9572" t="n">
        <v>0</v>
      </c>
      <c r="M9572" t="n">
        <v>0</v>
      </c>
      <c r="N9572" t="n">
        <v>0</v>
      </c>
      <c r="O9572" t="n">
        <v>0</v>
      </c>
      <c r="P9572" t="n">
        <v>0</v>
      </c>
      <c r="Q9572" t="n">
        <v>0</v>
      </c>
      <c r="R9572" s="2" t="inlineStr"/>
    </row>
    <row r="9573" ht="15" customHeight="1">
      <c r="A9573" t="inlineStr">
        <is>
          <t>A 5196-2023</t>
        </is>
      </c>
      <c r="B9573" s="1" t="n">
        <v>44959</v>
      </c>
      <c r="C9573" s="1" t="n">
        <v>45212</v>
      </c>
      <c r="D9573" t="inlineStr">
        <is>
          <t>VÄSTRA GÖTALANDS LÄN</t>
        </is>
      </c>
      <c r="E9573" t="inlineStr">
        <is>
          <t>BORÅS</t>
        </is>
      </c>
      <c r="G9573" t="n">
        <v>1.4</v>
      </c>
      <c r="H9573" t="n">
        <v>0</v>
      </c>
      <c r="I9573" t="n">
        <v>0</v>
      </c>
      <c r="J9573" t="n">
        <v>0</v>
      </c>
      <c r="K9573" t="n">
        <v>0</v>
      </c>
      <c r="L9573" t="n">
        <v>0</v>
      </c>
      <c r="M9573" t="n">
        <v>0</v>
      </c>
      <c r="N9573" t="n">
        <v>0</v>
      </c>
      <c r="O9573" t="n">
        <v>0</v>
      </c>
      <c r="P9573" t="n">
        <v>0</v>
      </c>
      <c r="Q9573" t="n">
        <v>0</v>
      </c>
      <c r="R9573" s="2" t="inlineStr"/>
    </row>
    <row r="9574" ht="15" customHeight="1">
      <c r="A9574" t="inlineStr">
        <is>
          <t>A 5351-2023</t>
        </is>
      </c>
      <c r="B9574" s="1" t="n">
        <v>44959</v>
      </c>
      <c r="C9574" s="1" t="n">
        <v>45212</v>
      </c>
      <c r="D9574" t="inlineStr">
        <is>
          <t>VÄSTRA GÖTALANDS LÄN</t>
        </is>
      </c>
      <c r="E9574" t="inlineStr">
        <is>
          <t>ALINGSÅS</t>
        </is>
      </c>
      <c r="G9574" t="n">
        <v>0.5</v>
      </c>
      <c r="H9574" t="n">
        <v>0</v>
      </c>
      <c r="I9574" t="n">
        <v>0</v>
      </c>
      <c r="J9574" t="n">
        <v>0</v>
      </c>
      <c r="K9574" t="n">
        <v>0</v>
      </c>
      <c r="L9574" t="n">
        <v>0</v>
      </c>
      <c r="M9574" t="n">
        <v>0</v>
      </c>
      <c r="N9574" t="n">
        <v>0</v>
      </c>
      <c r="O9574" t="n">
        <v>0</v>
      </c>
      <c r="P9574" t="n">
        <v>0</v>
      </c>
      <c r="Q9574" t="n">
        <v>0</v>
      </c>
      <c r="R9574" s="2" t="inlineStr"/>
    </row>
    <row r="9575" ht="15" customHeight="1">
      <c r="A9575" t="inlineStr">
        <is>
          <t>A 5500-2023</t>
        </is>
      </c>
      <c r="B9575" s="1" t="n">
        <v>44960</v>
      </c>
      <c r="C9575" s="1" t="n">
        <v>45212</v>
      </c>
      <c r="D9575" t="inlineStr">
        <is>
          <t>VÄSTRA GÖTALANDS LÄN</t>
        </is>
      </c>
      <c r="E9575" t="inlineStr">
        <is>
          <t>VÅRGÅRDA</t>
        </is>
      </c>
      <c r="G9575" t="n">
        <v>2.4</v>
      </c>
      <c r="H9575" t="n">
        <v>0</v>
      </c>
      <c r="I9575" t="n">
        <v>0</v>
      </c>
      <c r="J9575" t="n">
        <v>0</v>
      </c>
      <c r="K9575" t="n">
        <v>0</v>
      </c>
      <c r="L9575" t="n">
        <v>0</v>
      </c>
      <c r="M9575" t="n">
        <v>0</v>
      </c>
      <c r="N9575" t="n">
        <v>0</v>
      </c>
      <c r="O9575" t="n">
        <v>0</v>
      </c>
      <c r="P9575" t="n">
        <v>0</v>
      </c>
      <c r="Q9575" t="n">
        <v>0</v>
      </c>
      <c r="R9575" s="2" t="inlineStr"/>
    </row>
    <row r="9576" ht="15" customHeight="1">
      <c r="A9576" t="inlineStr">
        <is>
          <t>A 5630-2023</t>
        </is>
      </c>
      <c r="B9576" s="1" t="n">
        <v>44960</v>
      </c>
      <c r="C9576" s="1" t="n">
        <v>45212</v>
      </c>
      <c r="D9576" t="inlineStr">
        <is>
          <t>VÄSTRA GÖTALANDS LÄN</t>
        </is>
      </c>
      <c r="E9576" t="inlineStr">
        <is>
          <t>HÄRRYDA</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6811-2023</t>
        </is>
      </c>
      <c r="B9577" s="1" t="n">
        <v>44960</v>
      </c>
      <c r="C9577" s="1" t="n">
        <v>45212</v>
      </c>
      <c r="D9577" t="inlineStr">
        <is>
          <t>VÄSTRA GÖTALANDS LÄN</t>
        </is>
      </c>
      <c r="E9577" t="inlineStr">
        <is>
          <t>TÖREBODA</t>
        </is>
      </c>
      <c r="G9577" t="n">
        <v>0.9</v>
      </c>
      <c r="H9577" t="n">
        <v>0</v>
      </c>
      <c r="I9577" t="n">
        <v>0</v>
      </c>
      <c r="J9577" t="n">
        <v>0</v>
      </c>
      <c r="K9577" t="n">
        <v>0</v>
      </c>
      <c r="L9577" t="n">
        <v>0</v>
      </c>
      <c r="M9577" t="n">
        <v>0</v>
      </c>
      <c r="N9577" t="n">
        <v>0</v>
      </c>
      <c r="O9577" t="n">
        <v>0</v>
      </c>
      <c r="P9577" t="n">
        <v>0</v>
      </c>
      <c r="Q9577" t="n">
        <v>0</v>
      </c>
      <c r="R9577" s="2" t="inlineStr"/>
    </row>
    <row r="9578" ht="15" customHeight="1">
      <c r="A9578" t="inlineStr">
        <is>
          <t>A 5557-2023</t>
        </is>
      </c>
      <c r="B9578" s="1" t="n">
        <v>44960</v>
      </c>
      <c r="C9578" s="1" t="n">
        <v>45212</v>
      </c>
      <c r="D9578" t="inlineStr">
        <is>
          <t>VÄSTRA GÖTALANDS LÄN</t>
        </is>
      </c>
      <c r="E9578" t="inlineStr">
        <is>
          <t>UDDEVALLA</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5467-2023</t>
        </is>
      </c>
      <c r="B9579" s="1" t="n">
        <v>44960</v>
      </c>
      <c r="C9579" s="1" t="n">
        <v>45212</v>
      </c>
      <c r="D9579" t="inlineStr">
        <is>
          <t>VÄSTRA GÖTALANDS LÄN</t>
        </is>
      </c>
      <c r="E9579" t="inlineStr">
        <is>
          <t>FALKÖPING</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5564-2023</t>
        </is>
      </c>
      <c r="B9580" s="1" t="n">
        <v>44960</v>
      </c>
      <c r="C9580" s="1" t="n">
        <v>45212</v>
      </c>
      <c r="D9580" t="inlineStr">
        <is>
          <t>VÄSTRA GÖTALANDS LÄN</t>
        </is>
      </c>
      <c r="E9580" t="inlineStr">
        <is>
          <t>TIBRO</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5631-2023</t>
        </is>
      </c>
      <c r="B9581" s="1" t="n">
        <v>44960</v>
      </c>
      <c r="C9581" s="1" t="n">
        <v>45212</v>
      </c>
      <c r="D9581" t="inlineStr">
        <is>
          <t>VÄSTRA GÖTALANDS LÄN</t>
        </is>
      </c>
      <c r="E9581" t="inlineStr">
        <is>
          <t>TROLLHÄTTAN</t>
        </is>
      </c>
      <c r="G9581" t="n">
        <v>3.3</v>
      </c>
      <c r="H9581" t="n">
        <v>0</v>
      </c>
      <c r="I9581" t="n">
        <v>0</v>
      </c>
      <c r="J9581" t="n">
        <v>0</v>
      </c>
      <c r="K9581" t="n">
        <v>0</v>
      </c>
      <c r="L9581" t="n">
        <v>0</v>
      </c>
      <c r="M9581" t="n">
        <v>0</v>
      </c>
      <c r="N9581" t="n">
        <v>0</v>
      </c>
      <c r="O9581" t="n">
        <v>0</v>
      </c>
      <c r="P9581" t="n">
        <v>0</v>
      </c>
      <c r="Q9581" t="n">
        <v>0</v>
      </c>
      <c r="R9581" s="2" t="inlineStr"/>
    </row>
    <row r="9582" ht="15" customHeight="1">
      <c r="A9582" t="inlineStr">
        <is>
          <t>A 5523-2023</t>
        </is>
      </c>
      <c r="B9582" s="1" t="n">
        <v>44960</v>
      </c>
      <c r="C9582" s="1" t="n">
        <v>45212</v>
      </c>
      <c r="D9582" t="inlineStr">
        <is>
          <t>VÄSTRA GÖTALANDS LÄN</t>
        </is>
      </c>
      <c r="E9582" t="inlineStr">
        <is>
          <t>VÅRGÅRDA</t>
        </is>
      </c>
      <c r="G9582" t="n">
        <v>2.4</v>
      </c>
      <c r="H9582" t="n">
        <v>0</v>
      </c>
      <c r="I9582" t="n">
        <v>0</v>
      </c>
      <c r="J9582" t="n">
        <v>0</v>
      </c>
      <c r="K9582" t="n">
        <v>0</v>
      </c>
      <c r="L9582" t="n">
        <v>0</v>
      </c>
      <c r="M9582" t="n">
        <v>0</v>
      </c>
      <c r="N9582" t="n">
        <v>0</v>
      </c>
      <c r="O9582" t="n">
        <v>0</v>
      </c>
      <c r="P9582" t="n">
        <v>0</v>
      </c>
      <c r="Q9582" t="n">
        <v>0</v>
      </c>
      <c r="R9582" s="2" t="inlineStr"/>
    </row>
    <row r="9583" ht="15" customHeight="1">
      <c r="A9583" t="inlineStr">
        <is>
          <t>A 5576-2023</t>
        </is>
      </c>
      <c r="B9583" s="1" t="n">
        <v>44960</v>
      </c>
      <c r="C9583" s="1" t="n">
        <v>45212</v>
      </c>
      <c r="D9583" t="inlineStr">
        <is>
          <t>VÄSTRA GÖTALANDS LÄN</t>
        </is>
      </c>
      <c r="E9583" t="inlineStr">
        <is>
          <t>DALS-ED</t>
        </is>
      </c>
      <c r="G9583" t="n">
        <v>5.2</v>
      </c>
      <c r="H9583" t="n">
        <v>0</v>
      </c>
      <c r="I9583" t="n">
        <v>0</v>
      </c>
      <c r="J9583" t="n">
        <v>0</v>
      </c>
      <c r="K9583" t="n">
        <v>0</v>
      </c>
      <c r="L9583" t="n">
        <v>0</v>
      </c>
      <c r="M9583" t="n">
        <v>0</v>
      </c>
      <c r="N9583" t="n">
        <v>0</v>
      </c>
      <c r="O9583" t="n">
        <v>0</v>
      </c>
      <c r="P9583" t="n">
        <v>0</v>
      </c>
      <c r="Q9583" t="n">
        <v>0</v>
      </c>
      <c r="R9583" s="2" t="inlineStr"/>
    </row>
    <row r="9584" ht="15" customHeight="1">
      <c r="A9584" t="inlineStr">
        <is>
          <t>A 5588-2023</t>
        </is>
      </c>
      <c r="B9584" s="1" t="n">
        <v>44960</v>
      </c>
      <c r="C9584" s="1" t="n">
        <v>45212</v>
      </c>
      <c r="D9584" t="inlineStr">
        <is>
          <t>VÄSTRA GÖTALANDS LÄN</t>
        </is>
      </c>
      <c r="E9584" t="inlineStr">
        <is>
          <t>TIBRO</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5633-2023</t>
        </is>
      </c>
      <c r="B9585" s="1" t="n">
        <v>44960</v>
      </c>
      <c r="C9585" s="1" t="n">
        <v>45212</v>
      </c>
      <c r="D9585" t="inlineStr">
        <is>
          <t>VÄSTRA GÖTALANDS LÄN</t>
        </is>
      </c>
      <c r="E9585" t="inlineStr">
        <is>
          <t>TROLLHÄTTAN</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6323-2023</t>
        </is>
      </c>
      <c r="B9586" s="1" t="n">
        <v>44960</v>
      </c>
      <c r="C9586" s="1" t="n">
        <v>45212</v>
      </c>
      <c r="D9586" t="inlineStr">
        <is>
          <t>VÄSTRA GÖTALANDS LÄN</t>
        </is>
      </c>
      <c r="E9586" t="inlineStr">
        <is>
          <t>LILLA EDET</t>
        </is>
      </c>
      <c r="F9586" t="inlineStr">
        <is>
          <t>Kyrkan</t>
        </is>
      </c>
      <c r="G9586" t="n">
        <v>0.5</v>
      </c>
      <c r="H9586" t="n">
        <v>0</v>
      </c>
      <c r="I9586" t="n">
        <v>0</v>
      </c>
      <c r="J9586" t="n">
        <v>0</v>
      </c>
      <c r="K9586" t="n">
        <v>0</v>
      </c>
      <c r="L9586" t="n">
        <v>0</v>
      </c>
      <c r="M9586" t="n">
        <v>0</v>
      </c>
      <c r="N9586" t="n">
        <v>0</v>
      </c>
      <c r="O9586" t="n">
        <v>0</v>
      </c>
      <c r="P9586" t="n">
        <v>0</v>
      </c>
      <c r="Q9586" t="n">
        <v>0</v>
      </c>
      <c r="R9586" s="2" t="inlineStr"/>
    </row>
    <row r="9587" ht="15" customHeight="1">
      <c r="A9587" t="inlineStr">
        <is>
          <t>A 5807-2023</t>
        </is>
      </c>
      <c r="B9587" s="1" t="n">
        <v>44963</v>
      </c>
      <c r="C9587" s="1" t="n">
        <v>45212</v>
      </c>
      <c r="D9587" t="inlineStr">
        <is>
          <t>VÄSTRA GÖTALANDS LÄN</t>
        </is>
      </c>
      <c r="E9587" t="inlineStr">
        <is>
          <t>LIDKÖPING</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5767-2023</t>
        </is>
      </c>
      <c r="B9588" s="1" t="n">
        <v>44963</v>
      </c>
      <c r="C9588" s="1" t="n">
        <v>45212</v>
      </c>
      <c r="D9588" t="inlineStr">
        <is>
          <t>VÄSTRA GÖTALANDS LÄN</t>
        </is>
      </c>
      <c r="E9588" t="inlineStr">
        <is>
          <t>TROLLHÄTTAN</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5852-2023</t>
        </is>
      </c>
      <c r="B9589" s="1" t="n">
        <v>44963</v>
      </c>
      <c r="C9589" s="1" t="n">
        <v>45212</v>
      </c>
      <c r="D9589" t="inlineStr">
        <is>
          <t>VÄSTRA GÖTALANDS LÄN</t>
        </is>
      </c>
      <c r="E9589" t="inlineStr">
        <is>
          <t>TRANEMO</t>
        </is>
      </c>
      <c r="G9589" t="n">
        <v>1.3</v>
      </c>
      <c r="H9589" t="n">
        <v>0</v>
      </c>
      <c r="I9589" t="n">
        <v>0</v>
      </c>
      <c r="J9589" t="n">
        <v>0</v>
      </c>
      <c r="K9589" t="n">
        <v>0</v>
      </c>
      <c r="L9589" t="n">
        <v>0</v>
      </c>
      <c r="M9589" t="n">
        <v>0</v>
      </c>
      <c r="N9589" t="n">
        <v>0</v>
      </c>
      <c r="O9589" t="n">
        <v>0</v>
      </c>
      <c r="P9589" t="n">
        <v>0</v>
      </c>
      <c r="Q9589" t="n">
        <v>0</v>
      </c>
      <c r="R9589" s="2" t="inlineStr"/>
    </row>
    <row r="9590" ht="15" customHeight="1">
      <c r="A9590" t="inlineStr">
        <is>
          <t>A 5875-2023</t>
        </is>
      </c>
      <c r="B9590" s="1" t="n">
        <v>44963</v>
      </c>
      <c r="C9590" s="1" t="n">
        <v>45212</v>
      </c>
      <c r="D9590" t="inlineStr">
        <is>
          <t>VÄSTRA GÖTALANDS LÄN</t>
        </is>
      </c>
      <c r="E9590" t="inlineStr">
        <is>
          <t>ALE</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5851-2023</t>
        </is>
      </c>
      <c r="B9591" s="1" t="n">
        <v>44963</v>
      </c>
      <c r="C9591" s="1" t="n">
        <v>45212</v>
      </c>
      <c r="D9591" t="inlineStr">
        <is>
          <t>VÄSTRA GÖTALANDS LÄN</t>
        </is>
      </c>
      <c r="E9591" t="inlineStr">
        <is>
          <t>BENGTSFORS</t>
        </is>
      </c>
      <c r="G9591" t="n">
        <v>2.4</v>
      </c>
      <c r="H9591" t="n">
        <v>0</v>
      </c>
      <c r="I9591" t="n">
        <v>0</v>
      </c>
      <c r="J9591" t="n">
        <v>0</v>
      </c>
      <c r="K9591" t="n">
        <v>0</v>
      </c>
      <c r="L9591" t="n">
        <v>0</v>
      </c>
      <c r="M9591" t="n">
        <v>0</v>
      </c>
      <c r="N9591" t="n">
        <v>0</v>
      </c>
      <c r="O9591" t="n">
        <v>0</v>
      </c>
      <c r="P9591" t="n">
        <v>0</v>
      </c>
      <c r="Q9591" t="n">
        <v>0</v>
      </c>
      <c r="R9591" s="2" t="inlineStr"/>
    </row>
    <row r="9592" ht="15" customHeight="1">
      <c r="A9592" t="inlineStr">
        <is>
          <t>A 5916-2023</t>
        </is>
      </c>
      <c r="B9592" s="1" t="n">
        <v>44963</v>
      </c>
      <c r="C9592" s="1" t="n">
        <v>45212</v>
      </c>
      <c r="D9592" t="inlineStr">
        <is>
          <t>VÄSTRA GÖTALANDS LÄN</t>
        </is>
      </c>
      <c r="E9592" t="inlineStr">
        <is>
          <t>ALE</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5964-2023</t>
        </is>
      </c>
      <c r="B9593" s="1" t="n">
        <v>44964</v>
      </c>
      <c r="C9593" s="1" t="n">
        <v>45212</v>
      </c>
      <c r="D9593" t="inlineStr">
        <is>
          <t>VÄSTRA GÖTALANDS LÄN</t>
        </is>
      </c>
      <c r="E9593" t="inlineStr">
        <is>
          <t>BORÅS</t>
        </is>
      </c>
      <c r="G9593" t="n">
        <v>2.2</v>
      </c>
      <c r="H9593" t="n">
        <v>0</v>
      </c>
      <c r="I9593" t="n">
        <v>0</v>
      </c>
      <c r="J9593" t="n">
        <v>0</v>
      </c>
      <c r="K9593" t="n">
        <v>0</v>
      </c>
      <c r="L9593" t="n">
        <v>0</v>
      </c>
      <c r="M9593" t="n">
        <v>0</v>
      </c>
      <c r="N9593" t="n">
        <v>0</v>
      </c>
      <c r="O9593" t="n">
        <v>0</v>
      </c>
      <c r="P9593" t="n">
        <v>0</v>
      </c>
      <c r="Q9593" t="n">
        <v>0</v>
      </c>
      <c r="R9593" s="2" t="inlineStr"/>
    </row>
    <row r="9594" ht="15" customHeight="1">
      <c r="A9594" t="inlineStr">
        <is>
          <t>A 5980-2023</t>
        </is>
      </c>
      <c r="B9594" s="1" t="n">
        <v>44964</v>
      </c>
      <c r="C9594" s="1" t="n">
        <v>45212</v>
      </c>
      <c r="D9594" t="inlineStr">
        <is>
          <t>VÄSTRA GÖTALANDS LÄN</t>
        </is>
      </c>
      <c r="E9594" t="inlineStr">
        <is>
          <t>SVENLJUNGA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6013-2023</t>
        </is>
      </c>
      <c r="B9595" s="1" t="n">
        <v>44964</v>
      </c>
      <c r="C9595" s="1" t="n">
        <v>45212</v>
      </c>
      <c r="D9595" t="inlineStr">
        <is>
          <t>VÄSTRA GÖTALANDS LÄN</t>
        </is>
      </c>
      <c r="E9595" t="inlineStr">
        <is>
          <t>SVENLJUNGA</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6080-2023</t>
        </is>
      </c>
      <c r="B9596" s="1" t="n">
        <v>44964</v>
      </c>
      <c r="C9596" s="1" t="n">
        <v>45212</v>
      </c>
      <c r="D9596" t="inlineStr">
        <is>
          <t>VÄSTRA GÖTALANDS LÄN</t>
        </is>
      </c>
      <c r="E9596" t="inlineStr">
        <is>
          <t>LIDKÖPING</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6102-2023</t>
        </is>
      </c>
      <c r="B9597" s="1" t="n">
        <v>44964</v>
      </c>
      <c r="C9597" s="1" t="n">
        <v>45212</v>
      </c>
      <c r="D9597" t="inlineStr">
        <is>
          <t>VÄSTRA GÖTALANDS LÄN</t>
        </is>
      </c>
      <c r="E9597" t="inlineStr">
        <is>
          <t>LIDKÖPING</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6197-2023</t>
        </is>
      </c>
      <c r="B9598" s="1" t="n">
        <v>44964</v>
      </c>
      <c r="C9598" s="1" t="n">
        <v>45212</v>
      </c>
      <c r="D9598" t="inlineStr">
        <is>
          <t>VÄSTRA GÖTALANDS LÄN</t>
        </is>
      </c>
      <c r="E9598" t="inlineStr">
        <is>
          <t>MUNKEDAL</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6014-2023</t>
        </is>
      </c>
      <c r="B9599" s="1" t="n">
        <v>44964</v>
      </c>
      <c r="C9599" s="1" t="n">
        <v>45212</v>
      </c>
      <c r="D9599" t="inlineStr">
        <is>
          <t>VÄSTRA GÖTALANDS LÄN</t>
        </is>
      </c>
      <c r="E9599" t="inlineStr">
        <is>
          <t>SVENLJUNGA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6120-2023</t>
        </is>
      </c>
      <c r="B9600" s="1" t="n">
        <v>44964</v>
      </c>
      <c r="C9600" s="1" t="n">
        <v>45212</v>
      </c>
      <c r="D9600" t="inlineStr">
        <is>
          <t>VÄSTRA GÖTALANDS LÄN</t>
        </is>
      </c>
      <c r="E9600" t="inlineStr">
        <is>
          <t>ALINGSÅS</t>
        </is>
      </c>
      <c r="G9600" t="n">
        <v>0.8</v>
      </c>
      <c r="H9600" t="n">
        <v>0</v>
      </c>
      <c r="I9600" t="n">
        <v>0</v>
      </c>
      <c r="J9600" t="n">
        <v>0</v>
      </c>
      <c r="K9600" t="n">
        <v>0</v>
      </c>
      <c r="L9600" t="n">
        <v>0</v>
      </c>
      <c r="M9600" t="n">
        <v>0</v>
      </c>
      <c r="N9600" t="n">
        <v>0</v>
      </c>
      <c r="O9600" t="n">
        <v>0</v>
      </c>
      <c r="P9600" t="n">
        <v>0</v>
      </c>
      <c r="Q9600" t="n">
        <v>0</v>
      </c>
      <c r="R9600" s="2" t="inlineStr"/>
    </row>
    <row r="9601" ht="15" customHeight="1">
      <c r="A9601" t="inlineStr">
        <is>
          <t>A 6161-2023</t>
        </is>
      </c>
      <c r="B9601" s="1" t="n">
        <v>44964</v>
      </c>
      <c r="C9601" s="1" t="n">
        <v>45212</v>
      </c>
      <c r="D9601" t="inlineStr">
        <is>
          <t>VÄSTRA GÖTALANDS LÄN</t>
        </is>
      </c>
      <c r="E9601" t="inlineStr">
        <is>
          <t>BORÅS</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6841-2023</t>
        </is>
      </c>
      <c r="B9602" s="1" t="n">
        <v>44964</v>
      </c>
      <c r="C9602" s="1" t="n">
        <v>45212</v>
      </c>
      <c r="D9602" t="inlineStr">
        <is>
          <t>VÄSTRA GÖTALANDS LÄN</t>
        </is>
      </c>
      <c r="E9602" t="inlineStr">
        <is>
          <t>TANUM</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5983-2023</t>
        </is>
      </c>
      <c r="B9603" s="1" t="n">
        <v>44964</v>
      </c>
      <c r="C9603" s="1" t="n">
        <v>45212</v>
      </c>
      <c r="D9603" t="inlineStr">
        <is>
          <t>VÄSTRA GÖTALANDS LÄN</t>
        </is>
      </c>
      <c r="E9603" t="inlineStr">
        <is>
          <t>SVENLJUNGA</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6054-2023</t>
        </is>
      </c>
      <c r="B9604" s="1" t="n">
        <v>44964</v>
      </c>
      <c r="C9604" s="1" t="n">
        <v>45212</v>
      </c>
      <c r="D9604" t="inlineStr">
        <is>
          <t>VÄSTRA GÖTALANDS LÄN</t>
        </is>
      </c>
      <c r="E9604" t="inlineStr">
        <is>
          <t>SVENLJUNGA</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6115-2023</t>
        </is>
      </c>
      <c r="B9605" s="1" t="n">
        <v>44964</v>
      </c>
      <c r="C9605" s="1" t="n">
        <v>45212</v>
      </c>
      <c r="D9605" t="inlineStr">
        <is>
          <t>VÄSTRA GÖTALANDS LÄN</t>
        </is>
      </c>
      <c r="E9605" t="inlineStr">
        <is>
          <t>BORÅS</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6875-2023</t>
        </is>
      </c>
      <c r="B9606" s="1" t="n">
        <v>44964</v>
      </c>
      <c r="C9606" s="1" t="n">
        <v>45212</v>
      </c>
      <c r="D9606" t="inlineStr">
        <is>
          <t>VÄSTRA GÖTALANDS LÄN</t>
        </is>
      </c>
      <c r="E9606" t="inlineStr">
        <is>
          <t>SVENLJUNGA</t>
        </is>
      </c>
      <c r="F9606" t="inlineStr">
        <is>
          <t>Kyrkan</t>
        </is>
      </c>
      <c r="G9606" t="n">
        <v>2.4</v>
      </c>
      <c r="H9606" t="n">
        <v>0</v>
      </c>
      <c r="I9606" t="n">
        <v>0</v>
      </c>
      <c r="J9606" t="n">
        <v>0</v>
      </c>
      <c r="K9606" t="n">
        <v>0</v>
      </c>
      <c r="L9606" t="n">
        <v>0</v>
      </c>
      <c r="M9606" t="n">
        <v>0</v>
      </c>
      <c r="N9606" t="n">
        <v>0</v>
      </c>
      <c r="O9606" t="n">
        <v>0</v>
      </c>
      <c r="P9606" t="n">
        <v>0</v>
      </c>
      <c r="Q9606" t="n">
        <v>0</v>
      </c>
      <c r="R9606" s="2" t="inlineStr"/>
    </row>
    <row r="9607" ht="15" customHeight="1">
      <c r="A9607" t="inlineStr">
        <is>
          <t>A 6373-2023</t>
        </is>
      </c>
      <c r="B9607" s="1" t="n">
        <v>44965</v>
      </c>
      <c r="C9607" s="1" t="n">
        <v>45212</v>
      </c>
      <c r="D9607" t="inlineStr">
        <is>
          <t>VÄSTRA GÖTALANDS LÄN</t>
        </is>
      </c>
      <c r="E9607" t="inlineStr">
        <is>
          <t>GULLSPÅNG</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7168-2023</t>
        </is>
      </c>
      <c r="B9608" s="1" t="n">
        <v>44965</v>
      </c>
      <c r="C9608" s="1" t="n">
        <v>45212</v>
      </c>
      <c r="D9608" t="inlineStr">
        <is>
          <t>VÄSTRA GÖTALANDS LÄN</t>
        </is>
      </c>
      <c r="E9608" t="inlineStr">
        <is>
          <t>MARIESTAD</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7179-2023</t>
        </is>
      </c>
      <c r="B9609" s="1" t="n">
        <v>44965</v>
      </c>
      <c r="C9609" s="1" t="n">
        <v>45212</v>
      </c>
      <c r="D9609" t="inlineStr">
        <is>
          <t>VÄSTRA GÖTALANDS LÄN</t>
        </is>
      </c>
      <c r="E9609" t="inlineStr">
        <is>
          <t>TIBRO</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6965-2023</t>
        </is>
      </c>
      <c r="B9610" s="1" t="n">
        <v>44965</v>
      </c>
      <c r="C9610" s="1" t="n">
        <v>45212</v>
      </c>
      <c r="D9610" t="inlineStr">
        <is>
          <t>VÄSTRA GÖTALANDS LÄN</t>
        </is>
      </c>
      <c r="E9610" t="inlineStr">
        <is>
          <t>MELLERUD</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7172-2023</t>
        </is>
      </c>
      <c r="B9611" s="1" t="n">
        <v>44965</v>
      </c>
      <c r="C9611" s="1" t="n">
        <v>45212</v>
      </c>
      <c r="D9611" t="inlineStr">
        <is>
          <t>VÄSTRA GÖTALANDS LÄN</t>
        </is>
      </c>
      <c r="E9611" t="inlineStr">
        <is>
          <t>GULLSPÅNG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6283-2023</t>
        </is>
      </c>
      <c r="B9612" s="1" t="n">
        <v>44965</v>
      </c>
      <c r="C9612" s="1" t="n">
        <v>45212</v>
      </c>
      <c r="D9612" t="inlineStr">
        <is>
          <t>VÄSTRA GÖTALANDS LÄN</t>
        </is>
      </c>
      <c r="E9612" t="inlineStr">
        <is>
          <t>MELLERUD</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6360-2023</t>
        </is>
      </c>
      <c r="B9613" s="1" t="n">
        <v>44965</v>
      </c>
      <c r="C9613" s="1" t="n">
        <v>45212</v>
      </c>
      <c r="D9613" t="inlineStr">
        <is>
          <t>VÄSTRA GÖTALANDS LÄN</t>
        </is>
      </c>
      <c r="E9613" t="inlineStr">
        <is>
          <t>GULLSPÅNG</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6607-2023</t>
        </is>
      </c>
      <c r="B9614" s="1" t="n">
        <v>44966</v>
      </c>
      <c r="C9614" s="1" t="n">
        <v>45212</v>
      </c>
      <c r="D9614" t="inlineStr">
        <is>
          <t>VÄSTRA GÖTALANDS LÄN</t>
        </is>
      </c>
      <c r="E9614" t="inlineStr">
        <is>
          <t>BENGTSFORS</t>
        </is>
      </c>
      <c r="G9614" t="n">
        <v>5.8</v>
      </c>
      <c r="H9614" t="n">
        <v>0</v>
      </c>
      <c r="I9614" t="n">
        <v>0</v>
      </c>
      <c r="J9614" t="n">
        <v>0</v>
      </c>
      <c r="K9614" t="n">
        <v>0</v>
      </c>
      <c r="L9614" t="n">
        <v>0</v>
      </c>
      <c r="M9614" t="n">
        <v>0</v>
      </c>
      <c r="N9614" t="n">
        <v>0</v>
      </c>
      <c r="O9614" t="n">
        <v>0</v>
      </c>
      <c r="P9614" t="n">
        <v>0</v>
      </c>
      <c r="Q9614" t="n">
        <v>0</v>
      </c>
      <c r="R9614" s="2" t="inlineStr"/>
    </row>
    <row r="9615" ht="15" customHeight="1">
      <c r="A9615" t="inlineStr">
        <is>
          <t>A 6617-2023</t>
        </is>
      </c>
      <c r="B9615" s="1" t="n">
        <v>44966</v>
      </c>
      <c r="C9615" s="1" t="n">
        <v>45212</v>
      </c>
      <c r="D9615" t="inlineStr">
        <is>
          <t>VÄSTRA GÖTALANDS LÄN</t>
        </is>
      </c>
      <c r="E9615" t="inlineStr">
        <is>
          <t>BENGTSFORS</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6745-2023</t>
        </is>
      </c>
      <c r="B9616" s="1" t="n">
        <v>44966</v>
      </c>
      <c r="C9616" s="1" t="n">
        <v>45212</v>
      </c>
      <c r="D9616" t="inlineStr">
        <is>
          <t>VÄSTRA GÖTALANDS LÄN</t>
        </is>
      </c>
      <c r="E9616" t="inlineStr">
        <is>
          <t>BOLLEBYGD</t>
        </is>
      </c>
      <c r="G9616" t="n">
        <v>0.5</v>
      </c>
      <c r="H9616" t="n">
        <v>0</v>
      </c>
      <c r="I9616" t="n">
        <v>0</v>
      </c>
      <c r="J9616" t="n">
        <v>0</v>
      </c>
      <c r="K9616" t="n">
        <v>0</v>
      </c>
      <c r="L9616" t="n">
        <v>0</v>
      </c>
      <c r="M9616" t="n">
        <v>0</v>
      </c>
      <c r="N9616" t="n">
        <v>0</v>
      </c>
      <c r="O9616" t="n">
        <v>0</v>
      </c>
      <c r="P9616" t="n">
        <v>0</v>
      </c>
      <c r="Q9616" t="n">
        <v>0</v>
      </c>
      <c r="R9616" s="2" t="inlineStr"/>
    </row>
    <row r="9617" ht="15" customHeight="1">
      <c r="A9617" t="inlineStr">
        <is>
          <t>A 6614-2023</t>
        </is>
      </c>
      <c r="B9617" s="1" t="n">
        <v>44966</v>
      </c>
      <c r="C9617" s="1" t="n">
        <v>45212</v>
      </c>
      <c r="D9617" t="inlineStr">
        <is>
          <t>VÄSTRA GÖTALANDS LÄN</t>
        </is>
      </c>
      <c r="E9617" t="inlineStr">
        <is>
          <t>BENGTSFORS</t>
        </is>
      </c>
      <c r="G9617" t="n">
        <v>1.4</v>
      </c>
      <c r="H9617" t="n">
        <v>0</v>
      </c>
      <c r="I9617" t="n">
        <v>0</v>
      </c>
      <c r="J9617" t="n">
        <v>0</v>
      </c>
      <c r="K9617" t="n">
        <v>0</v>
      </c>
      <c r="L9617" t="n">
        <v>0</v>
      </c>
      <c r="M9617" t="n">
        <v>0</v>
      </c>
      <c r="N9617" t="n">
        <v>0</v>
      </c>
      <c r="O9617" t="n">
        <v>0</v>
      </c>
      <c r="P9617" t="n">
        <v>0</v>
      </c>
      <c r="Q9617" t="n">
        <v>0</v>
      </c>
      <c r="R9617" s="2" t="inlineStr"/>
    </row>
    <row r="9618" ht="15" customHeight="1">
      <c r="A9618" t="inlineStr">
        <is>
          <t>A 6856-2023</t>
        </is>
      </c>
      <c r="B9618" s="1" t="n">
        <v>44967</v>
      </c>
      <c r="C9618" s="1" t="n">
        <v>45212</v>
      </c>
      <c r="D9618" t="inlineStr">
        <is>
          <t>VÄSTRA GÖTALANDS LÄN</t>
        </is>
      </c>
      <c r="E9618" t="inlineStr">
        <is>
          <t>ULRICEHAMN</t>
        </is>
      </c>
      <c r="G9618" t="n">
        <v>0.7</v>
      </c>
      <c r="H9618" t="n">
        <v>0</v>
      </c>
      <c r="I9618" t="n">
        <v>0</v>
      </c>
      <c r="J9618" t="n">
        <v>0</v>
      </c>
      <c r="K9618" t="n">
        <v>0</v>
      </c>
      <c r="L9618" t="n">
        <v>0</v>
      </c>
      <c r="M9618" t="n">
        <v>0</v>
      </c>
      <c r="N9618" t="n">
        <v>0</v>
      </c>
      <c r="O9618" t="n">
        <v>0</v>
      </c>
      <c r="P9618" t="n">
        <v>0</v>
      </c>
      <c r="Q9618" t="n">
        <v>0</v>
      </c>
      <c r="R9618" s="2" t="inlineStr"/>
    </row>
    <row r="9619" ht="15" customHeight="1">
      <c r="A9619" t="inlineStr">
        <is>
          <t>A 6907-2023</t>
        </is>
      </c>
      <c r="B9619" s="1" t="n">
        <v>44967</v>
      </c>
      <c r="C9619" s="1" t="n">
        <v>45212</v>
      </c>
      <c r="D9619" t="inlineStr">
        <is>
          <t>VÄSTRA GÖTALANDS LÄN</t>
        </is>
      </c>
      <c r="E9619" t="inlineStr">
        <is>
          <t>LIDKÖPING</t>
        </is>
      </c>
      <c r="G9619" t="n">
        <v>8.5</v>
      </c>
      <c r="H9619" t="n">
        <v>0</v>
      </c>
      <c r="I9619" t="n">
        <v>0</v>
      </c>
      <c r="J9619" t="n">
        <v>0</v>
      </c>
      <c r="K9619" t="n">
        <v>0</v>
      </c>
      <c r="L9619" t="n">
        <v>0</v>
      </c>
      <c r="M9619" t="n">
        <v>0</v>
      </c>
      <c r="N9619" t="n">
        <v>0</v>
      </c>
      <c r="O9619" t="n">
        <v>0</v>
      </c>
      <c r="P9619" t="n">
        <v>0</v>
      </c>
      <c r="Q9619" t="n">
        <v>0</v>
      </c>
      <c r="R9619" s="2" t="inlineStr"/>
    </row>
    <row r="9620" ht="15" customHeight="1">
      <c r="A9620" t="inlineStr">
        <is>
          <t>A 6925-2023</t>
        </is>
      </c>
      <c r="B9620" s="1" t="n">
        <v>44967</v>
      </c>
      <c r="C9620" s="1" t="n">
        <v>45212</v>
      </c>
      <c r="D9620" t="inlineStr">
        <is>
          <t>VÄSTRA GÖTALANDS LÄN</t>
        </is>
      </c>
      <c r="E9620" t="inlineStr">
        <is>
          <t>GÖTENE</t>
        </is>
      </c>
      <c r="F9620" t="inlineStr">
        <is>
          <t>Kyrkan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6887-2023</t>
        </is>
      </c>
      <c r="B9621" s="1" t="n">
        <v>44967</v>
      </c>
      <c r="C9621" s="1" t="n">
        <v>45212</v>
      </c>
      <c r="D9621" t="inlineStr">
        <is>
          <t>VÄSTRA GÖTALANDS LÄN</t>
        </is>
      </c>
      <c r="E9621" t="inlineStr">
        <is>
          <t>UDDEVALLA</t>
        </is>
      </c>
      <c r="G9621" t="n">
        <v>5.3</v>
      </c>
      <c r="H9621" t="n">
        <v>0</v>
      </c>
      <c r="I9621" t="n">
        <v>0</v>
      </c>
      <c r="J9621" t="n">
        <v>0</v>
      </c>
      <c r="K9621" t="n">
        <v>0</v>
      </c>
      <c r="L9621" t="n">
        <v>0</v>
      </c>
      <c r="M9621" t="n">
        <v>0</v>
      </c>
      <c r="N9621" t="n">
        <v>0</v>
      </c>
      <c r="O9621" t="n">
        <v>0</v>
      </c>
      <c r="P9621" t="n">
        <v>0</v>
      </c>
      <c r="Q9621" t="n">
        <v>0</v>
      </c>
      <c r="R9621" s="2" t="inlineStr"/>
    </row>
    <row r="9622" ht="15" customHeight="1">
      <c r="A9622" t="inlineStr">
        <is>
          <t>A 6898-2023</t>
        </is>
      </c>
      <c r="B9622" s="1" t="n">
        <v>44967</v>
      </c>
      <c r="C9622" s="1" t="n">
        <v>45212</v>
      </c>
      <c r="D9622" t="inlineStr">
        <is>
          <t>VÄSTRA GÖTALANDS LÄN</t>
        </is>
      </c>
      <c r="E9622" t="inlineStr">
        <is>
          <t>LIDKÖPING</t>
        </is>
      </c>
      <c r="G9622" t="n">
        <v>18</v>
      </c>
      <c r="H9622" t="n">
        <v>0</v>
      </c>
      <c r="I9622" t="n">
        <v>0</v>
      </c>
      <c r="J9622" t="n">
        <v>0</v>
      </c>
      <c r="K9622" t="n">
        <v>0</v>
      </c>
      <c r="L9622" t="n">
        <v>0</v>
      </c>
      <c r="M9622" t="n">
        <v>0</v>
      </c>
      <c r="N9622" t="n">
        <v>0</v>
      </c>
      <c r="O9622" t="n">
        <v>0</v>
      </c>
      <c r="P9622" t="n">
        <v>0</v>
      </c>
      <c r="Q9622" t="n">
        <v>0</v>
      </c>
      <c r="R9622" s="2" t="inlineStr"/>
    </row>
    <row r="9623" ht="15" customHeight="1">
      <c r="A9623" t="inlineStr">
        <is>
          <t>A 6913-2023</t>
        </is>
      </c>
      <c r="B9623" s="1" t="n">
        <v>44967</v>
      </c>
      <c r="C9623" s="1" t="n">
        <v>45212</v>
      </c>
      <c r="D9623" t="inlineStr">
        <is>
          <t>VÄSTRA GÖTALANDS LÄN</t>
        </is>
      </c>
      <c r="E9623" t="inlineStr">
        <is>
          <t>LIDKÖPING</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6853-2023</t>
        </is>
      </c>
      <c r="B9624" s="1" t="n">
        <v>44967</v>
      </c>
      <c r="C9624" s="1" t="n">
        <v>45212</v>
      </c>
      <c r="D9624" t="inlineStr">
        <is>
          <t>VÄSTRA GÖTALANDS LÄN</t>
        </is>
      </c>
      <c r="E9624" t="inlineStr">
        <is>
          <t>ULRICEHAMN</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7047-2023</t>
        </is>
      </c>
      <c r="B9625" s="1" t="n">
        <v>44968</v>
      </c>
      <c r="C9625" s="1" t="n">
        <v>45212</v>
      </c>
      <c r="D9625" t="inlineStr">
        <is>
          <t>VÄSTRA GÖTALANDS LÄN</t>
        </is>
      </c>
      <c r="E9625" t="inlineStr">
        <is>
          <t>VÅRGÅRDA</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7705-2023</t>
        </is>
      </c>
      <c r="B9626" s="1" t="n">
        <v>44969</v>
      </c>
      <c r="C9626" s="1" t="n">
        <v>45212</v>
      </c>
      <c r="D9626" t="inlineStr">
        <is>
          <t>VÄSTRA GÖTALANDS LÄN</t>
        </is>
      </c>
      <c r="E9626" t="inlineStr">
        <is>
          <t>TANUM</t>
        </is>
      </c>
      <c r="G9626" t="n">
        <v>2.1</v>
      </c>
      <c r="H9626" t="n">
        <v>0</v>
      </c>
      <c r="I9626" t="n">
        <v>0</v>
      </c>
      <c r="J9626" t="n">
        <v>0</v>
      </c>
      <c r="K9626" t="n">
        <v>0</v>
      </c>
      <c r="L9626" t="n">
        <v>0</v>
      </c>
      <c r="M9626" t="n">
        <v>0</v>
      </c>
      <c r="N9626" t="n">
        <v>0</v>
      </c>
      <c r="O9626" t="n">
        <v>0</v>
      </c>
      <c r="P9626" t="n">
        <v>0</v>
      </c>
      <c r="Q9626" t="n">
        <v>0</v>
      </c>
      <c r="R9626" s="2" t="inlineStr"/>
    </row>
    <row r="9627" ht="15" customHeight="1">
      <c r="A9627" t="inlineStr">
        <is>
          <t>A 7755-2023</t>
        </is>
      </c>
      <c r="B9627" s="1" t="n">
        <v>44969</v>
      </c>
      <c r="C9627" s="1" t="n">
        <v>45212</v>
      </c>
      <c r="D9627" t="inlineStr">
        <is>
          <t>VÄSTRA GÖTALANDS LÄN</t>
        </is>
      </c>
      <c r="E9627" t="inlineStr">
        <is>
          <t>UDDEVALLA</t>
        </is>
      </c>
      <c r="G9627" t="n">
        <v>5.1</v>
      </c>
      <c r="H9627" t="n">
        <v>0</v>
      </c>
      <c r="I9627" t="n">
        <v>0</v>
      </c>
      <c r="J9627" t="n">
        <v>0</v>
      </c>
      <c r="K9627" t="n">
        <v>0</v>
      </c>
      <c r="L9627" t="n">
        <v>0</v>
      </c>
      <c r="M9627" t="n">
        <v>0</v>
      </c>
      <c r="N9627" t="n">
        <v>0</v>
      </c>
      <c r="O9627" t="n">
        <v>0</v>
      </c>
      <c r="P9627" t="n">
        <v>0</v>
      </c>
      <c r="Q9627" t="n">
        <v>0</v>
      </c>
      <c r="R9627" s="2" t="inlineStr"/>
    </row>
    <row r="9628" ht="15" customHeight="1">
      <c r="A9628" t="inlineStr">
        <is>
          <t>A 7708-2023</t>
        </is>
      </c>
      <c r="B9628" s="1" t="n">
        <v>44969</v>
      </c>
      <c r="C9628" s="1" t="n">
        <v>45212</v>
      </c>
      <c r="D9628" t="inlineStr">
        <is>
          <t>VÄSTRA GÖTALANDS LÄN</t>
        </is>
      </c>
      <c r="E9628" t="inlineStr">
        <is>
          <t>TANUM</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7961-2023</t>
        </is>
      </c>
      <c r="B9629" s="1" t="n">
        <v>44970</v>
      </c>
      <c r="C9629" s="1" t="n">
        <v>45212</v>
      </c>
      <c r="D9629" t="inlineStr">
        <is>
          <t>VÄSTRA GÖTALANDS LÄN</t>
        </is>
      </c>
      <c r="E9629" t="inlineStr">
        <is>
          <t>GULLSPÅNG</t>
        </is>
      </c>
      <c r="G9629" t="n">
        <v>7.6</v>
      </c>
      <c r="H9629" t="n">
        <v>0</v>
      </c>
      <c r="I9629" t="n">
        <v>0</v>
      </c>
      <c r="J9629" t="n">
        <v>0</v>
      </c>
      <c r="K9629" t="n">
        <v>0</v>
      </c>
      <c r="L9629" t="n">
        <v>0</v>
      </c>
      <c r="M9629" t="n">
        <v>0</v>
      </c>
      <c r="N9629" t="n">
        <v>0</v>
      </c>
      <c r="O9629" t="n">
        <v>0</v>
      </c>
      <c r="P9629" t="n">
        <v>0</v>
      </c>
      <c r="Q9629" t="n">
        <v>0</v>
      </c>
      <c r="R9629" s="2" t="inlineStr"/>
    </row>
    <row r="9630" ht="15" customHeight="1">
      <c r="A9630" t="inlineStr">
        <is>
          <t>A 7986-2023</t>
        </is>
      </c>
      <c r="B9630" s="1" t="n">
        <v>44970</v>
      </c>
      <c r="C9630" s="1" t="n">
        <v>45212</v>
      </c>
      <c r="D9630" t="inlineStr">
        <is>
          <t>VÄSTRA GÖTALANDS LÄN</t>
        </is>
      </c>
      <c r="E9630" t="inlineStr">
        <is>
          <t>DALS-ED</t>
        </is>
      </c>
      <c r="F9630" t="inlineStr">
        <is>
          <t>Kyrkan</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7087-2023</t>
        </is>
      </c>
      <c r="B9631" s="1" t="n">
        <v>44970</v>
      </c>
      <c r="C9631" s="1" t="n">
        <v>45212</v>
      </c>
      <c r="D9631" t="inlineStr">
        <is>
          <t>VÄSTRA GÖTALANDS LÄN</t>
        </is>
      </c>
      <c r="E9631" t="inlineStr">
        <is>
          <t>TRANEMO</t>
        </is>
      </c>
      <c r="G9631" t="n">
        <v>4.7</v>
      </c>
      <c r="H9631" t="n">
        <v>0</v>
      </c>
      <c r="I9631" t="n">
        <v>0</v>
      </c>
      <c r="J9631" t="n">
        <v>0</v>
      </c>
      <c r="K9631" t="n">
        <v>0</v>
      </c>
      <c r="L9631" t="n">
        <v>0</v>
      </c>
      <c r="M9631" t="n">
        <v>0</v>
      </c>
      <c r="N9631" t="n">
        <v>0</v>
      </c>
      <c r="O9631" t="n">
        <v>0</v>
      </c>
      <c r="P9631" t="n">
        <v>0</v>
      </c>
      <c r="Q9631" t="n">
        <v>0</v>
      </c>
      <c r="R9631" s="2" t="inlineStr"/>
    </row>
    <row r="9632" ht="15" customHeight="1">
      <c r="A9632" t="inlineStr">
        <is>
          <t>A 7111-2023</t>
        </is>
      </c>
      <c r="B9632" s="1" t="n">
        <v>44970</v>
      </c>
      <c r="C9632" s="1" t="n">
        <v>45212</v>
      </c>
      <c r="D9632" t="inlineStr">
        <is>
          <t>VÄSTRA GÖTALANDS LÄN</t>
        </is>
      </c>
      <c r="E9632" t="inlineStr">
        <is>
          <t>ULRICEHAMN</t>
        </is>
      </c>
      <c r="G9632" t="n">
        <v>2</v>
      </c>
      <c r="H9632" t="n">
        <v>0</v>
      </c>
      <c r="I9632" t="n">
        <v>0</v>
      </c>
      <c r="J9632" t="n">
        <v>0</v>
      </c>
      <c r="K9632" t="n">
        <v>0</v>
      </c>
      <c r="L9632" t="n">
        <v>0</v>
      </c>
      <c r="M9632" t="n">
        <v>0</v>
      </c>
      <c r="N9632" t="n">
        <v>0</v>
      </c>
      <c r="O9632" t="n">
        <v>0</v>
      </c>
      <c r="P9632" t="n">
        <v>0</v>
      </c>
      <c r="Q9632" t="n">
        <v>0</v>
      </c>
      <c r="R9632" s="2" t="inlineStr"/>
    </row>
    <row r="9633" ht="15" customHeight="1">
      <c r="A9633" t="inlineStr">
        <is>
          <t>A 7969-2023</t>
        </is>
      </c>
      <c r="B9633" s="1" t="n">
        <v>44970</v>
      </c>
      <c r="C9633" s="1" t="n">
        <v>45212</v>
      </c>
      <c r="D9633" t="inlineStr">
        <is>
          <t>VÄSTRA GÖTALANDS LÄN</t>
        </is>
      </c>
      <c r="E9633" t="inlineStr">
        <is>
          <t>GULLSPÅNG</t>
        </is>
      </c>
      <c r="G9633" t="n">
        <v>3</v>
      </c>
      <c r="H9633" t="n">
        <v>0</v>
      </c>
      <c r="I9633" t="n">
        <v>0</v>
      </c>
      <c r="J9633" t="n">
        <v>0</v>
      </c>
      <c r="K9633" t="n">
        <v>0</v>
      </c>
      <c r="L9633" t="n">
        <v>0</v>
      </c>
      <c r="M9633" t="n">
        <v>0</v>
      </c>
      <c r="N9633" t="n">
        <v>0</v>
      </c>
      <c r="O9633" t="n">
        <v>0</v>
      </c>
      <c r="P9633" t="n">
        <v>0</v>
      </c>
      <c r="Q9633" t="n">
        <v>0</v>
      </c>
      <c r="R9633" s="2" t="inlineStr"/>
    </row>
    <row r="9634" ht="15" customHeight="1">
      <c r="A9634" t="inlineStr">
        <is>
          <t>A 7088-2023</t>
        </is>
      </c>
      <c r="B9634" s="1" t="n">
        <v>44970</v>
      </c>
      <c r="C9634" s="1" t="n">
        <v>45212</v>
      </c>
      <c r="D9634" t="inlineStr">
        <is>
          <t>VÄSTRA GÖTALANDS LÄN</t>
        </is>
      </c>
      <c r="E9634" t="inlineStr">
        <is>
          <t>TRANEMO</t>
        </is>
      </c>
      <c r="G9634" t="n">
        <v>0.9</v>
      </c>
      <c r="H9634" t="n">
        <v>0</v>
      </c>
      <c r="I9634" t="n">
        <v>0</v>
      </c>
      <c r="J9634" t="n">
        <v>0</v>
      </c>
      <c r="K9634" t="n">
        <v>0</v>
      </c>
      <c r="L9634" t="n">
        <v>0</v>
      </c>
      <c r="M9634" t="n">
        <v>0</v>
      </c>
      <c r="N9634" t="n">
        <v>0</v>
      </c>
      <c r="O9634" t="n">
        <v>0</v>
      </c>
      <c r="P9634" t="n">
        <v>0</v>
      </c>
      <c r="Q9634" t="n">
        <v>0</v>
      </c>
      <c r="R9634" s="2" t="inlineStr"/>
    </row>
    <row r="9635" ht="15" customHeight="1">
      <c r="A9635" t="inlineStr">
        <is>
          <t>A 7203-2023</t>
        </is>
      </c>
      <c r="B9635" s="1" t="n">
        <v>44970</v>
      </c>
      <c r="C9635" s="1" t="n">
        <v>45212</v>
      </c>
      <c r="D9635" t="inlineStr">
        <is>
          <t>VÄSTRA GÖTALANDS LÄN</t>
        </is>
      </c>
      <c r="E9635" t="inlineStr">
        <is>
          <t>TROLLHÄTTAN</t>
        </is>
      </c>
      <c r="G9635" t="n">
        <v>12.9</v>
      </c>
      <c r="H9635" t="n">
        <v>0</v>
      </c>
      <c r="I9635" t="n">
        <v>0</v>
      </c>
      <c r="J9635" t="n">
        <v>0</v>
      </c>
      <c r="K9635" t="n">
        <v>0</v>
      </c>
      <c r="L9635" t="n">
        <v>0</v>
      </c>
      <c r="M9635" t="n">
        <v>0</v>
      </c>
      <c r="N9635" t="n">
        <v>0</v>
      </c>
      <c r="O9635" t="n">
        <v>0</v>
      </c>
      <c r="P9635" t="n">
        <v>0</v>
      </c>
      <c r="Q9635" t="n">
        <v>0</v>
      </c>
      <c r="R9635" s="2" t="inlineStr"/>
    </row>
    <row r="9636" ht="15" customHeight="1">
      <c r="A9636" t="inlineStr">
        <is>
          <t>A 7853-2023</t>
        </is>
      </c>
      <c r="B9636" s="1" t="n">
        <v>44970</v>
      </c>
      <c r="C9636" s="1" t="n">
        <v>45212</v>
      </c>
      <c r="D9636" t="inlineStr">
        <is>
          <t>VÄSTRA GÖTALANDS LÄN</t>
        </is>
      </c>
      <c r="E9636" t="inlineStr">
        <is>
          <t>TÖREBODA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7953-2023</t>
        </is>
      </c>
      <c r="B9637" s="1" t="n">
        <v>44970</v>
      </c>
      <c r="C9637" s="1" t="n">
        <v>45212</v>
      </c>
      <c r="D9637" t="inlineStr">
        <is>
          <t>VÄSTRA GÖTALANDS LÄN</t>
        </is>
      </c>
      <c r="E9637" t="inlineStr">
        <is>
          <t>GULLSPÅNG</t>
        </is>
      </c>
      <c r="G9637" t="n">
        <v>2.6</v>
      </c>
      <c r="H9637" t="n">
        <v>0</v>
      </c>
      <c r="I9637" t="n">
        <v>0</v>
      </c>
      <c r="J9637" t="n">
        <v>0</v>
      </c>
      <c r="K9637" t="n">
        <v>0</v>
      </c>
      <c r="L9637" t="n">
        <v>0</v>
      </c>
      <c r="M9637" t="n">
        <v>0</v>
      </c>
      <c r="N9637" t="n">
        <v>0</v>
      </c>
      <c r="O9637" t="n">
        <v>0</v>
      </c>
      <c r="P9637" t="n">
        <v>0</v>
      </c>
      <c r="Q9637" t="n">
        <v>0</v>
      </c>
      <c r="R9637" s="2" t="inlineStr"/>
    </row>
    <row r="9638" ht="15" customHeight="1">
      <c r="A9638" t="inlineStr">
        <is>
          <t>A 7346-2023</t>
        </is>
      </c>
      <c r="B9638" s="1" t="n">
        <v>44971</v>
      </c>
      <c r="C9638" s="1" t="n">
        <v>45212</v>
      </c>
      <c r="D9638" t="inlineStr">
        <is>
          <t>VÄSTRA GÖTALANDS LÄN</t>
        </is>
      </c>
      <c r="E9638" t="inlineStr">
        <is>
          <t>ULRICEHAMN</t>
        </is>
      </c>
      <c r="G9638" t="n">
        <v>1.8</v>
      </c>
      <c r="H9638" t="n">
        <v>0</v>
      </c>
      <c r="I9638" t="n">
        <v>0</v>
      </c>
      <c r="J9638" t="n">
        <v>0</v>
      </c>
      <c r="K9638" t="n">
        <v>0</v>
      </c>
      <c r="L9638" t="n">
        <v>0</v>
      </c>
      <c r="M9638" t="n">
        <v>0</v>
      </c>
      <c r="N9638" t="n">
        <v>0</v>
      </c>
      <c r="O9638" t="n">
        <v>0</v>
      </c>
      <c r="P9638" t="n">
        <v>0</v>
      </c>
      <c r="Q9638" t="n">
        <v>0</v>
      </c>
      <c r="R9638" s="2" t="inlineStr"/>
    </row>
    <row r="9639" ht="15" customHeight="1">
      <c r="A9639" t="inlineStr">
        <is>
          <t>A 7418-2023</t>
        </is>
      </c>
      <c r="B9639" s="1" t="n">
        <v>44971</v>
      </c>
      <c r="C9639" s="1" t="n">
        <v>45212</v>
      </c>
      <c r="D9639" t="inlineStr">
        <is>
          <t>VÄSTRA GÖTALANDS LÄN</t>
        </is>
      </c>
      <c r="E9639" t="inlineStr">
        <is>
          <t>MARIESTAD</t>
        </is>
      </c>
      <c r="G9639" t="n">
        <v>0.5</v>
      </c>
      <c r="H9639" t="n">
        <v>0</v>
      </c>
      <c r="I9639" t="n">
        <v>0</v>
      </c>
      <c r="J9639" t="n">
        <v>0</v>
      </c>
      <c r="K9639" t="n">
        <v>0</v>
      </c>
      <c r="L9639" t="n">
        <v>0</v>
      </c>
      <c r="M9639" t="n">
        <v>0</v>
      </c>
      <c r="N9639" t="n">
        <v>0</v>
      </c>
      <c r="O9639" t="n">
        <v>0</v>
      </c>
      <c r="P9639" t="n">
        <v>0</v>
      </c>
      <c r="Q9639" t="n">
        <v>0</v>
      </c>
      <c r="R9639" s="2" t="inlineStr"/>
    </row>
    <row r="9640" ht="15" customHeight="1">
      <c r="A9640" t="inlineStr">
        <is>
          <t>A 7344-2023</t>
        </is>
      </c>
      <c r="B9640" s="1" t="n">
        <v>44971</v>
      </c>
      <c r="C9640" s="1" t="n">
        <v>45212</v>
      </c>
      <c r="D9640" t="inlineStr">
        <is>
          <t>VÄSTRA GÖTALANDS LÄN</t>
        </is>
      </c>
      <c r="E9640" t="inlineStr">
        <is>
          <t>ULRICEHAMN</t>
        </is>
      </c>
      <c r="G9640" t="n">
        <v>0.8</v>
      </c>
      <c r="H9640" t="n">
        <v>0</v>
      </c>
      <c r="I9640" t="n">
        <v>0</v>
      </c>
      <c r="J9640" t="n">
        <v>0</v>
      </c>
      <c r="K9640" t="n">
        <v>0</v>
      </c>
      <c r="L9640" t="n">
        <v>0</v>
      </c>
      <c r="M9640" t="n">
        <v>0</v>
      </c>
      <c r="N9640" t="n">
        <v>0</v>
      </c>
      <c r="O9640" t="n">
        <v>0</v>
      </c>
      <c r="P9640" t="n">
        <v>0</v>
      </c>
      <c r="Q9640" t="n">
        <v>0</v>
      </c>
      <c r="R9640" s="2" t="inlineStr"/>
    </row>
    <row r="9641" ht="15" customHeight="1">
      <c r="A9641" t="inlineStr">
        <is>
          <t>A 7443-2023</t>
        </is>
      </c>
      <c r="B9641" s="1" t="n">
        <v>44971</v>
      </c>
      <c r="C9641" s="1" t="n">
        <v>45212</v>
      </c>
      <c r="D9641" t="inlineStr">
        <is>
          <t>VÄSTRA GÖTALANDS LÄN</t>
        </is>
      </c>
      <c r="E9641" t="inlineStr">
        <is>
          <t>MELLERUD</t>
        </is>
      </c>
      <c r="G9641" t="n">
        <v>0.6</v>
      </c>
      <c r="H9641" t="n">
        <v>0</v>
      </c>
      <c r="I9641" t="n">
        <v>0</v>
      </c>
      <c r="J9641" t="n">
        <v>0</v>
      </c>
      <c r="K9641" t="n">
        <v>0</v>
      </c>
      <c r="L9641" t="n">
        <v>0</v>
      </c>
      <c r="M9641" t="n">
        <v>0</v>
      </c>
      <c r="N9641" t="n">
        <v>0</v>
      </c>
      <c r="O9641" t="n">
        <v>0</v>
      </c>
      <c r="P9641" t="n">
        <v>0</v>
      </c>
      <c r="Q9641" t="n">
        <v>0</v>
      </c>
      <c r="R9641" s="2" t="inlineStr"/>
    </row>
    <row r="9642" ht="15" customHeight="1">
      <c r="A9642" t="inlineStr">
        <is>
          <t>A 7343-2023</t>
        </is>
      </c>
      <c r="B9642" s="1" t="n">
        <v>44971</v>
      </c>
      <c r="C9642" s="1" t="n">
        <v>45212</v>
      </c>
      <c r="D9642" t="inlineStr">
        <is>
          <t>VÄSTRA GÖTALANDS LÄN</t>
        </is>
      </c>
      <c r="E9642" t="inlineStr">
        <is>
          <t>MARK</t>
        </is>
      </c>
      <c r="G9642" t="n">
        <v>1.8</v>
      </c>
      <c r="H9642" t="n">
        <v>0</v>
      </c>
      <c r="I9642" t="n">
        <v>0</v>
      </c>
      <c r="J9642" t="n">
        <v>0</v>
      </c>
      <c r="K9642" t="n">
        <v>0</v>
      </c>
      <c r="L9642" t="n">
        <v>0</v>
      </c>
      <c r="M9642" t="n">
        <v>0</v>
      </c>
      <c r="N9642" t="n">
        <v>0</v>
      </c>
      <c r="O9642" t="n">
        <v>0</v>
      </c>
      <c r="P9642" t="n">
        <v>0</v>
      </c>
      <c r="Q9642" t="n">
        <v>0</v>
      </c>
      <c r="R9642" s="2" t="inlineStr"/>
    </row>
    <row r="9643" ht="15" customHeight="1">
      <c r="A9643" t="inlineStr">
        <is>
          <t>A 7347-2023</t>
        </is>
      </c>
      <c r="B9643" s="1" t="n">
        <v>44971</v>
      </c>
      <c r="C9643" s="1" t="n">
        <v>45212</v>
      </c>
      <c r="D9643" t="inlineStr">
        <is>
          <t>VÄSTRA GÖTALANDS LÄN</t>
        </is>
      </c>
      <c r="E9643" t="inlineStr">
        <is>
          <t>ULRICEHAMN</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7419-2023</t>
        </is>
      </c>
      <c r="B9644" s="1" t="n">
        <v>44971</v>
      </c>
      <c r="C9644" s="1" t="n">
        <v>45212</v>
      </c>
      <c r="D9644" t="inlineStr">
        <is>
          <t>VÄSTRA GÖTALANDS LÄN</t>
        </is>
      </c>
      <c r="E9644" t="inlineStr">
        <is>
          <t>MARIESTAD</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7600-2023</t>
        </is>
      </c>
      <c r="B9645" s="1" t="n">
        <v>44972</v>
      </c>
      <c r="C9645" s="1" t="n">
        <v>45212</v>
      </c>
      <c r="D9645" t="inlineStr">
        <is>
          <t>VÄSTRA GÖTALANDS LÄN</t>
        </is>
      </c>
      <c r="E9645" t="inlineStr">
        <is>
          <t>ESSUNGA</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7680-2023</t>
        </is>
      </c>
      <c r="B9646" s="1" t="n">
        <v>44972</v>
      </c>
      <c r="C9646" s="1" t="n">
        <v>45212</v>
      </c>
      <c r="D9646" t="inlineStr">
        <is>
          <t>VÄSTRA GÖTALANDS LÄN</t>
        </is>
      </c>
      <c r="E9646" t="inlineStr">
        <is>
          <t>TÖREBODA</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8750-2023</t>
        </is>
      </c>
      <c r="B9647" s="1" t="n">
        <v>44972</v>
      </c>
      <c r="C9647" s="1" t="n">
        <v>45212</v>
      </c>
      <c r="D9647" t="inlineStr">
        <is>
          <t>VÄSTRA GÖTALANDS LÄN</t>
        </is>
      </c>
      <c r="E9647" t="inlineStr">
        <is>
          <t>MUNKEDAL</t>
        </is>
      </c>
      <c r="F9647" t="inlineStr">
        <is>
          <t>Övriga Aktiebolag</t>
        </is>
      </c>
      <c r="G9647" t="n">
        <v>5.5</v>
      </c>
      <c r="H9647" t="n">
        <v>0</v>
      </c>
      <c r="I9647" t="n">
        <v>0</v>
      </c>
      <c r="J9647" t="n">
        <v>0</v>
      </c>
      <c r="K9647" t="n">
        <v>0</v>
      </c>
      <c r="L9647" t="n">
        <v>0</v>
      </c>
      <c r="M9647" t="n">
        <v>0</v>
      </c>
      <c r="N9647" t="n">
        <v>0</v>
      </c>
      <c r="O9647" t="n">
        <v>0</v>
      </c>
      <c r="P9647" t="n">
        <v>0</v>
      </c>
      <c r="Q9647" t="n">
        <v>0</v>
      </c>
      <c r="R9647" s="2" t="inlineStr"/>
    </row>
    <row r="9648" ht="15" customHeight="1">
      <c r="A9648" t="inlineStr">
        <is>
          <t>A 7642-2023</t>
        </is>
      </c>
      <c r="B9648" s="1" t="n">
        <v>44972</v>
      </c>
      <c r="C9648" s="1" t="n">
        <v>45212</v>
      </c>
      <c r="D9648" t="inlineStr">
        <is>
          <t>VÄSTRA GÖTALANDS LÄN</t>
        </is>
      </c>
      <c r="E9648" t="inlineStr">
        <is>
          <t>TANUM</t>
        </is>
      </c>
      <c r="G9648" t="n">
        <v>3.5</v>
      </c>
      <c r="H9648" t="n">
        <v>0</v>
      </c>
      <c r="I9648" t="n">
        <v>0</v>
      </c>
      <c r="J9648" t="n">
        <v>0</v>
      </c>
      <c r="K9648" t="n">
        <v>0</v>
      </c>
      <c r="L9648" t="n">
        <v>0</v>
      </c>
      <c r="M9648" t="n">
        <v>0</v>
      </c>
      <c r="N9648" t="n">
        <v>0</v>
      </c>
      <c r="O9648" t="n">
        <v>0</v>
      </c>
      <c r="P9648" t="n">
        <v>0</v>
      </c>
      <c r="Q9648" t="n">
        <v>0</v>
      </c>
      <c r="R9648" s="2" t="inlineStr"/>
    </row>
    <row r="9649" ht="15" customHeight="1">
      <c r="A9649" t="inlineStr">
        <is>
          <t>A 7652-2023</t>
        </is>
      </c>
      <c r="B9649" s="1" t="n">
        <v>44972</v>
      </c>
      <c r="C9649" s="1" t="n">
        <v>45212</v>
      </c>
      <c r="D9649" t="inlineStr">
        <is>
          <t>VÄSTRA GÖTALANDS LÄN</t>
        </is>
      </c>
      <c r="E9649" t="inlineStr">
        <is>
          <t>KARLSBORG</t>
        </is>
      </c>
      <c r="G9649" t="n">
        <v>0.9</v>
      </c>
      <c r="H9649" t="n">
        <v>0</v>
      </c>
      <c r="I9649" t="n">
        <v>0</v>
      </c>
      <c r="J9649" t="n">
        <v>0</v>
      </c>
      <c r="K9649" t="n">
        <v>0</v>
      </c>
      <c r="L9649" t="n">
        <v>0</v>
      </c>
      <c r="M9649" t="n">
        <v>0</v>
      </c>
      <c r="N9649" t="n">
        <v>0</v>
      </c>
      <c r="O9649" t="n">
        <v>0</v>
      </c>
      <c r="P9649" t="n">
        <v>0</v>
      </c>
      <c r="Q9649" t="n">
        <v>0</v>
      </c>
      <c r="R9649" s="2" t="inlineStr"/>
    </row>
    <row r="9650" ht="15" customHeight="1">
      <c r="A9650" t="inlineStr">
        <is>
          <t>A 8492-2023</t>
        </is>
      </c>
      <c r="B9650" s="1" t="n">
        <v>44972</v>
      </c>
      <c r="C9650" s="1" t="n">
        <v>45212</v>
      </c>
      <c r="D9650" t="inlineStr">
        <is>
          <t>VÄSTRA GÖTALANDS LÄN</t>
        </is>
      </c>
      <c r="E9650" t="inlineStr">
        <is>
          <t>DALS-ED</t>
        </is>
      </c>
      <c r="F9650" t="inlineStr">
        <is>
          <t>Bergvik skog väst AB</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7676-2023</t>
        </is>
      </c>
      <c r="B9651" s="1" t="n">
        <v>44972</v>
      </c>
      <c r="C9651" s="1" t="n">
        <v>45212</v>
      </c>
      <c r="D9651" t="inlineStr">
        <is>
          <t>VÄSTRA GÖTALANDS LÄN</t>
        </is>
      </c>
      <c r="E9651" t="inlineStr">
        <is>
          <t>KARLSBORG</t>
        </is>
      </c>
      <c r="G9651" t="n">
        <v>2.6</v>
      </c>
      <c r="H9651" t="n">
        <v>0</v>
      </c>
      <c r="I9651" t="n">
        <v>0</v>
      </c>
      <c r="J9651" t="n">
        <v>0</v>
      </c>
      <c r="K9651" t="n">
        <v>0</v>
      </c>
      <c r="L9651" t="n">
        <v>0</v>
      </c>
      <c r="M9651" t="n">
        <v>0</v>
      </c>
      <c r="N9651" t="n">
        <v>0</v>
      </c>
      <c r="O9651" t="n">
        <v>0</v>
      </c>
      <c r="P9651" t="n">
        <v>0</v>
      </c>
      <c r="Q9651" t="n">
        <v>0</v>
      </c>
      <c r="R9651" s="2" t="inlineStr"/>
    </row>
    <row r="9652" ht="15" customHeight="1">
      <c r="A9652" t="inlineStr">
        <is>
          <t>A 7771-2023</t>
        </is>
      </c>
      <c r="B9652" s="1" t="n">
        <v>44973</v>
      </c>
      <c r="C9652" s="1" t="n">
        <v>45212</v>
      </c>
      <c r="D9652" t="inlineStr">
        <is>
          <t>VÄSTRA GÖTALANDS LÄN</t>
        </is>
      </c>
      <c r="E9652" t="inlineStr">
        <is>
          <t>UDDEVALLA</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7783-2023</t>
        </is>
      </c>
      <c r="B9653" s="1" t="n">
        <v>44973</v>
      </c>
      <c r="C9653" s="1" t="n">
        <v>45212</v>
      </c>
      <c r="D9653" t="inlineStr">
        <is>
          <t>VÄSTRA GÖTALANDS LÄN</t>
        </is>
      </c>
      <c r="E9653" t="inlineStr">
        <is>
          <t>TROLLHÄTTAN</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7902-2023</t>
        </is>
      </c>
      <c r="B9654" s="1" t="n">
        <v>44973</v>
      </c>
      <c r="C9654" s="1" t="n">
        <v>45212</v>
      </c>
      <c r="D9654" t="inlineStr">
        <is>
          <t>VÄSTRA GÖTALANDS LÄN</t>
        </is>
      </c>
      <c r="E9654" t="inlineStr">
        <is>
          <t>TIDAHOLM</t>
        </is>
      </c>
      <c r="F9654" t="inlineStr">
        <is>
          <t>Sveaskog</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7936-2023</t>
        </is>
      </c>
      <c r="B9655" s="1" t="n">
        <v>44973</v>
      </c>
      <c r="C9655" s="1" t="n">
        <v>45212</v>
      </c>
      <c r="D9655" t="inlineStr">
        <is>
          <t>VÄSTRA GÖTALANDS LÄN</t>
        </is>
      </c>
      <c r="E9655" t="inlineStr">
        <is>
          <t>TIDAHOLM</t>
        </is>
      </c>
      <c r="G9655" t="n">
        <v>2.7</v>
      </c>
      <c r="H9655" t="n">
        <v>0</v>
      </c>
      <c r="I9655" t="n">
        <v>0</v>
      </c>
      <c r="J9655" t="n">
        <v>0</v>
      </c>
      <c r="K9655" t="n">
        <v>0</v>
      </c>
      <c r="L9655" t="n">
        <v>0</v>
      </c>
      <c r="M9655" t="n">
        <v>0</v>
      </c>
      <c r="N9655" t="n">
        <v>0</v>
      </c>
      <c r="O9655" t="n">
        <v>0</v>
      </c>
      <c r="P9655" t="n">
        <v>0</v>
      </c>
      <c r="Q9655" t="n">
        <v>0</v>
      </c>
      <c r="R9655" s="2" t="inlineStr"/>
    </row>
    <row r="9656" ht="15" customHeight="1">
      <c r="A9656" t="inlineStr">
        <is>
          <t>A 7732-2023</t>
        </is>
      </c>
      <c r="B9656" s="1" t="n">
        <v>44973</v>
      </c>
      <c r="C9656" s="1" t="n">
        <v>45212</v>
      </c>
      <c r="D9656" t="inlineStr">
        <is>
          <t>VÄSTRA GÖTALANDS LÄN</t>
        </is>
      </c>
      <c r="E9656" t="inlineStr">
        <is>
          <t>VÅRGÅRDA</t>
        </is>
      </c>
      <c r="F9656" t="inlineStr">
        <is>
          <t>Sveaskog</t>
        </is>
      </c>
      <c r="G9656" t="n">
        <v>9.300000000000001</v>
      </c>
      <c r="H9656" t="n">
        <v>0</v>
      </c>
      <c r="I9656" t="n">
        <v>0</v>
      </c>
      <c r="J9656" t="n">
        <v>0</v>
      </c>
      <c r="K9656" t="n">
        <v>0</v>
      </c>
      <c r="L9656" t="n">
        <v>0</v>
      </c>
      <c r="M9656" t="n">
        <v>0</v>
      </c>
      <c r="N9656" t="n">
        <v>0</v>
      </c>
      <c r="O9656" t="n">
        <v>0</v>
      </c>
      <c r="P9656" t="n">
        <v>0</v>
      </c>
      <c r="Q9656" t="n">
        <v>0</v>
      </c>
      <c r="R9656" s="2" t="inlineStr"/>
    </row>
    <row r="9657" ht="15" customHeight="1">
      <c r="A9657" t="inlineStr">
        <is>
          <t>A 7770-2023</t>
        </is>
      </c>
      <c r="B9657" s="1" t="n">
        <v>44973</v>
      </c>
      <c r="C9657" s="1" t="n">
        <v>45212</v>
      </c>
      <c r="D9657" t="inlineStr">
        <is>
          <t>VÄSTRA GÖTALANDS LÄN</t>
        </is>
      </c>
      <c r="E9657" t="inlineStr">
        <is>
          <t>UDDEVALLA</t>
        </is>
      </c>
      <c r="G9657" t="n">
        <v>1.5</v>
      </c>
      <c r="H9657" t="n">
        <v>0</v>
      </c>
      <c r="I9657" t="n">
        <v>0</v>
      </c>
      <c r="J9657" t="n">
        <v>0</v>
      </c>
      <c r="K9657" t="n">
        <v>0</v>
      </c>
      <c r="L9657" t="n">
        <v>0</v>
      </c>
      <c r="M9657" t="n">
        <v>0</v>
      </c>
      <c r="N9657" t="n">
        <v>0</v>
      </c>
      <c r="O9657" t="n">
        <v>0</v>
      </c>
      <c r="P9657" t="n">
        <v>0</v>
      </c>
      <c r="Q9657" t="n">
        <v>0</v>
      </c>
      <c r="R9657" s="2" t="inlineStr"/>
    </row>
    <row r="9658" ht="15" customHeight="1">
      <c r="A9658" t="inlineStr">
        <is>
          <t>A 7791-2023</t>
        </is>
      </c>
      <c r="B9658" s="1" t="n">
        <v>44973</v>
      </c>
      <c r="C9658" s="1" t="n">
        <v>45212</v>
      </c>
      <c r="D9658" t="inlineStr">
        <is>
          <t>VÄSTRA GÖTALANDS LÄN</t>
        </is>
      </c>
      <c r="E9658" t="inlineStr">
        <is>
          <t>TJÖRN</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7899-2023</t>
        </is>
      </c>
      <c r="B9659" s="1" t="n">
        <v>44973</v>
      </c>
      <c r="C9659" s="1" t="n">
        <v>45212</v>
      </c>
      <c r="D9659" t="inlineStr">
        <is>
          <t>VÄSTRA GÖTALANDS LÄN</t>
        </is>
      </c>
      <c r="E9659" t="inlineStr">
        <is>
          <t>TIDAHOLM</t>
        </is>
      </c>
      <c r="F9659" t="inlineStr">
        <is>
          <t>Sveaskog</t>
        </is>
      </c>
      <c r="G9659" t="n">
        <v>2.6</v>
      </c>
      <c r="H9659" t="n">
        <v>0</v>
      </c>
      <c r="I9659" t="n">
        <v>0</v>
      </c>
      <c r="J9659" t="n">
        <v>0</v>
      </c>
      <c r="K9659" t="n">
        <v>0</v>
      </c>
      <c r="L9659" t="n">
        <v>0</v>
      </c>
      <c r="M9659" t="n">
        <v>0</v>
      </c>
      <c r="N9659" t="n">
        <v>0</v>
      </c>
      <c r="O9659" t="n">
        <v>0</v>
      </c>
      <c r="P9659" t="n">
        <v>0</v>
      </c>
      <c r="Q9659" t="n">
        <v>0</v>
      </c>
      <c r="R9659" s="2" t="inlineStr"/>
    </row>
    <row r="9660" ht="15" customHeight="1">
      <c r="A9660" t="inlineStr">
        <is>
          <t>A 7931-2023</t>
        </is>
      </c>
      <c r="B9660" s="1" t="n">
        <v>44973</v>
      </c>
      <c r="C9660" s="1" t="n">
        <v>45212</v>
      </c>
      <c r="D9660" t="inlineStr">
        <is>
          <t>VÄSTRA GÖTALANDS LÄN</t>
        </is>
      </c>
      <c r="E9660" t="inlineStr">
        <is>
          <t>TIDAHOLM</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8920-2023</t>
        </is>
      </c>
      <c r="B9661" s="1" t="n">
        <v>44973</v>
      </c>
      <c r="C9661" s="1" t="n">
        <v>45212</v>
      </c>
      <c r="D9661" t="inlineStr">
        <is>
          <t>VÄSTRA GÖTALANDS LÄN</t>
        </is>
      </c>
      <c r="E9661" t="inlineStr">
        <is>
          <t>MARK</t>
        </is>
      </c>
      <c r="G9661" t="n">
        <v>0.4</v>
      </c>
      <c r="H9661" t="n">
        <v>0</v>
      </c>
      <c r="I9661" t="n">
        <v>0</v>
      </c>
      <c r="J9661" t="n">
        <v>0</v>
      </c>
      <c r="K9661" t="n">
        <v>0</v>
      </c>
      <c r="L9661" t="n">
        <v>0</v>
      </c>
      <c r="M9661" t="n">
        <v>0</v>
      </c>
      <c r="N9661" t="n">
        <v>0</v>
      </c>
      <c r="O9661" t="n">
        <v>0</v>
      </c>
      <c r="P9661" t="n">
        <v>0</v>
      </c>
      <c r="Q9661" t="n">
        <v>0</v>
      </c>
      <c r="R9661" s="2" t="inlineStr"/>
    </row>
    <row r="9662" ht="15" customHeight="1">
      <c r="A9662" t="inlineStr">
        <is>
          <t>A 7749-2023</t>
        </is>
      </c>
      <c r="B9662" s="1" t="n">
        <v>44973</v>
      </c>
      <c r="C9662" s="1" t="n">
        <v>45212</v>
      </c>
      <c r="D9662" t="inlineStr">
        <is>
          <t>VÄSTRA GÖTALANDS LÄN</t>
        </is>
      </c>
      <c r="E9662" t="inlineStr">
        <is>
          <t>TIDAHOLM</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7766-2023</t>
        </is>
      </c>
      <c r="B9663" s="1" t="n">
        <v>44973</v>
      </c>
      <c r="C9663" s="1" t="n">
        <v>45212</v>
      </c>
      <c r="D9663" t="inlineStr">
        <is>
          <t>VÄSTRA GÖTALANDS LÄN</t>
        </is>
      </c>
      <c r="E9663" t="inlineStr">
        <is>
          <t>TIDAHOLM</t>
        </is>
      </c>
      <c r="G9663" t="n">
        <v>1</v>
      </c>
      <c r="H9663" t="n">
        <v>0</v>
      </c>
      <c r="I9663" t="n">
        <v>0</v>
      </c>
      <c r="J9663" t="n">
        <v>0</v>
      </c>
      <c r="K9663" t="n">
        <v>0</v>
      </c>
      <c r="L9663" t="n">
        <v>0</v>
      </c>
      <c r="M9663" t="n">
        <v>0</v>
      </c>
      <c r="N9663" t="n">
        <v>0</v>
      </c>
      <c r="O9663" t="n">
        <v>0</v>
      </c>
      <c r="P9663" t="n">
        <v>0</v>
      </c>
      <c r="Q9663" t="n">
        <v>0</v>
      </c>
      <c r="R9663" s="2" t="inlineStr"/>
    </row>
    <row r="9664" ht="15" customHeight="1">
      <c r="A9664" t="inlineStr">
        <is>
          <t>A 7787-2023</t>
        </is>
      </c>
      <c r="B9664" s="1" t="n">
        <v>44973</v>
      </c>
      <c r="C9664" s="1" t="n">
        <v>45212</v>
      </c>
      <c r="D9664" t="inlineStr">
        <is>
          <t>VÄSTRA GÖTALANDS LÄN</t>
        </is>
      </c>
      <c r="E9664" t="inlineStr">
        <is>
          <t>TJÖRN</t>
        </is>
      </c>
      <c r="G9664" t="n">
        <v>5.7</v>
      </c>
      <c r="H9664" t="n">
        <v>0</v>
      </c>
      <c r="I9664" t="n">
        <v>0</v>
      </c>
      <c r="J9664" t="n">
        <v>0</v>
      </c>
      <c r="K9664" t="n">
        <v>0</v>
      </c>
      <c r="L9664" t="n">
        <v>0</v>
      </c>
      <c r="M9664" t="n">
        <v>0</v>
      </c>
      <c r="N9664" t="n">
        <v>0</v>
      </c>
      <c r="O9664" t="n">
        <v>0</v>
      </c>
      <c r="P9664" t="n">
        <v>0</v>
      </c>
      <c r="Q9664" t="n">
        <v>0</v>
      </c>
      <c r="R9664" s="2" t="inlineStr"/>
    </row>
    <row r="9665" ht="15" customHeight="1">
      <c r="A9665" t="inlineStr">
        <is>
          <t>A 7895-2023</t>
        </is>
      </c>
      <c r="B9665" s="1" t="n">
        <v>44973</v>
      </c>
      <c r="C9665" s="1" t="n">
        <v>45212</v>
      </c>
      <c r="D9665" t="inlineStr">
        <is>
          <t>VÄSTRA GÖTALANDS LÄN</t>
        </is>
      </c>
      <c r="E9665" t="inlineStr">
        <is>
          <t>TIDAHOLM</t>
        </is>
      </c>
      <c r="F9665" t="inlineStr">
        <is>
          <t>Sveaskog</t>
        </is>
      </c>
      <c r="G9665" t="n">
        <v>2.7</v>
      </c>
      <c r="H9665" t="n">
        <v>0</v>
      </c>
      <c r="I9665" t="n">
        <v>0</v>
      </c>
      <c r="J9665" t="n">
        <v>0</v>
      </c>
      <c r="K9665" t="n">
        <v>0</v>
      </c>
      <c r="L9665" t="n">
        <v>0</v>
      </c>
      <c r="M9665" t="n">
        <v>0</v>
      </c>
      <c r="N9665" t="n">
        <v>0</v>
      </c>
      <c r="O9665" t="n">
        <v>0</v>
      </c>
      <c r="P9665" t="n">
        <v>0</v>
      </c>
      <c r="Q9665" t="n">
        <v>0</v>
      </c>
      <c r="R9665" s="2" t="inlineStr"/>
    </row>
    <row r="9666" ht="15" customHeight="1">
      <c r="A9666" t="inlineStr">
        <is>
          <t>A 7910-2023</t>
        </is>
      </c>
      <c r="B9666" s="1" t="n">
        <v>44973</v>
      </c>
      <c r="C9666" s="1" t="n">
        <v>45212</v>
      </c>
      <c r="D9666" t="inlineStr">
        <is>
          <t>VÄSTRA GÖTALANDS LÄN</t>
        </is>
      </c>
      <c r="E9666" t="inlineStr">
        <is>
          <t>TIDAHOLM</t>
        </is>
      </c>
      <c r="F9666" t="inlineStr">
        <is>
          <t>Sveaskog</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7917-2023</t>
        </is>
      </c>
      <c r="B9667" s="1" t="n">
        <v>44973</v>
      </c>
      <c r="C9667" s="1" t="n">
        <v>45212</v>
      </c>
      <c r="D9667" t="inlineStr">
        <is>
          <t>VÄSTRA GÖTALANDS LÄN</t>
        </is>
      </c>
      <c r="E9667" t="inlineStr">
        <is>
          <t>TIDAHOLM</t>
        </is>
      </c>
      <c r="F9667" t="inlineStr">
        <is>
          <t>Sveaskog</t>
        </is>
      </c>
      <c r="G9667" t="n">
        <v>1</v>
      </c>
      <c r="H9667" t="n">
        <v>0</v>
      </c>
      <c r="I9667" t="n">
        <v>0</v>
      </c>
      <c r="J9667" t="n">
        <v>0</v>
      </c>
      <c r="K9667" t="n">
        <v>0</v>
      </c>
      <c r="L9667" t="n">
        <v>0</v>
      </c>
      <c r="M9667" t="n">
        <v>0</v>
      </c>
      <c r="N9667" t="n">
        <v>0</v>
      </c>
      <c r="O9667" t="n">
        <v>0</v>
      </c>
      <c r="P9667" t="n">
        <v>0</v>
      </c>
      <c r="Q9667" t="n">
        <v>0</v>
      </c>
      <c r="R9667" s="2" t="inlineStr"/>
    </row>
    <row r="9668" ht="15" customHeight="1">
      <c r="A9668" t="inlineStr">
        <is>
          <t>A 8771-2023</t>
        </is>
      </c>
      <c r="B9668" s="1" t="n">
        <v>44973</v>
      </c>
      <c r="C9668" s="1" t="n">
        <v>45212</v>
      </c>
      <c r="D9668" t="inlineStr">
        <is>
          <t>VÄSTRA GÖTALANDS LÄN</t>
        </is>
      </c>
      <c r="E9668" t="inlineStr">
        <is>
          <t>MARIESTAD</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8918-2023</t>
        </is>
      </c>
      <c r="B9669" s="1" t="n">
        <v>44973</v>
      </c>
      <c r="C9669" s="1" t="n">
        <v>45212</v>
      </c>
      <c r="D9669" t="inlineStr">
        <is>
          <t>VÄSTRA GÖTALANDS LÄN</t>
        </is>
      </c>
      <c r="E9669" t="inlineStr">
        <is>
          <t>MARK</t>
        </is>
      </c>
      <c r="G9669" t="n">
        <v>0.4</v>
      </c>
      <c r="H9669" t="n">
        <v>0</v>
      </c>
      <c r="I9669" t="n">
        <v>0</v>
      </c>
      <c r="J9669" t="n">
        <v>0</v>
      </c>
      <c r="K9669" t="n">
        <v>0</v>
      </c>
      <c r="L9669" t="n">
        <v>0</v>
      </c>
      <c r="M9669" t="n">
        <v>0</v>
      </c>
      <c r="N9669" t="n">
        <v>0</v>
      </c>
      <c r="O9669" t="n">
        <v>0</v>
      </c>
      <c r="P9669" t="n">
        <v>0</v>
      </c>
      <c r="Q9669" t="n">
        <v>0</v>
      </c>
      <c r="R9669" s="2" t="inlineStr"/>
    </row>
    <row r="9670" ht="15" customHeight="1">
      <c r="A9670" t="inlineStr">
        <is>
          <t>A 7795-2023</t>
        </is>
      </c>
      <c r="B9670" s="1" t="n">
        <v>44973</v>
      </c>
      <c r="C9670" s="1" t="n">
        <v>45212</v>
      </c>
      <c r="D9670" t="inlineStr">
        <is>
          <t>VÄSTRA GÖTALANDS LÄN</t>
        </is>
      </c>
      <c r="E9670" t="inlineStr">
        <is>
          <t>VÄNERSBORG</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7807-2023</t>
        </is>
      </c>
      <c r="B9671" s="1" t="n">
        <v>44973</v>
      </c>
      <c r="C9671" s="1" t="n">
        <v>45212</v>
      </c>
      <c r="D9671" t="inlineStr">
        <is>
          <t>VÄSTRA GÖTALANDS LÄN</t>
        </is>
      </c>
      <c r="E9671" t="inlineStr">
        <is>
          <t>ALE</t>
        </is>
      </c>
      <c r="G9671" t="n">
        <v>10.5</v>
      </c>
      <c r="H9671" t="n">
        <v>0</v>
      </c>
      <c r="I9671" t="n">
        <v>0</v>
      </c>
      <c r="J9671" t="n">
        <v>0</v>
      </c>
      <c r="K9671" t="n">
        <v>0</v>
      </c>
      <c r="L9671" t="n">
        <v>0</v>
      </c>
      <c r="M9671" t="n">
        <v>0</v>
      </c>
      <c r="N9671" t="n">
        <v>0</v>
      </c>
      <c r="O9671" t="n">
        <v>0</v>
      </c>
      <c r="P9671" t="n">
        <v>0</v>
      </c>
      <c r="Q9671" t="n">
        <v>0</v>
      </c>
      <c r="R9671" s="2" t="inlineStr"/>
    </row>
    <row r="9672" ht="15" customHeight="1">
      <c r="A9672" t="inlineStr">
        <is>
          <t>A 7906-2023</t>
        </is>
      </c>
      <c r="B9672" s="1" t="n">
        <v>44973</v>
      </c>
      <c r="C9672" s="1" t="n">
        <v>45212</v>
      </c>
      <c r="D9672" t="inlineStr">
        <is>
          <t>VÄSTRA GÖTALANDS LÄN</t>
        </is>
      </c>
      <c r="E9672" t="inlineStr">
        <is>
          <t>TIDAHOLM</t>
        </is>
      </c>
      <c r="F9672" t="inlineStr">
        <is>
          <t>Sveaskog</t>
        </is>
      </c>
      <c r="G9672" t="n">
        <v>2.8</v>
      </c>
      <c r="H9672" t="n">
        <v>0</v>
      </c>
      <c r="I9672" t="n">
        <v>0</v>
      </c>
      <c r="J9672" t="n">
        <v>0</v>
      </c>
      <c r="K9672" t="n">
        <v>0</v>
      </c>
      <c r="L9672" t="n">
        <v>0</v>
      </c>
      <c r="M9672" t="n">
        <v>0</v>
      </c>
      <c r="N9672" t="n">
        <v>0</v>
      </c>
      <c r="O9672" t="n">
        <v>0</v>
      </c>
      <c r="P9672" t="n">
        <v>0</v>
      </c>
      <c r="Q9672" t="n">
        <v>0</v>
      </c>
      <c r="R9672" s="2" t="inlineStr"/>
    </row>
    <row r="9673" ht="15" customHeight="1">
      <c r="A9673" t="inlineStr">
        <is>
          <t>A 7922-2023</t>
        </is>
      </c>
      <c r="B9673" s="1" t="n">
        <v>44973</v>
      </c>
      <c r="C9673" s="1" t="n">
        <v>45212</v>
      </c>
      <c r="D9673" t="inlineStr">
        <is>
          <t>VÄSTRA GÖTALANDS LÄN</t>
        </is>
      </c>
      <c r="E9673" t="inlineStr">
        <is>
          <t>TIDAHOLM</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8010-2023</t>
        </is>
      </c>
      <c r="B9674" s="1" t="n">
        <v>44973</v>
      </c>
      <c r="C9674" s="1" t="n">
        <v>45212</v>
      </c>
      <c r="D9674" t="inlineStr">
        <is>
          <t>VÄSTRA GÖTALANDS LÄN</t>
        </is>
      </c>
      <c r="E9674" t="inlineStr">
        <is>
          <t>ÅMÅL</t>
        </is>
      </c>
      <c r="G9674" t="n">
        <v>6.3</v>
      </c>
      <c r="H9674" t="n">
        <v>0</v>
      </c>
      <c r="I9674" t="n">
        <v>0</v>
      </c>
      <c r="J9674" t="n">
        <v>0</v>
      </c>
      <c r="K9674" t="n">
        <v>0</v>
      </c>
      <c r="L9674" t="n">
        <v>0</v>
      </c>
      <c r="M9674" t="n">
        <v>0</v>
      </c>
      <c r="N9674" t="n">
        <v>0</v>
      </c>
      <c r="O9674" t="n">
        <v>0</v>
      </c>
      <c r="P9674" t="n">
        <v>0</v>
      </c>
      <c r="Q9674" t="n">
        <v>0</v>
      </c>
      <c r="R9674" s="2" t="inlineStr"/>
    </row>
    <row r="9675" ht="15" customHeight="1">
      <c r="A9675" t="inlineStr">
        <is>
          <t>A 8753-2023</t>
        </is>
      </c>
      <c r="B9675" s="1" t="n">
        <v>44973</v>
      </c>
      <c r="C9675" s="1" t="n">
        <v>45212</v>
      </c>
      <c r="D9675" t="inlineStr">
        <is>
          <t>VÄSTRA GÖTALANDS LÄN</t>
        </is>
      </c>
      <c r="E9675" t="inlineStr">
        <is>
          <t>MARIESTAD</t>
        </is>
      </c>
      <c r="G9675" t="n">
        <v>9.5</v>
      </c>
      <c r="H9675" t="n">
        <v>0</v>
      </c>
      <c r="I9675" t="n">
        <v>0</v>
      </c>
      <c r="J9675" t="n">
        <v>0</v>
      </c>
      <c r="K9675" t="n">
        <v>0</v>
      </c>
      <c r="L9675" t="n">
        <v>0</v>
      </c>
      <c r="M9675" t="n">
        <v>0</v>
      </c>
      <c r="N9675" t="n">
        <v>0</v>
      </c>
      <c r="O9675" t="n">
        <v>0</v>
      </c>
      <c r="P9675" t="n">
        <v>0</v>
      </c>
      <c r="Q9675" t="n">
        <v>0</v>
      </c>
      <c r="R9675" s="2" t="inlineStr"/>
    </row>
    <row r="9676" ht="15" customHeight="1">
      <c r="A9676" t="inlineStr">
        <is>
          <t>A 8080-2023</t>
        </is>
      </c>
      <c r="B9676" s="1" t="n">
        <v>44974</v>
      </c>
      <c r="C9676" s="1" t="n">
        <v>45212</v>
      </c>
      <c r="D9676" t="inlineStr">
        <is>
          <t>VÄSTRA GÖTALANDS LÄN</t>
        </is>
      </c>
      <c r="E9676" t="inlineStr">
        <is>
          <t>ALINGSÅS</t>
        </is>
      </c>
      <c r="G9676" t="n">
        <v>5.5</v>
      </c>
      <c r="H9676" t="n">
        <v>0</v>
      </c>
      <c r="I9676" t="n">
        <v>0</v>
      </c>
      <c r="J9676" t="n">
        <v>0</v>
      </c>
      <c r="K9676" t="n">
        <v>0</v>
      </c>
      <c r="L9676" t="n">
        <v>0</v>
      </c>
      <c r="M9676" t="n">
        <v>0</v>
      </c>
      <c r="N9676" t="n">
        <v>0</v>
      </c>
      <c r="O9676" t="n">
        <v>0</v>
      </c>
      <c r="P9676" t="n">
        <v>0</v>
      </c>
      <c r="Q9676" t="n">
        <v>0</v>
      </c>
      <c r="R9676" s="2" t="inlineStr"/>
    </row>
    <row r="9677" ht="15" customHeight="1">
      <c r="A9677" t="inlineStr">
        <is>
          <t>A 8152-2023</t>
        </is>
      </c>
      <c r="B9677" s="1" t="n">
        <v>44974</v>
      </c>
      <c r="C9677" s="1" t="n">
        <v>45212</v>
      </c>
      <c r="D9677" t="inlineStr">
        <is>
          <t>VÄSTRA GÖTALANDS LÄN</t>
        </is>
      </c>
      <c r="E9677" t="inlineStr">
        <is>
          <t>MELLERUD</t>
        </is>
      </c>
      <c r="G9677" t="n">
        <v>1.4</v>
      </c>
      <c r="H9677" t="n">
        <v>0</v>
      </c>
      <c r="I9677" t="n">
        <v>0</v>
      </c>
      <c r="J9677" t="n">
        <v>0</v>
      </c>
      <c r="K9677" t="n">
        <v>0</v>
      </c>
      <c r="L9677" t="n">
        <v>0</v>
      </c>
      <c r="M9677" t="n">
        <v>0</v>
      </c>
      <c r="N9677" t="n">
        <v>0</v>
      </c>
      <c r="O9677" t="n">
        <v>0</v>
      </c>
      <c r="P9677" t="n">
        <v>0</v>
      </c>
      <c r="Q9677" t="n">
        <v>0</v>
      </c>
      <c r="R9677" s="2" t="inlineStr"/>
    </row>
    <row r="9678" ht="15" customHeight="1">
      <c r="A9678" t="inlineStr">
        <is>
          <t>A 8326-2023</t>
        </is>
      </c>
      <c r="B9678" s="1" t="n">
        <v>44974</v>
      </c>
      <c r="C9678" s="1" t="n">
        <v>45212</v>
      </c>
      <c r="D9678" t="inlineStr">
        <is>
          <t>VÄSTRA GÖTALANDS LÄN</t>
        </is>
      </c>
      <c r="E9678" t="inlineStr">
        <is>
          <t>FALKÖPING</t>
        </is>
      </c>
      <c r="G9678" t="n">
        <v>19.4</v>
      </c>
      <c r="H9678" t="n">
        <v>0</v>
      </c>
      <c r="I9678" t="n">
        <v>0</v>
      </c>
      <c r="J9678" t="n">
        <v>0</v>
      </c>
      <c r="K9678" t="n">
        <v>0</v>
      </c>
      <c r="L9678" t="n">
        <v>0</v>
      </c>
      <c r="M9678" t="n">
        <v>0</v>
      </c>
      <c r="N9678" t="n">
        <v>0</v>
      </c>
      <c r="O9678" t="n">
        <v>0</v>
      </c>
      <c r="P9678" t="n">
        <v>0</v>
      </c>
      <c r="Q9678" t="n">
        <v>0</v>
      </c>
      <c r="R9678" s="2" t="inlineStr"/>
    </row>
    <row r="9679" ht="15" customHeight="1">
      <c r="A9679" t="inlineStr">
        <is>
          <t>A 8053-2023</t>
        </is>
      </c>
      <c r="B9679" s="1" t="n">
        <v>44974</v>
      </c>
      <c r="C9679" s="1" t="n">
        <v>45212</v>
      </c>
      <c r="D9679" t="inlineStr">
        <is>
          <t>VÄSTRA GÖTALANDS LÄN</t>
        </is>
      </c>
      <c r="E9679" t="inlineStr">
        <is>
          <t>KARLSBORG</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8117-2023</t>
        </is>
      </c>
      <c r="B9680" s="1" t="n">
        <v>44974</v>
      </c>
      <c r="C9680" s="1" t="n">
        <v>45212</v>
      </c>
      <c r="D9680" t="inlineStr">
        <is>
          <t>VÄSTRA GÖTALANDS LÄN</t>
        </is>
      </c>
      <c r="E9680" t="inlineStr">
        <is>
          <t>LILLA EDET</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8138-2023</t>
        </is>
      </c>
      <c r="B9681" s="1" t="n">
        <v>44974</v>
      </c>
      <c r="C9681" s="1" t="n">
        <v>45212</v>
      </c>
      <c r="D9681" t="inlineStr">
        <is>
          <t>VÄSTRA GÖTALANDS LÄN</t>
        </is>
      </c>
      <c r="E9681" t="inlineStr">
        <is>
          <t>LIDKÖPING</t>
        </is>
      </c>
      <c r="G9681" t="n">
        <v>0.6</v>
      </c>
      <c r="H9681" t="n">
        <v>0</v>
      </c>
      <c r="I9681" t="n">
        <v>0</v>
      </c>
      <c r="J9681" t="n">
        <v>0</v>
      </c>
      <c r="K9681" t="n">
        <v>0</v>
      </c>
      <c r="L9681" t="n">
        <v>0</v>
      </c>
      <c r="M9681" t="n">
        <v>0</v>
      </c>
      <c r="N9681" t="n">
        <v>0</v>
      </c>
      <c r="O9681" t="n">
        <v>0</v>
      </c>
      <c r="P9681" t="n">
        <v>0</v>
      </c>
      <c r="Q9681" t="n">
        <v>0</v>
      </c>
      <c r="R9681" s="2" t="inlineStr"/>
    </row>
    <row r="9682" ht="15" customHeight="1">
      <c r="A9682" t="inlineStr">
        <is>
          <t>A 8165-2023</t>
        </is>
      </c>
      <c r="B9682" s="1" t="n">
        <v>44974</v>
      </c>
      <c r="C9682" s="1" t="n">
        <v>45212</v>
      </c>
      <c r="D9682" t="inlineStr">
        <is>
          <t>VÄSTRA GÖTALANDS LÄN</t>
        </is>
      </c>
      <c r="E9682" t="inlineStr">
        <is>
          <t>MELLERUD</t>
        </is>
      </c>
      <c r="G9682" t="n">
        <v>1.9</v>
      </c>
      <c r="H9682" t="n">
        <v>0</v>
      </c>
      <c r="I9682" t="n">
        <v>0</v>
      </c>
      <c r="J9682" t="n">
        <v>0</v>
      </c>
      <c r="K9682" t="n">
        <v>0</v>
      </c>
      <c r="L9682" t="n">
        <v>0</v>
      </c>
      <c r="M9682" t="n">
        <v>0</v>
      </c>
      <c r="N9682" t="n">
        <v>0</v>
      </c>
      <c r="O9682" t="n">
        <v>0</v>
      </c>
      <c r="P9682" t="n">
        <v>0</v>
      </c>
      <c r="Q9682" t="n">
        <v>0</v>
      </c>
      <c r="R9682" s="2" t="inlineStr"/>
    </row>
    <row r="9683" ht="15" customHeight="1">
      <c r="A9683" t="inlineStr">
        <is>
          <t>A 8052-2023</t>
        </is>
      </c>
      <c r="B9683" s="1" t="n">
        <v>44974</v>
      </c>
      <c r="C9683" s="1" t="n">
        <v>45212</v>
      </c>
      <c r="D9683" t="inlineStr">
        <is>
          <t>VÄSTRA GÖTALANDS LÄN</t>
        </is>
      </c>
      <c r="E9683" t="inlineStr">
        <is>
          <t>KARLSBORG</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8146-2023</t>
        </is>
      </c>
      <c r="B9684" s="1" t="n">
        <v>44974</v>
      </c>
      <c r="C9684" s="1" t="n">
        <v>45212</v>
      </c>
      <c r="D9684" t="inlineStr">
        <is>
          <t>VÄSTRA GÖTALANDS LÄN</t>
        </is>
      </c>
      <c r="E9684" t="inlineStr">
        <is>
          <t>MARIESTAD</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8155-2023</t>
        </is>
      </c>
      <c r="B9685" s="1" t="n">
        <v>44974</v>
      </c>
      <c r="C9685" s="1" t="n">
        <v>45212</v>
      </c>
      <c r="D9685" t="inlineStr">
        <is>
          <t>VÄSTRA GÖTALANDS LÄN</t>
        </is>
      </c>
      <c r="E9685" t="inlineStr">
        <is>
          <t>MELLERUD</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8176-2023</t>
        </is>
      </c>
      <c r="B9686" s="1" t="n">
        <v>44974</v>
      </c>
      <c r="C9686" s="1" t="n">
        <v>45212</v>
      </c>
      <c r="D9686" t="inlineStr">
        <is>
          <t>VÄSTRA GÖTALANDS LÄN</t>
        </is>
      </c>
      <c r="E9686" t="inlineStr">
        <is>
          <t>ÅMÅL</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8312-2023</t>
        </is>
      </c>
      <c r="B9687" s="1" t="n">
        <v>44974</v>
      </c>
      <c r="C9687" s="1" t="n">
        <v>45212</v>
      </c>
      <c r="D9687" t="inlineStr">
        <is>
          <t>VÄSTRA GÖTALANDS LÄN</t>
        </is>
      </c>
      <c r="E9687" t="inlineStr">
        <is>
          <t>SVENLJUNGA</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9145-2023</t>
        </is>
      </c>
      <c r="B9688" s="1" t="n">
        <v>44974</v>
      </c>
      <c r="C9688" s="1" t="n">
        <v>45212</v>
      </c>
      <c r="D9688" t="inlineStr">
        <is>
          <t>VÄSTRA GÖTALANDS LÄN</t>
        </is>
      </c>
      <c r="E9688" t="inlineStr">
        <is>
          <t>GÖTENE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8124-2023</t>
        </is>
      </c>
      <c r="B9689" s="1" t="n">
        <v>44974</v>
      </c>
      <c r="C9689" s="1" t="n">
        <v>45212</v>
      </c>
      <c r="D9689" t="inlineStr">
        <is>
          <t>VÄSTRA GÖTALANDS LÄN</t>
        </is>
      </c>
      <c r="E9689" t="inlineStr">
        <is>
          <t>LIDKÖPING</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8169-2023</t>
        </is>
      </c>
      <c r="B9690" s="1" t="n">
        <v>44974</v>
      </c>
      <c r="C9690" s="1" t="n">
        <v>45212</v>
      </c>
      <c r="D9690" t="inlineStr">
        <is>
          <t>VÄSTRA GÖTALANDS LÄN</t>
        </is>
      </c>
      <c r="E9690" t="inlineStr">
        <is>
          <t>MELLERUD</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8257-2023</t>
        </is>
      </c>
      <c r="B9691" s="1" t="n">
        <v>44974</v>
      </c>
      <c r="C9691" s="1" t="n">
        <v>45212</v>
      </c>
      <c r="D9691" t="inlineStr">
        <is>
          <t>VÄSTRA GÖTALANDS LÄN</t>
        </is>
      </c>
      <c r="E9691" t="inlineStr">
        <is>
          <t>FÄRGELANDA</t>
        </is>
      </c>
      <c r="G9691" t="n">
        <v>2.6</v>
      </c>
      <c r="H9691" t="n">
        <v>0</v>
      </c>
      <c r="I9691" t="n">
        <v>0</v>
      </c>
      <c r="J9691" t="n">
        <v>0</v>
      </c>
      <c r="K9691" t="n">
        <v>0</v>
      </c>
      <c r="L9691" t="n">
        <v>0</v>
      </c>
      <c r="M9691" t="n">
        <v>0</v>
      </c>
      <c r="N9691" t="n">
        <v>0</v>
      </c>
      <c r="O9691" t="n">
        <v>0</v>
      </c>
      <c r="P9691" t="n">
        <v>0</v>
      </c>
      <c r="Q9691" t="n">
        <v>0</v>
      </c>
      <c r="R9691" s="2" t="inlineStr"/>
    </row>
    <row r="9692" ht="15" customHeight="1">
      <c r="A9692" t="inlineStr">
        <is>
          <t>A 8291-2023</t>
        </is>
      </c>
      <c r="B9692" s="1" t="n">
        <v>44974</v>
      </c>
      <c r="C9692" s="1" t="n">
        <v>45212</v>
      </c>
      <c r="D9692" t="inlineStr">
        <is>
          <t>VÄSTRA GÖTALANDS LÄN</t>
        </is>
      </c>
      <c r="E9692" t="inlineStr">
        <is>
          <t>STRÖMSTAD</t>
        </is>
      </c>
      <c r="G9692" t="n">
        <v>17.3</v>
      </c>
      <c r="H9692" t="n">
        <v>0</v>
      </c>
      <c r="I9692" t="n">
        <v>0</v>
      </c>
      <c r="J9692" t="n">
        <v>0</v>
      </c>
      <c r="K9692" t="n">
        <v>0</v>
      </c>
      <c r="L9692" t="n">
        <v>0</v>
      </c>
      <c r="M9692" t="n">
        <v>0</v>
      </c>
      <c r="N9692" t="n">
        <v>0</v>
      </c>
      <c r="O9692" t="n">
        <v>0</v>
      </c>
      <c r="P9692" t="n">
        <v>0</v>
      </c>
      <c r="Q9692" t="n">
        <v>0</v>
      </c>
      <c r="R9692" s="2" t="inlineStr"/>
    </row>
    <row r="9693" ht="15" customHeight="1">
      <c r="A9693" t="inlineStr">
        <is>
          <t>A 8334-2023</t>
        </is>
      </c>
      <c r="B9693" s="1" t="n">
        <v>44975</v>
      </c>
      <c r="C9693" s="1" t="n">
        <v>45212</v>
      </c>
      <c r="D9693" t="inlineStr">
        <is>
          <t>VÄSTRA GÖTALANDS LÄN</t>
        </is>
      </c>
      <c r="E9693" t="inlineStr">
        <is>
          <t>KUNGÄLV</t>
        </is>
      </c>
      <c r="G9693" t="n">
        <v>1.8</v>
      </c>
      <c r="H9693" t="n">
        <v>0</v>
      </c>
      <c r="I9693" t="n">
        <v>0</v>
      </c>
      <c r="J9693" t="n">
        <v>0</v>
      </c>
      <c r="K9693" t="n">
        <v>0</v>
      </c>
      <c r="L9693" t="n">
        <v>0</v>
      </c>
      <c r="M9693" t="n">
        <v>0</v>
      </c>
      <c r="N9693" t="n">
        <v>0</v>
      </c>
      <c r="O9693" t="n">
        <v>0</v>
      </c>
      <c r="P9693" t="n">
        <v>0</v>
      </c>
      <c r="Q9693" t="n">
        <v>0</v>
      </c>
      <c r="R9693" s="2" t="inlineStr"/>
    </row>
    <row r="9694" ht="15" customHeight="1">
      <c r="A9694" t="inlineStr">
        <is>
          <t>A 8535-2023</t>
        </is>
      </c>
      <c r="B9694" s="1" t="n">
        <v>44977</v>
      </c>
      <c r="C9694" s="1" t="n">
        <v>45212</v>
      </c>
      <c r="D9694" t="inlineStr">
        <is>
          <t>VÄSTRA GÖTALANDS LÄN</t>
        </is>
      </c>
      <c r="E9694" t="inlineStr">
        <is>
          <t>ÅMÅL</t>
        </is>
      </c>
      <c r="G9694" t="n">
        <v>2.7</v>
      </c>
      <c r="H9694" t="n">
        <v>0</v>
      </c>
      <c r="I9694" t="n">
        <v>0</v>
      </c>
      <c r="J9694" t="n">
        <v>0</v>
      </c>
      <c r="K9694" t="n">
        <v>0</v>
      </c>
      <c r="L9694" t="n">
        <v>0</v>
      </c>
      <c r="M9694" t="n">
        <v>0</v>
      </c>
      <c r="N9694" t="n">
        <v>0</v>
      </c>
      <c r="O9694" t="n">
        <v>0</v>
      </c>
      <c r="P9694" t="n">
        <v>0</v>
      </c>
      <c r="Q9694" t="n">
        <v>0</v>
      </c>
      <c r="R9694" s="2" t="inlineStr"/>
    </row>
    <row r="9695" ht="15" customHeight="1">
      <c r="A9695" t="inlineStr">
        <is>
          <t>A 8544-2023</t>
        </is>
      </c>
      <c r="B9695" s="1" t="n">
        <v>44977</v>
      </c>
      <c r="C9695" s="1" t="n">
        <v>45212</v>
      </c>
      <c r="D9695" t="inlineStr">
        <is>
          <t>VÄSTRA GÖTALANDS LÄN</t>
        </is>
      </c>
      <c r="E9695" t="inlineStr">
        <is>
          <t>STENUNGSUND</t>
        </is>
      </c>
      <c r="G9695" t="n">
        <v>8.199999999999999</v>
      </c>
      <c r="H9695" t="n">
        <v>0</v>
      </c>
      <c r="I9695" t="n">
        <v>0</v>
      </c>
      <c r="J9695" t="n">
        <v>0</v>
      </c>
      <c r="K9695" t="n">
        <v>0</v>
      </c>
      <c r="L9695" t="n">
        <v>0</v>
      </c>
      <c r="M9695" t="n">
        <v>0</v>
      </c>
      <c r="N9695" t="n">
        <v>0</v>
      </c>
      <c r="O9695" t="n">
        <v>0</v>
      </c>
      <c r="P9695" t="n">
        <v>0</v>
      </c>
      <c r="Q9695" t="n">
        <v>0</v>
      </c>
      <c r="R9695" s="2" t="inlineStr"/>
    </row>
    <row r="9696" ht="15" customHeight="1">
      <c r="A9696" t="inlineStr">
        <is>
          <t>A 8599-2023</t>
        </is>
      </c>
      <c r="B9696" s="1" t="n">
        <v>44977</v>
      </c>
      <c r="C9696" s="1" t="n">
        <v>45212</v>
      </c>
      <c r="D9696" t="inlineStr">
        <is>
          <t>VÄSTRA GÖTALANDS LÄN</t>
        </is>
      </c>
      <c r="E9696" t="inlineStr">
        <is>
          <t>ALINGSÅS</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9226-2023</t>
        </is>
      </c>
      <c r="B9697" s="1" t="n">
        <v>44977</v>
      </c>
      <c r="C9697" s="1" t="n">
        <v>45212</v>
      </c>
      <c r="D9697" t="inlineStr">
        <is>
          <t>VÄSTRA GÖTALANDS LÄN</t>
        </is>
      </c>
      <c r="E9697" t="inlineStr">
        <is>
          <t>DALS-ED</t>
        </is>
      </c>
      <c r="G9697" t="n">
        <v>2</v>
      </c>
      <c r="H9697" t="n">
        <v>0</v>
      </c>
      <c r="I9697" t="n">
        <v>0</v>
      </c>
      <c r="J9697" t="n">
        <v>0</v>
      </c>
      <c r="K9697" t="n">
        <v>0</v>
      </c>
      <c r="L9697" t="n">
        <v>0</v>
      </c>
      <c r="M9697" t="n">
        <v>0</v>
      </c>
      <c r="N9697" t="n">
        <v>0</v>
      </c>
      <c r="O9697" t="n">
        <v>0</v>
      </c>
      <c r="P9697" t="n">
        <v>0</v>
      </c>
      <c r="Q9697" t="n">
        <v>0</v>
      </c>
      <c r="R9697" s="2" t="inlineStr"/>
    </row>
    <row r="9698" ht="15" customHeight="1">
      <c r="A9698" t="inlineStr">
        <is>
          <t>A 9481-2023</t>
        </is>
      </c>
      <c r="B9698" s="1" t="n">
        <v>44977</v>
      </c>
      <c r="C9698" s="1" t="n">
        <v>45212</v>
      </c>
      <c r="D9698" t="inlineStr">
        <is>
          <t>VÄSTRA GÖTALANDS LÄN</t>
        </is>
      </c>
      <c r="E9698" t="inlineStr">
        <is>
          <t>GULLSPÅNG</t>
        </is>
      </c>
      <c r="G9698" t="n">
        <v>5.6</v>
      </c>
      <c r="H9698" t="n">
        <v>0</v>
      </c>
      <c r="I9698" t="n">
        <v>0</v>
      </c>
      <c r="J9698" t="n">
        <v>0</v>
      </c>
      <c r="K9698" t="n">
        <v>0</v>
      </c>
      <c r="L9698" t="n">
        <v>0</v>
      </c>
      <c r="M9698" t="n">
        <v>0</v>
      </c>
      <c r="N9698" t="n">
        <v>0</v>
      </c>
      <c r="O9698" t="n">
        <v>0</v>
      </c>
      <c r="P9698" t="n">
        <v>0</v>
      </c>
      <c r="Q9698" t="n">
        <v>0</v>
      </c>
      <c r="R9698" s="2" t="inlineStr"/>
    </row>
    <row r="9699" ht="15" customHeight="1">
      <c r="A9699" t="inlineStr">
        <is>
          <t>A 8450-2023</t>
        </is>
      </c>
      <c r="B9699" s="1" t="n">
        <v>44977</v>
      </c>
      <c r="C9699" s="1" t="n">
        <v>45212</v>
      </c>
      <c r="D9699" t="inlineStr">
        <is>
          <t>VÄSTRA GÖTALANDS LÄN</t>
        </is>
      </c>
      <c r="E9699" t="inlineStr">
        <is>
          <t>FÄRGELANDA</t>
        </is>
      </c>
      <c r="G9699" t="n">
        <v>4.4</v>
      </c>
      <c r="H9699" t="n">
        <v>0</v>
      </c>
      <c r="I9699" t="n">
        <v>0</v>
      </c>
      <c r="J9699" t="n">
        <v>0</v>
      </c>
      <c r="K9699" t="n">
        <v>0</v>
      </c>
      <c r="L9699" t="n">
        <v>0</v>
      </c>
      <c r="M9699" t="n">
        <v>0</v>
      </c>
      <c r="N9699" t="n">
        <v>0</v>
      </c>
      <c r="O9699" t="n">
        <v>0</v>
      </c>
      <c r="P9699" t="n">
        <v>0</v>
      </c>
      <c r="Q9699" t="n">
        <v>0</v>
      </c>
      <c r="R9699" s="2" t="inlineStr"/>
    </row>
    <row r="9700" ht="15" customHeight="1">
      <c r="A9700" t="inlineStr">
        <is>
          <t>A 8576-2023</t>
        </is>
      </c>
      <c r="B9700" s="1" t="n">
        <v>44977</v>
      </c>
      <c r="C9700" s="1" t="n">
        <v>45212</v>
      </c>
      <c r="D9700" t="inlineStr">
        <is>
          <t>VÄSTRA GÖTALANDS LÄN</t>
        </is>
      </c>
      <c r="E9700" t="inlineStr">
        <is>
          <t>STENUNGSUND</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9483-2023</t>
        </is>
      </c>
      <c r="B9701" s="1" t="n">
        <v>44977</v>
      </c>
      <c r="C9701" s="1" t="n">
        <v>45212</v>
      </c>
      <c r="D9701" t="inlineStr">
        <is>
          <t>VÄSTRA GÖTALANDS LÄN</t>
        </is>
      </c>
      <c r="E9701" t="inlineStr">
        <is>
          <t>GULLSPÅNG</t>
        </is>
      </c>
      <c r="G9701" t="n">
        <v>3.3</v>
      </c>
      <c r="H9701" t="n">
        <v>0</v>
      </c>
      <c r="I9701" t="n">
        <v>0</v>
      </c>
      <c r="J9701" t="n">
        <v>0</v>
      </c>
      <c r="K9701" t="n">
        <v>0</v>
      </c>
      <c r="L9701" t="n">
        <v>0</v>
      </c>
      <c r="M9701" t="n">
        <v>0</v>
      </c>
      <c r="N9701" t="n">
        <v>0</v>
      </c>
      <c r="O9701" t="n">
        <v>0</v>
      </c>
      <c r="P9701" t="n">
        <v>0</v>
      </c>
      <c r="Q9701" t="n">
        <v>0</v>
      </c>
      <c r="R9701" s="2" t="inlineStr"/>
    </row>
    <row r="9702" ht="15" customHeight="1">
      <c r="A9702" t="inlineStr">
        <is>
          <t>A 8357-2023</t>
        </is>
      </c>
      <c r="B9702" s="1" t="n">
        <v>44977</v>
      </c>
      <c r="C9702" s="1" t="n">
        <v>45212</v>
      </c>
      <c r="D9702" t="inlineStr">
        <is>
          <t>VÄSTRA GÖTALANDS LÄN</t>
        </is>
      </c>
      <c r="E9702" t="inlineStr">
        <is>
          <t>TRANEMO</t>
        </is>
      </c>
      <c r="G9702" t="n">
        <v>0.7</v>
      </c>
      <c r="H9702" t="n">
        <v>0</v>
      </c>
      <c r="I9702" t="n">
        <v>0</v>
      </c>
      <c r="J9702" t="n">
        <v>0</v>
      </c>
      <c r="K9702" t="n">
        <v>0</v>
      </c>
      <c r="L9702" t="n">
        <v>0</v>
      </c>
      <c r="M9702" t="n">
        <v>0</v>
      </c>
      <c r="N9702" t="n">
        <v>0</v>
      </c>
      <c r="O9702" t="n">
        <v>0</v>
      </c>
      <c r="P9702" t="n">
        <v>0</v>
      </c>
      <c r="Q9702" t="n">
        <v>0</v>
      </c>
      <c r="R9702" s="2" t="inlineStr"/>
    </row>
    <row r="9703" ht="15" customHeight="1">
      <c r="A9703" t="inlineStr">
        <is>
          <t>A 9486-2023</t>
        </is>
      </c>
      <c r="B9703" s="1" t="n">
        <v>44977</v>
      </c>
      <c r="C9703" s="1" t="n">
        <v>45212</v>
      </c>
      <c r="D9703" t="inlineStr">
        <is>
          <t>VÄSTRA GÖTALANDS LÄN</t>
        </is>
      </c>
      <c r="E9703" t="inlineStr">
        <is>
          <t>GULLSPÅNG</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9959-2023</t>
        </is>
      </c>
      <c r="B9704" s="1" t="n">
        <v>44978</v>
      </c>
      <c r="C9704" s="1" t="n">
        <v>45212</v>
      </c>
      <c r="D9704" t="inlineStr">
        <is>
          <t>VÄSTRA GÖTALANDS LÄN</t>
        </is>
      </c>
      <c r="E9704" t="inlineStr">
        <is>
          <t>MUNKEDAL</t>
        </is>
      </c>
      <c r="G9704" t="n">
        <v>2</v>
      </c>
      <c r="H9704" t="n">
        <v>0</v>
      </c>
      <c r="I9704" t="n">
        <v>0</v>
      </c>
      <c r="J9704" t="n">
        <v>0</v>
      </c>
      <c r="K9704" t="n">
        <v>0</v>
      </c>
      <c r="L9704" t="n">
        <v>0</v>
      </c>
      <c r="M9704" t="n">
        <v>0</v>
      </c>
      <c r="N9704" t="n">
        <v>0</v>
      </c>
      <c r="O9704" t="n">
        <v>0</v>
      </c>
      <c r="P9704" t="n">
        <v>0</v>
      </c>
      <c r="Q9704" t="n">
        <v>0</v>
      </c>
      <c r="R9704" s="2" t="inlineStr"/>
    </row>
    <row r="9705" ht="15" customHeight="1">
      <c r="A9705" t="inlineStr">
        <is>
          <t>A 9639-2023</t>
        </is>
      </c>
      <c r="B9705" s="1" t="n">
        <v>44978</v>
      </c>
      <c r="C9705" s="1" t="n">
        <v>45212</v>
      </c>
      <c r="D9705" t="inlineStr">
        <is>
          <t>VÄSTRA GÖTALANDS LÄN</t>
        </is>
      </c>
      <c r="E9705" t="inlineStr">
        <is>
          <t>TÖREBODA</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8825-2023</t>
        </is>
      </c>
      <c r="B9706" s="1" t="n">
        <v>44978</v>
      </c>
      <c r="C9706" s="1" t="n">
        <v>45212</v>
      </c>
      <c r="D9706" t="inlineStr">
        <is>
          <t>VÄSTRA GÖTALANDS LÄN</t>
        </is>
      </c>
      <c r="E9706" t="inlineStr">
        <is>
          <t>BENGTSFORS</t>
        </is>
      </c>
      <c r="G9706" t="n">
        <v>9.4</v>
      </c>
      <c r="H9706" t="n">
        <v>0</v>
      </c>
      <c r="I9706" t="n">
        <v>0</v>
      </c>
      <c r="J9706" t="n">
        <v>0</v>
      </c>
      <c r="K9706" t="n">
        <v>0</v>
      </c>
      <c r="L9706" t="n">
        <v>0</v>
      </c>
      <c r="M9706" t="n">
        <v>0</v>
      </c>
      <c r="N9706" t="n">
        <v>0</v>
      </c>
      <c r="O9706" t="n">
        <v>0</v>
      </c>
      <c r="P9706" t="n">
        <v>0</v>
      </c>
      <c r="Q9706" t="n">
        <v>0</v>
      </c>
      <c r="R9706" s="2" t="inlineStr"/>
    </row>
    <row r="9707" ht="15" customHeight="1">
      <c r="A9707" t="inlineStr">
        <is>
          <t>A 9651-2023</t>
        </is>
      </c>
      <c r="B9707" s="1" t="n">
        <v>44978</v>
      </c>
      <c r="C9707" s="1" t="n">
        <v>45212</v>
      </c>
      <c r="D9707" t="inlineStr">
        <is>
          <t>VÄSTRA GÖTALANDS LÄN</t>
        </is>
      </c>
      <c r="E9707" t="inlineStr">
        <is>
          <t>TÖREBODA</t>
        </is>
      </c>
      <c r="G9707" t="n">
        <v>2.8</v>
      </c>
      <c r="H9707" t="n">
        <v>0</v>
      </c>
      <c r="I9707" t="n">
        <v>0</v>
      </c>
      <c r="J9707" t="n">
        <v>0</v>
      </c>
      <c r="K9707" t="n">
        <v>0</v>
      </c>
      <c r="L9707" t="n">
        <v>0</v>
      </c>
      <c r="M9707" t="n">
        <v>0</v>
      </c>
      <c r="N9707" t="n">
        <v>0</v>
      </c>
      <c r="O9707" t="n">
        <v>0</v>
      </c>
      <c r="P9707" t="n">
        <v>0</v>
      </c>
      <c r="Q9707" t="n">
        <v>0</v>
      </c>
      <c r="R9707" s="2" t="inlineStr"/>
    </row>
    <row r="9708" ht="15" customHeight="1">
      <c r="A9708" t="inlineStr">
        <is>
          <t>A 9944-2023</t>
        </is>
      </c>
      <c r="B9708" s="1" t="n">
        <v>44978</v>
      </c>
      <c r="C9708" s="1" t="n">
        <v>45212</v>
      </c>
      <c r="D9708" t="inlineStr">
        <is>
          <t>VÄSTRA GÖTALANDS LÄN</t>
        </is>
      </c>
      <c r="E9708" t="inlineStr">
        <is>
          <t>MUNKEDAL</t>
        </is>
      </c>
      <c r="G9708" t="n">
        <v>2</v>
      </c>
      <c r="H9708" t="n">
        <v>0</v>
      </c>
      <c r="I9708" t="n">
        <v>0</v>
      </c>
      <c r="J9708" t="n">
        <v>0</v>
      </c>
      <c r="K9708" t="n">
        <v>0</v>
      </c>
      <c r="L9708" t="n">
        <v>0</v>
      </c>
      <c r="M9708" t="n">
        <v>0</v>
      </c>
      <c r="N9708" t="n">
        <v>0</v>
      </c>
      <c r="O9708" t="n">
        <v>0</v>
      </c>
      <c r="P9708" t="n">
        <v>0</v>
      </c>
      <c r="Q9708" t="n">
        <v>0</v>
      </c>
      <c r="R9708" s="2" t="inlineStr"/>
    </row>
    <row r="9709" ht="15" customHeight="1">
      <c r="A9709" t="inlineStr">
        <is>
          <t>A 9629-2023</t>
        </is>
      </c>
      <c r="B9709" s="1" t="n">
        <v>44978</v>
      </c>
      <c r="C9709" s="1" t="n">
        <v>45212</v>
      </c>
      <c r="D9709" t="inlineStr">
        <is>
          <t>VÄSTRA GÖTALANDS LÄN</t>
        </is>
      </c>
      <c r="E9709" t="inlineStr">
        <is>
          <t>TÖREBODA</t>
        </is>
      </c>
      <c r="G9709" t="n">
        <v>0.9</v>
      </c>
      <c r="H9709" t="n">
        <v>0</v>
      </c>
      <c r="I9709" t="n">
        <v>0</v>
      </c>
      <c r="J9709" t="n">
        <v>0</v>
      </c>
      <c r="K9709" t="n">
        <v>0</v>
      </c>
      <c r="L9709" t="n">
        <v>0</v>
      </c>
      <c r="M9709" t="n">
        <v>0</v>
      </c>
      <c r="N9709" t="n">
        <v>0</v>
      </c>
      <c r="O9709" t="n">
        <v>0</v>
      </c>
      <c r="P9709" t="n">
        <v>0</v>
      </c>
      <c r="Q9709" t="n">
        <v>0</v>
      </c>
      <c r="R9709" s="2" t="inlineStr"/>
    </row>
    <row r="9710" ht="15" customHeight="1">
      <c r="A9710" t="inlineStr">
        <is>
          <t>A 9655-2023</t>
        </is>
      </c>
      <c r="B9710" s="1" t="n">
        <v>44978</v>
      </c>
      <c r="C9710" s="1" t="n">
        <v>45212</v>
      </c>
      <c r="D9710" t="inlineStr">
        <is>
          <t>VÄSTRA GÖTALANDS LÄN</t>
        </is>
      </c>
      <c r="E9710" t="inlineStr">
        <is>
          <t>TÖREBODA</t>
        </is>
      </c>
      <c r="G9710" t="n">
        <v>1.5</v>
      </c>
      <c r="H9710" t="n">
        <v>0</v>
      </c>
      <c r="I9710" t="n">
        <v>0</v>
      </c>
      <c r="J9710" t="n">
        <v>0</v>
      </c>
      <c r="K9710" t="n">
        <v>0</v>
      </c>
      <c r="L9710" t="n">
        <v>0</v>
      </c>
      <c r="M9710" t="n">
        <v>0</v>
      </c>
      <c r="N9710" t="n">
        <v>0</v>
      </c>
      <c r="O9710" t="n">
        <v>0</v>
      </c>
      <c r="P9710" t="n">
        <v>0</v>
      </c>
      <c r="Q9710" t="n">
        <v>0</v>
      </c>
      <c r="R9710" s="2" t="inlineStr"/>
    </row>
    <row r="9711" ht="15" customHeight="1">
      <c r="A9711" t="inlineStr">
        <is>
          <t>A 9732-2023</t>
        </is>
      </c>
      <c r="B9711" s="1" t="n">
        <v>44978</v>
      </c>
      <c r="C9711" s="1" t="n">
        <v>45212</v>
      </c>
      <c r="D9711" t="inlineStr">
        <is>
          <t>VÄSTRA GÖTALANDS LÄN</t>
        </is>
      </c>
      <c r="E9711" t="inlineStr">
        <is>
          <t>VÄNERSBORG</t>
        </is>
      </c>
      <c r="G9711" t="n">
        <v>2.8</v>
      </c>
      <c r="H9711" t="n">
        <v>0</v>
      </c>
      <c r="I9711" t="n">
        <v>0</v>
      </c>
      <c r="J9711" t="n">
        <v>0</v>
      </c>
      <c r="K9711" t="n">
        <v>0</v>
      </c>
      <c r="L9711" t="n">
        <v>0</v>
      </c>
      <c r="M9711" t="n">
        <v>0</v>
      </c>
      <c r="N9711" t="n">
        <v>0</v>
      </c>
      <c r="O9711" t="n">
        <v>0</v>
      </c>
      <c r="P9711" t="n">
        <v>0</v>
      </c>
      <c r="Q9711" t="n">
        <v>0</v>
      </c>
      <c r="R9711" s="2" t="inlineStr"/>
    </row>
    <row r="9712" ht="15" customHeight="1">
      <c r="A9712" t="inlineStr">
        <is>
          <t>A 9954-2023</t>
        </is>
      </c>
      <c r="B9712" s="1" t="n">
        <v>44978</v>
      </c>
      <c r="C9712" s="1" t="n">
        <v>45212</v>
      </c>
      <c r="D9712" t="inlineStr">
        <is>
          <t>VÄSTRA GÖTALANDS LÄN</t>
        </is>
      </c>
      <c r="E9712" t="inlineStr">
        <is>
          <t>MUNKEDAL</t>
        </is>
      </c>
      <c r="G9712" t="n">
        <v>0.6</v>
      </c>
      <c r="H9712" t="n">
        <v>0</v>
      </c>
      <c r="I9712" t="n">
        <v>0</v>
      </c>
      <c r="J9712" t="n">
        <v>0</v>
      </c>
      <c r="K9712" t="n">
        <v>0</v>
      </c>
      <c r="L9712" t="n">
        <v>0</v>
      </c>
      <c r="M9712" t="n">
        <v>0</v>
      </c>
      <c r="N9712" t="n">
        <v>0</v>
      </c>
      <c r="O9712" t="n">
        <v>0</v>
      </c>
      <c r="P9712" t="n">
        <v>0</v>
      </c>
      <c r="Q9712" t="n">
        <v>0</v>
      </c>
      <c r="R9712" s="2" t="inlineStr"/>
    </row>
    <row r="9713" ht="15" customHeight="1">
      <c r="A9713" t="inlineStr">
        <is>
          <t>A 8956-2023</t>
        </is>
      </c>
      <c r="B9713" s="1" t="n">
        <v>44979</v>
      </c>
      <c r="C9713" s="1" t="n">
        <v>45212</v>
      </c>
      <c r="D9713" t="inlineStr">
        <is>
          <t>VÄSTRA GÖTALANDS LÄN</t>
        </is>
      </c>
      <c r="E9713" t="inlineStr">
        <is>
          <t>SVENLJUNGA</t>
        </is>
      </c>
      <c r="G9713" t="n">
        <v>1.2</v>
      </c>
      <c r="H9713" t="n">
        <v>0</v>
      </c>
      <c r="I9713" t="n">
        <v>0</v>
      </c>
      <c r="J9713" t="n">
        <v>0</v>
      </c>
      <c r="K9713" t="n">
        <v>0</v>
      </c>
      <c r="L9713" t="n">
        <v>0</v>
      </c>
      <c r="M9713" t="n">
        <v>0</v>
      </c>
      <c r="N9713" t="n">
        <v>0</v>
      </c>
      <c r="O9713" t="n">
        <v>0</v>
      </c>
      <c r="P9713" t="n">
        <v>0</v>
      </c>
      <c r="Q9713" t="n">
        <v>0</v>
      </c>
      <c r="R9713" s="2" t="inlineStr"/>
    </row>
    <row r="9714" ht="15" customHeight="1">
      <c r="A9714" t="inlineStr">
        <is>
          <t>A 8981-2023</t>
        </is>
      </c>
      <c r="B9714" s="1" t="n">
        <v>44979</v>
      </c>
      <c r="C9714" s="1" t="n">
        <v>45212</v>
      </c>
      <c r="D9714" t="inlineStr">
        <is>
          <t>VÄSTRA GÖTALANDS LÄN</t>
        </is>
      </c>
      <c r="E9714" t="inlineStr">
        <is>
          <t>ALINGSÅS</t>
        </is>
      </c>
      <c r="G9714" t="n">
        <v>2.7</v>
      </c>
      <c r="H9714" t="n">
        <v>0</v>
      </c>
      <c r="I9714" t="n">
        <v>0</v>
      </c>
      <c r="J9714" t="n">
        <v>0</v>
      </c>
      <c r="K9714" t="n">
        <v>0</v>
      </c>
      <c r="L9714" t="n">
        <v>0</v>
      </c>
      <c r="M9714" t="n">
        <v>0</v>
      </c>
      <c r="N9714" t="n">
        <v>0</v>
      </c>
      <c r="O9714" t="n">
        <v>0</v>
      </c>
      <c r="P9714" t="n">
        <v>0</v>
      </c>
      <c r="Q9714" t="n">
        <v>0</v>
      </c>
      <c r="R9714" s="2" t="inlineStr"/>
    </row>
    <row r="9715" ht="15" customHeight="1">
      <c r="A9715" t="inlineStr">
        <is>
          <t>A 8895-2023</t>
        </is>
      </c>
      <c r="B9715" s="1" t="n">
        <v>44979</v>
      </c>
      <c r="C9715" s="1" t="n">
        <v>45212</v>
      </c>
      <c r="D9715" t="inlineStr">
        <is>
          <t>VÄSTRA GÖTALANDS LÄN</t>
        </is>
      </c>
      <c r="E9715" t="inlineStr">
        <is>
          <t>VÅRGÅRDA</t>
        </is>
      </c>
      <c r="F9715" t="inlineStr">
        <is>
          <t>Sveaskog</t>
        </is>
      </c>
      <c r="G9715" t="n">
        <v>4.6</v>
      </c>
      <c r="H9715" t="n">
        <v>0</v>
      </c>
      <c r="I9715" t="n">
        <v>0</v>
      </c>
      <c r="J9715" t="n">
        <v>0</v>
      </c>
      <c r="K9715" t="n">
        <v>0</v>
      </c>
      <c r="L9715" t="n">
        <v>0</v>
      </c>
      <c r="M9715" t="n">
        <v>0</v>
      </c>
      <c r="N9715" t="n">
        <v>0</v>
      </c>
      <c r="O9715" t="n">
        <v>0</v>
      </c>
      <c r="P9715" t="n">
        <v>0</v>
      </c>
      <c r="Q9715" t="n">
        <v>0</v>
      </c>
      <c r="R9715" s="2" t="inlineStr"/>
    </row>
    <row r="9716" ht="15" customHeight="1">
      <c r="A9716" t="inlineStr">
        <is>
          <t>A 8978-2023</t>
        </is>
      </c>
      <c r="B9716" s="1" t="n">
        <v>44979</v>
      </c>
      <c r="C9716" s="1" t="n">
        <v>45212</v>
      </c>
      <c r="D9716" t="inlineStr">
        <is>
          <t>VÄSTRA GÖTALANDS LÄN</t>
        </is>
      </c>
      <c r="E9716" t="inlineStr">
        <is>
          <t>SVENLJUNGA</t>
        </is>
      </c>
      <c r="G9716" t="n">
        <v>3.2</v>
      </c>
      <c r="H9716" t="n">
        <v>0</v>
      </c>
      <c r="I9716" t="n">
        <v>0</v>
      </c>
      <c r="J9716" t="n">
        <v>0</v>
      </c>
      <c r="K9716" t="n">
        <v>0</v>
      </c>
      <c r="L9716" t="n">
        <v>0</v>
      </c>
      <c r="M9716" t="n">
        <v>0</v>
      </c>
      <c r="N9716" t="n">
        <v>0</v>
      </c>
      <c r="O9716" t="n">
        <v>0</v>
      </c>
      <c r="P9716" t="n">
        <v>0</v>
      </c>
      <c r="Q9716" t="n">
        <v>0</v>
      </c>
      <c r="R9716" s="2" t="inlineStr"/>
    </row>
    <row r="9717" ht="15" customHeight="1">
      <c r="A9717" t="inlineStr">
        <is>
          <t>A 9015-2023</t>
        </is>
      </c>
      <c r="B9717" s="1" t="n">
        <v>44979</v>
      </c>
      <c r="C9717" s="1" t="n">
        <v>45212</v>
      </c>
      <c r="D9717" t="inlineStr">
        <is>
          <t>VÄSTRA GÖTALANDS LÄN</t>
        </is>
      </c>
      <c r="E9717" t="inlineStr">
        <is>
          <t>VARA</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9029-2023</t>
        </is>
      </c>
      <c r="B9718" s="1" t="n">
        <v>44979</v>
      </c>
      <c r="C9718" s="1" t="n">
        <v>45212</v>
      </c>
      <c r="D9718" t="inlineStr">
        <is>
          <t>VÄSTRA GÖTALANDS LÄN</t>
        </is>
      </c>
      <c r="E9718" t="inlineStr">
        <is>
          <t>BENGTSFORS</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9008-2023</t>
        </is>
      </c>
      <c r="B9719" s="1" t="n">
        <v>44979</v>
      </c>
      <c r="C9719" s="1" t="n">
        <v>45212</v>
      </c>
      <c r="D9719" t="inlineStr">
        <is>
          <t>VÄSTRA GÖTALANDS LÄN</t>
        </is>
      </c>
      <c r="E9719" t="inlineStr">
        <is>
          <t>FALKÖPING</t>
        </is>
      </c>
      <c r="F9719" t="inlineStr">
        <is>
          <t>Övriga Aktiebolag</t>
        </is>
      </c>
      <c r="G9719" t="n">
        <v>3.5</v>
      </c>
      <c r="H9719" t="n">
        <v>0</v>
      </c>
      <c r="I9719" t="n">
        <v>0</v>
      </c>
      <c r="J9719" t="n">
        <v>0</v>
      </c>
      <c r="K9719" t="n">
        <v>0</v>
      </c>
      <c r="L9719" t="n">
        <v>0</v>
      </c>
      <c r="M9719" t="n">
        <v>0</v>
      </c>
      <c r="N9719" t="n">
        <v>0</v>
      </c>
      <c r="O9719" t="n">
        <v>0</v>
      </c>
      <c r="P9719" t="n">
        <v>0</v>
      </c>
      <c r="Q9719" t="n">
        <v>0</v>
      </c>
      <c r="R9719" s="2" t="inlineStr"/>
    </row>
    <row r="9720" ht="15" customHeight="1">
      <c r="A9720" t="inlineStr">
        <is>
          <t>A 9276-2023</t>
        </is>
      </c>
      <c r="B9720" s="1" t="n">
        <v>44980</v>
      </c>
      <c r="C9720" s="1" t="n">
        <v>45212</v>
      </c>
      <c r="D9720" t="inlineStr">
        <is>
          <t>VÄSTRA GÖTALANDS LÄN</t>
        </is>
      </c>
      <c r="E9720" t="inlineStr">
        <is>
          <t>BENGTSFORS</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9307-2023</t>
        </is>
      </c>
      <c r="B9721" s="1" t="n">
        <v>44980</v>
      </c>
      <c r="C9721" s="1" t="n">
        <v>45212</v>
      </c>
      <c r="D9721" t="inlineStr">
        <is>
          <t>VÄSTRA GÖTALANDS LÄN</t>
        </is>
      </c>
      <c r="E9721" t="inlineStr">
        <is>
          <t>MUNKEDAL</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9127-2023</t>
        </is>
      </c>
      <c r="B9722" s="1" t="n">
        <v>44980</v>
      </c>
      <c r="C9722" s="1" t="n">
        <v>45212</v>
      </c>
      <c r="D9722" t="inlineStr">
        <is>
          <t>VÄSTRA GÖTALANDS LÄN</t>
        </is>
      </c>
      <c r="E9722" t="inlineStr">
        <is>
          <t>BORÅS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9158-2023</t>
        </is>
      </c>
      <c r="B9723" s="1" t="n">
        <v>44980</v>
      </c>
      <c r="C9723" s="1" t="n">
        <v>45212</v>
      </c>
      <c r="D9723" t="inlineStr">
        <is>
          <t>VÄSTRA GÖTALANDS LÄN</t>
        </is>
      </c>
      <c r="E9723" t="inlineStr">
        <is>
          <t>MELLERUD</t>
        </is>
      </c>
      <c r="G9723" t="n">
        <v>2.3</v>
      </c>
      <c r="H9723" t="n">
        <v>0</v>
      </c>
      <c r="I9723" t="n">
        <v>0</v>
      </c>
      <c r="J9723" t="n">
        <v>0</v>
      </c>
      <c r="K9723" t="n">
        <v>0</v>
      </c>
      <c r="L9723" t="n">
        <v>0</v>
      </c>
      <c r="M9723" t="n">
        <v>0</v>
      </c>
      <c r="N9723" t="n">
        <v>0</v>
      </c>
      <c r="O9723" t="n">
        <v>0</v>
      </c>
      <c r="P9723" t="n">
        <v>0</v>
      </c>
      <c r="Q9723" t="n">
        <v>0</v>
      </c>
      <c r="R9723" s="2" t="inlineStr"/>
    </row>
    <row r="9724" ht="15" customHeight="1">
      <c r="A9724" t="inlineStr">
        <is>
          <t>A 9338-2023</t>
        </is>
      </c>
      <c r="B9724" s="1" t="n">
        <v>44980</v>
      </c>
      <c r="C9724" s="1" t="n">
        <v>45212</v>
      </c>
      <c r="D9724" t="inlineStr">
        <is>
          <t>VÄSTRA GÖTALANDS LÄN</t>
        </is>
      </c>
      <c r="E9724" t="inlineStr">
        <is>
          <t>HJO</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9390-2023</t>
        </is>
      </c>
      <c r="B9725" s="1" t="n">
        <v>44981</v>
      </c>
      <c r="C9725" s="1" t="n">
        <v>45212</v>
      </c>
      <c r="D9725" t="inlineStr">
        <is>
          <t>VÄSTRA GÖTALANDS LÄN</t>
        </is>
      </c>
      <c r="E9725" t="inlineStr">
        <is>
          <t>SVENLJUNGA</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10426-2023</t>
        </is>
      </c>
      <c r="B9726" s="1" t="n">
        <v>44981</v>
      </c>
      <c r="C9726" s="1" t="n">
        <v>45212</v>
      </c>
      <c r="D9726" t="inlineStr">
        <is>
          <t>VÄSTRA GÖTALANDS LÄN</t>
        </is>
      </c>
      <c r="E9726" t="inlineStr">
        <is>
          <t>UDDEVALLA</t>
        </is>
      </c>
      <c r="F9726" t="inlineStr">
        <is>
          <t>Kyrkan</t>
        </is>
      </c>
      <c r="G9726" t="n">
        <v>2</v>
      </c>
      <c r="H9726" t="n">
        <v>0</v>
      </c>
      <c r="I9726" t="n">
        <v>0</v>
      </c>
      <c r="J9726" t="n">
        <v>0</v>
      </c>
      <c r="K9726" t="n">
        <v>0</v>
      </c>
      <c r="L9726" t="n">
        <v>0</v>
      </c>
      <c r="M9726" t="n">
        <v>0</v>
      </c>
      <c r="N9726" t="n">
        <v>0</v>
      </c>
      <c r="O9726" t="n">
        <v>0</v>
      </c>
      <c r="P9726" t="n">
        <v>0</v>
      </c>
      <c r="Q9726" t="n">
        <v>0</v>
      </c>
      <c r="R9726" s="2" t="inlineStr"/>
    </row>
    <row r="9727" ht="15" customHeight="1">
      <c r="A9727" t="inlineStr">
        <is>
          <t>A 9473-2023</t>
        </is>
      </c>
      <c r="B9727" s="1" t="n">
        <v>44981</v>
      </c>
      <c r="C9727" s="1" t="n">
        <v>45212</v>
      </c>
      <c r="D9727" t="inlineStr">
        <is>
          <t>VÄSTRA GÖTALANDS LÄN</t>
        </is>
      </c>
      <c r="E9727" t="inlineStr">
        <is>
          <t>HJO</t>
        </is>
      </c>
      <c r="G9727" t="n">
        <v>2.1</v>
      </c>
      <c r="H9727" t="n">
        <v>0</v>
      </c>
      <c r="I9727" t="n">
        <v>0</v>
      </c>
      <c r="J9727" t="n">
        <v>0</v>
      </c>
      <c r="K9727" t="n">
        <v>0</v>
      </c>
      <c r="L9727" t="n">
        <v>0</v>
      </c>
      <c r="M9727" t="n">
        <v>0</v>
      </c>
      <c r="N9727" t="n">
        <v>0</v>
      </c>
      <c r="O9727" t="n">
        <v>0</v>
      </c>
      <c r="P9727" t="n">
        <v>0</v>
      </c>
      <c r="Q9727" t="n">
        <v>0</v>
      </c>
      <c r="R9727" s="2" t="inlineStr"/>
    </row>
    <row r="9728" ht="15" customHeight="1">
      <c r="A9728" t="inlineStr">
        <is>
          <t>A 9530-2023</t>
        </is>
      </c>
      <c r="B9728" s="1" t="n">
        <v>44981</v>
      </c>
      <c r="C9728" s="1" t="n">
        <v>45212</v>
      </c>
      <c r="D9728" t="inlineStr">
        <is>
          <t>VÄSTRA GÖTALANDS LÄN</t>
        </is>
      </c>
      <c r="E9728" t="inlineStr">
        <is>
          <t>BOLLEBYGD</t>
        </is>
      </c>
      <c r="G9728" t="n">
        <v>1.2</v>
      </c>
      <c r="H9728" t="n">
        <v>0</v>
      </c>
      <c r="I9728" t="n">
        <v>0</v>
      </c>
      <c r="J9728" t="n">
        <v>0</v>
      </c>
      <c r="K9728" t="n">
        <v>0</v>
      </c>
      <c r="L9728" t="n">
        <v>0</v>
      </c>
      <c r="M9728" t="n">
        <v>0</v>
      </c>
      <c r="N9728" t="n">
        <v>0</v>
      </c>
      <c r="O9728" t="n">
        <v>0</v>
      </c>
      <c r="P9728" t="n">
        <v>0</v>
      </c>
      <c r="Q9728" t="n">
        <v>0</v>
      </c>
      <c r="R9728" s="2" t="inlineStr"/>
    </row>
    <row r="9729" ht="15" customHeight="1">
      <c r="A9729" t="inlineStr">
        <is>
          <t>A 9469-2023</t>
        </is>
      </c>
      <c r="B9729" s="1" t="n">
        <v>44981</v>
      </c>
      <c r="C9729" s="1" t="n">
        <v>45212</v>
      </c>
      <c r="D9729" t="inlineStr">
        <is>
          <t>VÄSTRA GÖTALANDS LÄN</t>
        </is>
      </c>
      <c r="E9729" t="inlineStr">
        <is>
          <t>SVENLJUNGA</t>
        </is>
      </c>
      <c r="G9729" t="n">
        <v>3.6</v>
      </c>
      <c r="H9729" t="n">
        <v>0</v>
      </c>
      <c r="I9729" t="n">
        <v>0</v>
      </c>
      <c r="J9729" t="n">
        <v>0</v>
      </c>
      <c r="K9729" t="n">
        <v>0</v>
      </c>
      <c r="L9729" t="n">
        <v>0</v>
      </c>
      <c r="M9729" t="n">
        <v>0</v>
      </c>
      <c r="N9729" t="n">
        <v>0</v>
      </c>
      <c r="O9729" t="n">
        <v>0</v>
      </c>
      <c r="P9729" t="n">
        <v>0</v>
      </c>
      <c r="Q9729" t="n">
        <v>0</v>
      </c>
      <c r="R9729" s="2" t="inlineStr"/>
    </row>
    <row r="9730" ht="15" customHeight="1">
      <c r="A9730" t="inlineStr">
        <is>
          <t>A 10423-2023</t>
        </is>
      </c>
      <c r="B9730" s="1" t="n">
        <v>44981</v>
      </c>
      <c r="C9730" s="1" t="n">
        <v>45212</v>
      </c>
      <c r="D9730" t="inlineStr">
        <is>
          <t>VÄSTRA GÖTALANDS LÄN</t>
        </is>
      </c>
      <c r="E9730" t="inlineStr">
        <is>
          <t>UDDEVALLA</t>
        </is>
      </c>
      <c r="F9730" t="inlineStr">
        <is>
          <t>Kyrkan</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9471-2023</t>
        </is>
      </c>
      <c r="B9731" s="1" t="n">
        <v>44981</v>
      </c>
      <c r="C9731" s="1" t="n">
        <v>45212</v>
      </c>
      <c r="D9731" t="inlineStr">
        <is>
          <t>VÄSTRA GÖTALANDS LÄN</t>
        </is>
      </c>
      <c r="E9731" t="inlineStr">
        <is>
          <t>SVENLJUNGA</t>
        </is>
      </c>
      <c r="G9731" t="n">
        <v>5.3</v>
      </c>
      <c r="H9731" t="n">
        <v>0</v>
      </c>
      <c r="I9731" t="n">
        <v>0</v>
      </c>
      <c r="J9731" t="n">
        <v>0</v>
      </c>
      <c r="K9731" t="n">
        <v>0</v>
      </c>
      <c r="L9731" t="n">
        <v>0</v>
      </c>
      <c r="M9731" t="n">
        <v>0</v>
      </c>
      <c r="N9731" t="n">
        <v>0</v>
      </c>
      <c r="O9731" t="n">
        <v>0</v>
      </c>
      <c r="P9731" t="n">
        <v>0</v>
      </c>
      <c r="Q9731" t="n">
        <v>0</v>
      </c>
      <c r="R9731" s="2" t="inlineStr"/>
    </row>
    <row r="9732" ht="15" customHeight="1">
      <c r="A9732" t="inlineStr">
        <is>
          <t>A 9527-2023</t>
        </is>
      </c>
      <c r="B9732" s="1" t="n">
        <v>44981</v>
      </c>
      <c r="C9732" s="1" t="n">
        <v>45212</v>
      </c>
      <c r="D9732" t="inlineStr">
        <is>
          <t>VÄSTRA GÖTALANDS LÄN</t>
        </is>
      </c>
      <c r="E9732" t="inlineStr">
        <is>
          <t>BOLLEBYGD</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10500-2023</t>
        </is>
      </c>
      <c r="B9733" s="1" t="n">
        <v>44981</v>
      </c>
      <c r="C9733" s="1" t="n">
        <v>45212</v>
      </c>
      <c r="D9733" t="inlineStr">
        <is>
          <t>VÄSTRA GÖTALANDS LÄN</t>
        </is>
      </c>
      <c r="E9733" t="inlineStr">
        <is>
          <t>MARIESTAD</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9559-2023</t>
        </is>
      </c>
      <c r="B9734" s="1" t="n">
        <v>44982</v>
      </c>
      <c r="C9734" s="1" t="n">
        <v>45212</v>
      </c>
      <c r="D9734" t="inlineStr">
        <is>
          <t>VÄSTRA GÖTALANDS LÄN</t>
        </is>
      </c>
      <c r="E9734" t="inlineStr">
        <is>
          <t>MARK</t>
        </is>
      </c>
      <c r="G9734" t="n">
        <v>6.5</v>
      </c>
      <c r="H9734" t="n">
        <v>0</v>
      </c>
      <c r="I9734" t="n">
        <v>0</v>
      </c>
      <c r="J9734" t="n">
        <v>0</v>
      </c>
      <c r="K9734" t="n">
        <v>0</v>
      </c>
      <c r="L9734" t="n">
        <v>0</v>
      </c>
      <c r="M9734" t="n">
        <v>0</v>
      </c>
      <c r="N9734" t="n">
        <v>0</v>
      </c>
      <c r="O9734" t="n">
        <v>0</v>
      </c>
      <c r="P9734" t="n">
        <v>0</v>
      </c>
      <c r="Q9734" t="n">
        <v>0</v>
      </c>
      <c r="R9734" s="2" t="inlineStr"/>
    </row>
    <row r="9735" ht="15" customHeight="1">
      <c r="A9735" t="inlineStr">
        <is>
          <t>A 9604-2023</t>
        </is>
      </c>
      <c r="B9735" s="1" t="n">
        <v>44983</v>
      </c>
      <c r="C9735" s="1" t="n">
        <v>45212</v>
      </c>
      <c r="D9735" t="inlineStr">
        <is>
          <t>VÄSTRA GÖTALANDS LÄN</t>
        </is>
      </c>
      <c r="E9735" t="inlineStr">
        <is>
          <t>TIDAHOLM</t>
        </is>
      </c>
      <c r="F9735" t="inlineStr">
        <is>
          <t>Sveaskog</t>
        </is>
      </c>
      <c r="G9735" t="n">
        <v>12.5</v>
      </c>
      <c r="H9735" t="n">
        <v>0</v>
      </c>
      <c r="I9735" t="n">
        <v>0</v>
      </c>
      <c r="J9735" t="n">
        <v>0</v>
      </c>
      <c r="K9735" t="n">
        <v>0</v>
      </c>
      <c r="L9735" t="n">
        <v>0</v>
      </c>
      <c r="M9735" t="n">
        <v>0</v>
      </c>
      <c r="N9735" t="n">
        <v>0</v>
      </c>
      <c r="O9735" t="n">
        <v>0</v>
      </c>
      <c r="P9735" t="n">
        <v>0</v>
      </c>
      <c r="Q9735" t="n">
        <v>0</v>
      </c>
      <c r="R9735" s="2" t="inlineStr"/>
    </row>
    <row r="9736" ht="15" customHeight="1">
      <c r="A9736" t="inlineStr">
        <is>
          <t>A 9606-2023</t>
        </is>
      </c>
      <c r="B9736" s="1" t="n">
        <v>44983</v>
      </c>
      <c r="C9736" s="1" t="n">
        <v>45212</v>
      </c>
      <c r="D9736" t="inlineStr">
        <is>
          <t>VÄSTRA GÖTALANDS LÄN</t>
        </is>
      </c>
      <c r="E9736" t="inlineStr">
        <is>
          <t>TROLLHÄTTAN</t>
        </is>
      </c>
      <c r="G9736" t="n">
        <v>4.2</v>
      </c>
      <c r="H9736" t="n">
        <v>0</v>
      </c>
      <c r="I9736" t="n">
        <v>0</v>
      </c>
      <c r="J9736" t="n">
        <v>0</v>
      </c>
      <c r="K9736" t="n">
        <v>0</v>
      </c>
      <c r="L9736" t="n">
        <v>0</v>
      </c>
      <c r="M9736" t="n">
        <v>0</v>
      </c>
      <c r="N9736" t="n">
        <v>0</v>
      </c>
      <c r="O9736" t="n">
        <v>0</v>
      </c>
      <c r="P9736" t="n">
        <v>0</v>
      </c>
      <c r="Q9736" t="n">
        <v>0</v>
      </c>
      <c r="R9736" s="2" t="inlineStr"/>
    </row>
    <row r="9737" ht="15" customHeight="1">
      <c r="A9737" t="inlineStr">
        <is>
          <t>A 9603-2023</t>
        </is>
      </c>
      <c r="B9737" s="1" t="n">
        <v>44983</v>
      </c>
      <c r="C9737" s="1" t="n">
        <v>45212</v>
      </c>
      <c r="D9737" t="inlineStr">
        <is>
          <t>VÄSTRA GÖTALANDS LÄN</t>
        </is>
      </c>
      <c r="E9737" t="inlineStr">
        <is>
          <t>TIDAHOLM</t>
        </is>
      </c>
      <c r="F9737" t="inlineStr">
        <is>
          <t>Sveaskog</t>
        </is>
      </c>
      <c r="G9737" t="n">
        <v>5.2</v>
      </c>
      <c r="H9737" t="n">
        <v>0</v>
      </c>
      <c r="I9737" t="n">
        <v>0</v>
      </c>
      <c r="J9737" t="n">
        <v>0</v>
      </c>
      <c r="K9737" t="n">
        <v>0</v>
      </c>
      <c r="L9737" t="n">
        <v>0</v>
      </c>
      <c r="M9737" t="n">
        <v>0</v>
      </c>
      <c r="N9737" t="n">
        <v>0</v>
      </c>
      <c r="O9737" t="n">
        <v>0</v>
      </c>
      <c r="P9737" t="n">
        <v>0</v>
      </c>
      <c r="Q9737" t="n">
        <v>0</v>
      </c>
      <c r="R9737" s="2" t="inlineStr"/>
    </row>
    <row r="9738" ht="15" customHeight="1">
      <c r="A9738" t="inlineStr">
        <is>
          <t>A 9711-2023</t>
        </is>
      </c>
      <c r="B9738" s="1" t="n">
        <v>44984</v>
      </c>
      <c r="C9738" s="1" t="n">
        <v>45212</v>
      </c>
      <c r="D9738" t="inlineStr">
        <is>
          <t>VÄSTRA GÖTALANDS LÄN</t>
        </is>
      </c>
      <c r="E9738" t="inlineStr">
        <is>
          <t>ALINGSÅS</t>
        </is>
      </c>
      <c r="G9738" t="n">
        <v>2.3</v>
      </c>
      <c r="H9738" t="n">
        <v>0</v>
      </c>
      <c r="I9738" t="n">
        <v>0</v>
      </c>
      <c r="J9738" t="n">
        <v>0</v>
      </c>
      <c r="K9738" t="n">
        <v>0</v>
      </c>
      <c r="L9738" t="n">
        <v>0</v>
      </c>
      <c r="M9738" t="n">
        <v>0</v>
      </c>
      <c r="N9738" t="n">
        <v>0</v>
      </c>
      <c r="O9738" t="n">
        <v>0</v>
      </c>
      <c r="P9738" t="n">
        <v>0</v>
      </c>
      <c r="Q9738" t="n">
        <v>0</v>
      </c>
      <c r="R9738" s="2" t="inlineStr"/>
    </row>
    <row r="9739" ht="15" customHeight="1">
      <c r="A9739" t="inlineStr">
        <is>
          <t>A 9721-2023</t>
        </is>
      </c>
      <c r="B9739" s="1" t="n">
        <v>44984</v>
      </c>
      <c r="C9739" s="1" t="n">
        <v>45212</v>
      </c>
      <c r="D9739" t="inlineStr">
        <is>
          <t>VÄSTRA GÖTALANDS LÄN</t>
        </is>
      </c>
      <c r="E9739" t="inlineStr">
        <is>
          <t>VÅRGÅRDA</t>
        </is>
      </c>
      <c r="G9739" t="n">
        <v>1.7</v>
      </c>
      <c r="H9739" t="n">
        <v>0</v>
      </c>
      <c r="I9739" t="n">
        <v>0</v>
      </c>
      <c r="J9739" t="n">
        <v>0</v>
      </c>
      <c r="K9739" t="n">
        <v>0</v>
      </c>
      <c r="L9739" t="n">
        <v>0</v>
      </c>
      <c r="M9739" t="n">
        <v>0</v>
      </c>
      <c r="N9739" t="n">
        <v>0</v>
      </c>
      <c r="O9739" t="n">
        <v>0</v>
      </c>
      <c r="P9739" t="n">
        <v>0</v>
      </c>
      <c r="Q9739" t="n">
        <v>0</v>
      </c>
      <c r="R9739" s="2" t="inlineStr"/>
    </row>
    <row r="9740" ht="15" customHeight="1">
      <c r="A9740" t="inlineStr">
        <is>
          <t>A 9743-2023</t>
        </is>
      </c>
      <c r="B9740" s="1" t="n">
        <v>44984</v>
      </c>
      <c r="C9740" s="1" t="n">
        <v>45212</v>
      </c>
      <c r="D9740" t="inlineStr">
        <is>
          <t>VÄSTRA GÖTALANDS LÄN</t>
        </is>
      </c>
      <c r="E9740" t="inlineStr">
        <is>
          <t>MUNKEDAL</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9748-2023</t>
        </is>
      </c>
      <c r="B9741" s="1" t="n">
        <v>44984</v>
      </c>
      <c r="C9741" s="1" t="n">
        <v>45212</v>
      </c>
      <c r="D9741" t="inlineStr">
        <is>
          <t>VÄSTRA GÖTALANDS LÄN</t>
        </is>
      </c>
      <c r="E9741" t="inlineStr">
        <is>
          <t>MUNKEDAL</t>
        </is>
      </c>
      <c r="G9741" t="n">
        <v>3.3</v>
      </c>
      <c r="H9741" t="n">
        <v>0</v>
      </c>
      <c r="I9741" t="n">
        <v>0</v>
      </c>
      <c r="J9741" t="n">
        <v>0</v>
      </c>
      <c r="K9741" t="n">
        <v>0</v>
      </c>
      <c r="L9741" t="n">
        <v>0</v>
      </c>
      <c r="M9741" t="n">
        <v>0</v>
      </c>
      <c r="N9741" t="n">
        <v>0</v>
      </c>
      <c r="O9741" t="n">
        <v>0</v>
      </c>
      <c r="P9741" t="n">
        <v>0</v>
      </c>
      <c r="Q9741" t="n">
        <v>0</v>
      </c>
      <c r="R9741" s="2" t="inlineStr"/>
    </row>
    <row r="9742" ht="15" customHeight="1">
      <c r="A9742" t="inlineStr">
        <is>
          <t>A 10744-2023</t>
        </is>
      </c>
      <c r="B9742" s="1" t="n">
        <v>44984</v>
      </c>
      <c r="C9742" s="1" t="n">
        <v>45212</v>
      </c>
      <c r="D9742" t="inlineStr">
        <is>
          <t>VÄSTRA GÖTALANDS LÄN</t>
        </is>
      </c>
      <c r="E9742" t="inlineStr">
        <is>
          <t>SKARA</t>
        </is>
      </c>
      <c r="G9742" t="n">
        <v>3</v>
      </c>
      <c r="H9742" t="n">
        <v>0</v>
      </c>
      <c r="I9742" t="n">
        <v>0</v>
      </c>
      <c r="J9742" t="n">
        <v>0</v>
      </c>
      <c r="K9742" t="n">
        <v>0</v>
      </c>
      <c r="L9742" t="n">
        <v>0</v>
      </c>
      <c r="M9742" t="n">
        <v>0</v>
      </c>
      <c r="N9742" t="n">
        <v>0</v>
      </c>
      <c r="O9742" t="n">
        <v>0</v>
      </c>
      <c r="P9742" t="n">
        <v>0</v>
      </c>
      <c r="Q9742" t="n">
        <v>0</v>
      </c>
      <c r="R9742" s="2" t="inlineStr"/>
    </row>
    <row r="9743" ht="15" customHeight="1">
      <c r="A9743" t="inlineStr">
        <is>
          <t>A 9690-2023</t>
        </is>
      </c>
      <c r="B9743" s="1" t="n">
        <v>44984</v>
      </c>
      <c r="C9743" s="1" t="n">
        <v>45212</v>
      </c>
      <c r="D9743" t="inlineStr">
        <is>
          <t>VÄSTRA GÖTALANDS LÄN</t>
        </is>
      </c>
      <c r="E9743" t="inlineStr">
        <is>
          <t>TRANEMO</t>
        </is>
      </c>
      <c r="G9743" t="n">
        <v>4.5</v>
      </c>
      <c r="H9743" t="n">
        <v>0</v>
      </c>
      <c r="I9743" t="n">
        <v>0</v>
      </c>
      <c r="J9743" t="n">
        <v>0</v>
      </c>
      <c r="K9743" t="n">
        <v>0</v>
      </c>
      <c r="L9743" t="n">
        <v>0</v>
      </c>
      <c r="M9743" t="n">
        <v>0</v>
      </c>
      <c r="N9743" t="n">
        <v>0</v>
      </c>
      <c r="O9743" t="n">
        <v>0</v>
      </c>
      <c r="P9743" t="n">
        <v>0</v>
      </c>
      <c r="Q9743" t="n">
        <v>0</v>
      </c>
      <c r="R9743" s="2" t="inlineStr"/>
    </row>
    <row r="9744" ht="15" customHeight="1">
      <c r="A9744" t="inlineStr">
        <is>
          <t>A 9746-2023</t>
        </is>
      </c>
      <c r="B9744" s="1" t="n">
        <v>44984</v>
      </c>
      <c r="C9744" s="1" t="n">
        <v>45212</v>
      </c>
      <c r="D9744" t="inlineStr">
        <is>
          <t>VÄSTRA GÖTALANDS LÄN</t>
        </is>
      </c>
      <c r="E9744" t="inlineStr">
        <is>
          <t>MUNKEDAL</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9791-2023</t>
        </is>
      </c>
      <c r="B9745" s="1" t="n">
        <v>44984</v>
      </c>
      <c r="C9745" s="1" t="n">
        <v>45212</v>
      </c>
      <c r="D9745" t="inlineStr">
        <is>
          <t>VÄSTRA GÖTALANDS LÄN</t>
        </is>
      </c>
      <c r="E9745" t="inlineStr">
        <is>
          <t>ALINGSÅS</t>
        </is>
      </c>
      <c r="G9745" t="n">
        <v>3.9</v>
      </c>
      <c r="H9745" t="n">
        <v>0</v>
      </c>
      <c r="I9745" t="n">
        <v>0</v>
      </c>
      <c r="J9745" t="n">
        <v>0</v>
      </c>
      <c r="K9745" t="n">
        <v>0</v>
      </c>
      <c r="L9745" t="n">
        <v>0</v>
      </c>
      <c r="M9745" t="n">
        <v>0</v>
      </c>
      <c r="N9745" t="n">
        <v>0</v>
      </c>
      <c r="O9745" t="n">
        <v>0</v>
      </c>
      <c r="P9745" t="n">
        <v>0</v>
      </c>
      <c r="Q9745" t="n">
        <v>0</v>
      </c>
      <c r="R9745" s="2" t="inlineStr"/>
    </row>
    <row r="9746" ht="15" customHeight="1">
      <c r="A9746" t="inlineStr">
        <is>
          <t>A 9797-2023</t>
        </is>
      </c>
      <c r="B9746" s="1" t="n">
        <v>44984</v>
      </c>
      <c r="C9746" s="1" t="n">
        <v>45212</v>
      </c>
      <c r="D9746" t="inlineStr">
        <is>
          <t>VÄSTRA GÖTALANDS LÄN</t>
        </is>
      </c>
      <c r="E9746" t="inlineStr">
        <is>
          <t>UDDEVALLA</t>
        </is>
      </c>
      <c r="G9746" t="n">
        <v>2.5</v>
      </c>
      <c r="H9746" t="n">
        <v>0</v>
      </c>
      <c r="I9746" t="n">
        <v>0</v>
      </c>
      <c r="J9746" t="n">
        <v>0</v>
      </c>
      <c r="K9746" t="n">
        <v>0</v>
      </c>
      <c r="L9746" t="n">
        <v>0</v>
      </c>
      <c r="M9746" t="n">
        <v>0</v>
      </c>
      <c r="N9746" t="n">
        <v>0</v>
      </c>
      <c r="O9746" t="n">
        <v>0</v>
      </c>
      <c r="P9746" t="n">
        <v>0</v>
      </c>
      <c r="Q9746" t="n">
        <v>0</v>
      </c>
      <c r="R9746" s="2" t="inlineStr"/>
    </row>
    <row r="9747" ht="15" customHeight="1">
      <c r="A9747" t="inlineStr">
        <is>
          <t>A 9739-2023</t>
        </is>
      </c>
      <c r="B9747" s="1" t="n">
        <v>44984</v>
      </c>
      <c r="C9747" s="1" t="n">
        <v>45212</v>
      </c>
      <c r="D9747" t="inlineStr">
        <is>
          <t>VÄSTRA GÖTALANDS LÄN</t>
        </is>
      </c>
      <c r="E9747" t="inlineStr">
        <is>
          <t>MUNKEDAL</t>
        </is>
      </c>
      <c r="G9747" t="n">
        <v>1.2</v>
      </c>
      <c r="H9747" t="n">
        <v>0</v>
      </c>
      <c r="I9747" t="n">
        <v>0</v>
      </c>
      <c r="J9747" t="n">
        <v>0</v>
      </c>
      <c r="K9747" t="n">
        <v>0</v>
      </c>
      <c r="L9747" t="n">
        <v>0</v>
      </c>
      <c r="M9747" t="n">
        <v>0</v>
      </c>
      <c r="N9747" t="n">
        <v>0</v>
      </c>
      <c r="O9747" t="n">
        <v>0</v>
      </c>
      <c r="P9747" t="n">
        <v>0</v>
      </c>
      <c r="Q9747" t="n">
        <v>0</v>
      </c>
      <c r="R9747" s="2" t="inlineStr"/>
    </row>
    <row r="9748" ht="15" customHeight="1">
      <c r="A9748" t="inlineStr">
        <is>
          <t>A 10737-2023</t>
        </is>
      </c>
      <c r="B9748" s="1" t="n">
        <v>44984</v>
      </c>
      <c r="C9748" s="1" t="n">
        <v>45212</v>
      </c>
      <c r="D9748" t="inlineStr">
        <is>
          <t>VÄSTRA GÖTALANDS LÄN</t>
        </is>
      </c>
      <c r="E9748" t="inlineStr">
        <is>
          <t>TIBRO</t>
        </is>
      </c>
      <c r="G9748" t="n">
        <v>3.4</v>
      </c>
      <c r="H9748" t="n">
        <v>0</v>
      </c>
      <c r="I9748" t="n">
        <v>0</v>
      </c>
      <c r="J9748" t="n">
        <v>0</v>
      </c>
      <c r="K9748" t="n">
        <v>0</v>
      </c>
      <c r="L9748" t="n">
        <v>0</v>
      </c>
      <c r="M9748" t="n">
        <v>0</v>
      </c>
      <c r="N9748" t="n">
        <v>0</v>
      </c>
      <c r="O9748" t="n">
        <v>0</v>
      </c>
      <c r="P9748" t="n">
        <v>0</v>
      </c>
      <c r="Q9748" t="n">
        <v>0</v>
      </c>
      <c r="R9748" s="2" t="inlineStr"/>
    </row>
    <row r="9749" ht="15" customHeight="1">
      <c r="A9749" t="inlineStr">
        <is>
          <t>A 9630-2023</t>
        </is>
      </c>
      <c r="B9749" s="1" t="n">
        <v>44984</v>
      </c>
      <c r="C9749" s="1" t="n">
        <v>45212</v>
      </c>
      <c r="D9749" t="inlineStr">
        <is>
          <t>VÄSTRA GÖTALANDS LÄN</t>
        </is>
      </c>
      <c r="E9749" t="inlineStr">
        <is>
          <t>ALE</t>
        </is>
      </c>
      <c r="G9749" t="n">
        <v>5.4</v>
      </c>
      <c r="H9749" t="n">
        <v>0</v>
      </c>
      <c r="I9749" t="n">
        <v>0</v>
      </c>
      <c r="J9749" t="n">
        <v>0</v>
      </c>
      <c r="K9749" t="n">
        <v>0</v>
      </c>
      <c r="L9749" t="n">
        <v>0</v>
      </c>
      <c r="M9749" t="n">
        <v>0</v>
      </c>
      <c r="N9749" t="n">
        <v>0</v>
      </c>
      <c r="O9749" t="n">
        <v>0</v>
      </c>
      <c r="P9749" t="n">
        <v>0</v>
      </c>
      <c r="Q9749" t="n">
        <v>0</v>
      </c>
      <c r="R9749" s="2" t="inlineStr"/>
    </row>
    <row r="9750" ht="15" customHeight="1">
      <c r="A9750" t="inlineStr">
        <is>
          <t>A 9725-2023</t>
        </is>
      </c>
      <c r="B9750" s="1" t="n">
        <v>44984</v>
      </c>
      <c r="C9750" s="1" t="n">
        <v>45212</v>
      </c>
      <c r="D9750" t="inlineStr">
        <is>
          <t>VÄSTRA GÖTALANDS LÄN</t>
        </is>
      </c>
      <c r="E9750" t="inlineStr">
        <is>
          <t>VÅRGÅRDA</t>
        </is>
      </c>
      <c r="G9750" t="n">
        <v>4.4</v>
      </c>
      <c r="H9750" t="n">
        <v>0</v>
      </c>
      <c r="I9750" t="n">
        <v>0</v>
      </c>
      <c r="J9750" t="n">
        <v>0</v>
      </c>
      <c r="K9750" t="n">
        <v>0</v>
      </c>
      <c r="L9750" t="n">
        <v>0</v>
      </c>
      <c r="M9750" t="n">
        <v>0</v>
      </c>
      <c r="N9750" t="n">
        <v>0</v>
      </c>
      <c r="O9750" t="n">
        <v>0</v>
      </c>
      <c r="P9750" t="n">
        <v>0</v>
      </c>
      <c r="Q9750" t="n">
        <v>0</v>
      </c>
      <c r="R9750" s="2" t="inlineStr"/>
    </row>
    <row r="9751" ht="15" customHeight="1">
      <c r="A9751" t="inlineStr">
        <is>
          <t>A 9749-2023</t>
        </is>
      </c>
      <c r="B9751" s="1" t="n">
        <v>44984</v>
      </c>
      <c r="C9751" s="1" t="n">
        <v>45212</v>
      </c>
      <c r="D9751" t="inlineStr">
        <is>
          <t>VÄSTRA GÖTALANDS LÄN</t>
        </is>
      </c>
      <c r="E9751" t="inlineStr">
        <is>
          <t>VÅRGÅRDA</t>
        </is>
      </c>
      <c r="G9751" t="n">
        <v>3.3</v>
      </c>
      <c r="H9751" t="n">
        <v>0</v>
      </c>
      <c r="I9751" t="n">
        <v>0</v>
      </c>
      <c r="J9751" t="n">
        <v>0</v>
      </c>
      <c r="K9751" t="n">
        <v>0</v>
      </c>
      <c r="L9751" t="n">
        <v>0</v>
      </c>
      <c r="M9751" t="n">
        <v>0</v>
      </c>
      <c r="N9751" t="n">
        <v>0</v>
      </c>
      <c r="O9751" t="n">
        <v>0</v>
      </c>
      <c r="P9751" t="n">
        <v>0</v>
      </c>
      <c r="Q9751" t="n">
        <v>0</v>
      </c>
      <c r="R9751" s="2" t="inlineStr"/>
    </row>
    <row r="9752" ht="15" customHeight="1">
      <c r="A9752" t="inlineStr">
        <is>
          <t>A 9891-2023</t>
        </is>
      </c>
      <c r="B9752" s="1" t="n">
        <v>44985</v>
      </c>
      <c r="C9752" s="1" t="n">
        <v>45212</v>
      </c>
      <c r="D9752" t="inlineStr">
        <is>
          <t>VÄSTRA GÖTALANDS LÄN</t>
        </is>
      </c>
      <c r="E9752" t="inlineStr">
        <is>
          <t>ALE</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9956-2023</t>
        </is>
      </c>
      <c r="B9753" s="1" t="n">
        <v>44985</v>
      </c>
      <c r="C9753" s="1" t="n">
        <v>45212</v>
      </c>
      <c r="D9753" t="inlineStr">
        <is>
          <t>VÄSTRA GÖTALANDS LÄN</t>
        </is>
      </c>
      <c r="E9753" t="inlineStr">
        <is>
          <t>LERUM</t>
        </is>
      </c>
      <c r="G9753" t="n">
        <v>2</v>
      </c>
      <c r="H9753" t="n">
        <v>0</v>
      </c>
      <c r="I9753" t="n">
        <v>0</v>
      </c>
      <c r="J9753" t="n">
        <v>0</v>
      </c>
      <c r="K9753" t="n">
        <v>0</v>
      </c>
      <c r="L9753" t="n">
        <v>0</v>
      </c>
      <c r="M9753" t="n">
        <v>0</v>
      </c>
      <c r="N9753" t="n">
        <v>0</v>
      </c>
      <c r="O9753" t="n">
        <v>0</v>
      </c>
      <c r="P9753" t="n">
        <v>0</v>
      </c>
      <c r="Q9753" t="n">
        <v>0</v>
      </c>
      <c r="R9753" s="2" t="inlineStr"/>
    </row>
    <row r="9754" ht="15" customHeight="1">
      <c r="A9754" t="inlineStr">
        <is>
          <t>A 10049-2023</t>
        </is>
      </c>
      <c r="B9754" s="1" t="n">
        <v>44985</v>
      </c>
      <c r="C9754" s="1" t="n">
        <v>45212</v>
      </c>
      <c r="D9754" t="inlineStr">
        <is>
          <t>VÄSTRA GÖTALANDS LÄN</t>
        </is>
      </c>
      <c r="E9754" t="inlineStr">
        <is>
          <t>FALKÖPING</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9896-2023</t>
        </is>
      </c>
      <c r="B9755" s="1" t="n">
        <v>44985</v>
      </c>
      <c r="C9755" s="1" t="n">
        <v>45212</v>
      </c>
      <c r="D9755" t="inlineStr">
        <is>
          <t>VÄSTRA GÖTALANDS LÄN</t>
        </is>
      </c>
      <c r="E9755" t="inlineStr">
        <is>
          <t>ALE</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9949-2023</t>
        </is>
      </c>
      <c r="B9756" s="1" t="n">
        <v>44985</v>
      </c>
      <c r="C9756" s="1" t="n">
        <v>45212</v>
      </c>
      <c r="D9756" t="inlineStr">
        <is>
          <t>VÄSTRA GÖTALANDS LÄN</t>
        </is>
      </c>
      <c r="E9756" t="inlineStr">
        <is>
          <t>TIDAHOLM</t>
        </is>
      </c>
      <c r="G9756" t="n">
        <v>4.4</v>
      </c>
      <c r="H9756" t="n">
        <v>0</v>
      </c>
      <c r="I9756" t="n">
        <v>0</v>
      </c>
      <c r="J9756" t="n">
        <v>0</v>
      </c>
      <c r="K9756" t="n">
        <v>0</v>
      </c>
      <c r="L9756" t="n">
        <v>0</v>
      </c>
      <c r="M9756" t="n">
        <v>0</v>
      </c>
      <c r="N9756" t="n">
        <v>0</v>
      </c>
      <c r="O9756" t="n">
        <v>0</v>
      </c>
      <c r="P9756" t="n">
        <v>0</v>
      </c>
      <c r="Q9756" t="n">
        <v>0</v>
      </c>
      <c r="R9756" s="2" t="inlineStr"/>
    </row>
    <row r="9757" ht="15" customHeight="1">
      <c r="A9757" t="inlineStr">
        <is>
          <t>A 9976-2023</t>
        </is>
      </c>
      <c r="B9757" s="1" t="n">
        <v>44985</v>
      </c>
      <c r="C9757" s="1" t="n">
        <v>45212</v>
      </c>
      <c r="D9757" t="inlineStr">
        <is>
          <t>VÄSTRA GÖTALANDS LÄN</t>
        </is>
      </c>
      <c r="E9757" t="inlineStr">
        <is>
          <t>LERUM</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9886-2023</t>
        </is>
      </c>
      <c r="B9758" s="1" t="n">
        <v>44985</v>
      </c>
      <c r="C9758" s="1" t="n">
        <v>45212</v>
      </c>
      <c r="D9758" t="inlineStr">
        <is>
          <t>VÄSTRA GÖTALANDS LÄN</t>
        </is>
      </c>
      <c r="E9758" t="inlineStr">
        <is>
          <t>ALE</t>
        </is>
      </c>
      <c r="G9758" t="n">
        <v>2.2</v>
      </c>
      <c r="H9758" t="n">
        <v>0</v>
      </c>
      <c r="I9758" t="n">
        <v>0</v>
      </c>
      <c r="J9758" t="n">
        <v>0</v>
      </c>
      <c r="K9758" t="n">
        <v>0</v>
      </c>
      <c r="L9758" t="n">
        <v>0</v>
      </c>
      <c r="M9758" t="n">
        <v>0</v>
      </c>
      <c r="N9758" t="n">
        <v>0</v>
      </c>
      <c r="O9758" t="n">
        <v>0</v>
      </c>
      <c r="P9758" t="n">
        <v>0</v>
      </c>
      <c r="Q9758" t="n">
        <v>0</v>
      </c>
      <c r="R9758" s="2" t="inlineStr"/>
    </row>
    <row r="9759" ht="15" customHeight="1">
      <c r="A9759" t="inlineStr">
        <is>
          <t>A 9975-2023</t>
        </is>
      </c>
      <c r="B9759" s="1" t="n">
        <v>44985</v>
      </c>
      <c r="C9759" s="1" t="n">
        <v>45212</v>
      </c>
      <c r="D9759" t="inlineStr">
        <is>
          <t>VÄSTRA GÖTALANDS LÄN</t>
        </is>
      </c>
      <c r="E9759" t="inlineStr">
        <is>
          <t>LERUM</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10182-2023</t>
        </is>
      </c>
      <c r="B9760" s="1" t="n">
        <v>44986</v>
      </c>
      <c r="C9760" s="1" t="n">
        <v>45212</v>
      </c>
      <c r="D9760" t="inlineStr">
        <is>
          <t>VÄSTRA GÖTALANDS LÄN</t>
        </is>
      </c>
      <c r="E9760" t="inlineStr">
        <is>
          <t>MARIESTAD</t>
        </is>
      </c>
      <c r="G9760" t="n">
        <v>0.4</v>
      </c>
      <c r="H9760" t="n">
        <v>0</v>
      </c>
      <c r="I9760" t="n">
        <v>0</v>
      </c>
      <c r="J9760" t="n">
        <v>0</v>
      </c>
      <c r="K9760" t="n">
        <v>0</v>
      </c>
      <c r="L9760" t="n">
        <v>0</v>
      </c>
      <c r="M9760" t="n">
        <v>0</v>
      </c>
      <c r="N9760" t="n">
        <v>0</v>
      </c>
      <c r="O9760" t="n">
        <v>0</v>
      </c>
      <c r="P9760" t="n">
        <v>0</v>
      </c>
      <c r="Q9760" t="n">
        <v>0</v>
      </c>
      <c r="R9760" s="2" t="inlineStr"/>
    </row>
    <row r="9761" ht="15" customHeight="1">
      <c r="A9761" t="inlineStr">
        <is>
          <t>A 10205-2023</t>
        </is>
      </c>
      <c r="B9761" s="1" t="n">
        <v>44986</v>
      </c>
      <c r="C9761" s="1" t="n">
        <v>45212</v>
      </c>
      <c r="D9761" t="inlineStr">
        <is>
          <t>VÄSTRA GÖTALANDS LÄN</t>
        </is>
      </c>
      <c r="E9761" t="inlineStr">
        <is>
          <t>MARIESTAD</t>
        </is>
      </c>
      <c r="G9761" t="n">
        <v>0.6</v>
      </c>
      <c r="H9761" t="n">
        <v>0</v>
      </c>
      <c r="I9761" t="n">
        <v>0</v>
      </c>
      <c r="J9761" t="n">
        <v>0</v>
      </c>
      <c r="K9761" t="n">
        <v>0</v>
      </c>
      <c r="L9761" t="n">
        <v>0</v>
      </c>
      <c r="M9761" t="n">
        <v>0</v>
      </c>
      <c r="N9761" t="n">
        <v>0</v>
      </c>
      <c r="O9761" t="n">
        <v>0</v>
      </c>
      <c r="P9761" t="n">
        <v>0</v>
      </c>
      <c r="Q9761" t="n">
        <v>0</v>
      </c>
      <c r="R9761" s="2" t="inlineStr"/>
    </row>
    <row r="9762" ht="15" customHeight="1">
      <c r="A9762" t="inlineStr">
        <is>
          <t>A 11089-2023</t>
        </is>
      </c>
      <c r="B9762" s="1" t="n">
        <v>44986</v>
      </c>
      <c r="C9762" s="1" t="n">
        <v>45212</v>
      </c>
      <c r="D9762" t="inlineStr">
        <is>
          <t>VÄSTRA GÖTALANDS LÄN</t>
        </is>
      </c>
      <c r="E9762" t="inlineStr">
        <is>
          <t>MARIESTAD</t>
        </is>
      </c>
      <c r="G9762" t="n">
        <v>1.1</v>
      </c>
      <c r="H9762" t="n">
        <v>0</v>
      </c>
      <c r="I9762" t="n">
        <v>0</v>
      </c>
      <c r="J9762" t="n">
        <v>0</v>
      </c>
      <c r="K9762" t="n">
        <v>0</v>
      </c>
      <c r="L9762" t="n">
        <v>0</v>
      </c>
      <c r="M9762" t="n">
        <v>0</v>
      </c>
      <c r="N9762" t="n">
        <v>0</v>
      </c>
      <c r="O9762" t="n">
        <v>0</v>
      </c>
      <c r="P9762" t="n">
        <v>0</v>
      </c>
      <c r="Q9762" t="n">
        <v>0</v>
      </c>
      <c r="R9762" s="2" t="inlineStr"/>
    </row>
    <row r="9763" ht="15" customHeight="1">
      <c r="A9763" t="inlineStr">
        <is>
          <t>A 10114-2023</t>
        </is>
      </c>
      <c r="B9763" s="1" t="n">
        <v>44986</v>
      </c>
      <c r="C9763" s="1" t="n">
        <v>45212</v>
      </c>
      <c r="D9763" t="inlineStr">
        <is>
          <t>VÄSTRA GÖTALANDS LÄN</t>
        </is>
      </c>
      <c r="E9763" t="inlineStr">
        <is>
          <t>LYSEKIL</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10185-2023</t>
        </is>
      </c>
      <c r="B9764" s="1" t="n">
        <v>44986</v>
      </c>
      <c r="C9764" s="1" t="n">
        <v>45212</v>
      </c>
      <c r="D9764" t="inlineStr">
        <is>
          <t>VÄSTRA GÖTALANDS LÄN</t>
        </is>
      </c>
      <c r="E9764" t="inlineStr">
        <is>
          <t>TÖREBODA</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10283-2023</t>
        </is>
      </c>
      <c r="B9765" s="1" t="n">
        <v>44986</v>
      </c>
      <c r="C9765" s="1" t="n">
        <v>45212</v>
      </c>
      <c r="D9765" t="inlineStr">
        <is>
          <t>VÄSTRA GÖTALANDS LÄN</t>
        </is>
      </c>
      <c r="E9765" t="inlineStr">
        <is>
          <t>DALS-ED</t>
        </is>
      </c>
      <c r="G9765" t="n">
        <v>8.1</v>
      </c>
      <c r="H9765" t="n">
        <v>0</v>
      </c>
      <c r="I9765" t="n">
        <v>0</v>
      </c>
      <c r="J9765" t="n">
        <v>0</v>
      </c>
      <c r="K9765" t="n">
        <v>0</v>
      </c>
      <c r="L9765" t="n">
        <v>0</v>
      </c>
      <c r="M9765" t="n">
        <v>0</v>
      </c>
      <c r="N9765" t="n">
        <v>0</v>
      </c>
      <c r="O9765" t="n">
        <v>0</v>
      </c>
      <c r="P9765" t="n">
        <v>0</v>
      </c>
      <c r="Q9765" t="n">
        <v>0</v>
      </c>
      <c r="R9765" s="2" t="inlineStr"/>
    </row>
    <row r="9766" ht="15" customHeight="1">
      <c r="A9766" t="inlineStr">
        <is>
          <t>A 10453-2023</t>
        </is>
      </c>
      <c r="B9766" s="1" t="n">
        <v>44987</v>
      </c>
      <c r="C9766" s="1" t="n">
        <v>45212</v>
      </c>
      <c r="D9766" t="inlineStr">
        <is>
          <t>VÄSTRA GÖTALANDS LÄN</t>
        </is>
      </c>
      <c r="E9766" t="inlineStr">
        <is>
          <t>MELLERUD</t>
        </is>
      </c>
      <c r="G9766" t="n">
        <v>6.9</v>
      </c>
      <c r="H9766" t="n">
        <v>0</v>
      </c>
      <c r="I9766" t="n">
        <v>0</v>
      </c>
      <c r="J9766" t="n">
        <v>0</v>
      </c>
      <c r="K9766" t="n">
        <v>0</v>
      </c>
      <c r="L9766" t="n">
        <v>0</v>
      </c>
      <c r="M9766" t="n">
        <v>0</v>
      </c>
      <c r="N9766" t="n">
        <v>0</v>
      </c>
      <c r="O9766" t="n">
        <v>0</v>
      </c>
      <c r="P9766" t="n">
        <v>0</v>
      </c>
      <c r="Q9766" t="n">
        <v>0</v>
      </c>
      <c r="R9766" s="2" t="inlineStr"/>
    </row>
    <row r="9767" ht="15" customHeight="1">
      <c r="A9767" t="inlineStr">
        <is>
          <t>A 10516-2023</t>
        </is>
      </c>
      <c r="B9767" s="1" t="n">
        <v>44987</v>
      </c>
      <c r="C9767" s="1" t="n">
        <v>45212</v>
      </c>
      <c r="D9767" t="inlineStr">
        <is>
          <t>VÄSTRA GÖTALANDS LÄN</t>
        </is>
      </c>
      <c r="E9767" t="inlineStr">
        <is>
          <t>SVENLJUNGA</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10457-2023</t>
        </is>
      </c>
      <c r="B9768" s="1" t="n">
        <v>44987</v>
      </c>
      <c r="C9768" s="1" t="n">
        <v>45212</v>
      </c>
      <c r="D9768" t="inlineStr">
        <is>
          <t>VÄSTRA GÖTALANDS LÄN</t>
        </is>
      </c>
      <c r="E9768" t="inlineStr">
        <is>
          <t>STRÖMSTAD</t>
        </is>
      </c>
      <c r="G9768" t="n">
        <v>6.6</v>
      </c>
      <c r="H9768" t="n">
        <v>0</v>
      </c>
      <c r="I9768" t="n">
        <v>0</v>
      </c>
      <c r="J9768" t="n">
        <v>0</v>
      </c>
      <c r="K9768" t="n">
        <v>0</v>
      </c>
      <c r="L9768" t="n">
        <v>0</v>
      </c>
      <c r="M9768" t="n">
        <v>0</v>
      </c>
      <c r="N9768" t="n">
        <v>0</v>
      </c>
      <c r="O9768" t="n">
        <v>0</v>
      </c>
      <c r="P9768" t="n">
        <v>0</v>
      </c>
      <c r="Q9768" t="n">
        <v>0</v>
      </c>
      <c r="R9768" s="2" t="inlineStr"/>
    </row>
    <row r="9769" ht="15" customHeight="1">
      <c r="A9769" t="inlineStr">
        <is>
          <t>A 10466-2023</t>
        </is>
      </c>
      <c r="B9769" s="1" t="n">
        <v>44987</v>
      </c>
      <c r="C9769" s="1" t="n">
        <v>45212</v>
      </c>
      <c r="D9769" t="inlineStr">
        <is>
          <t>VÄSTRA GÖTALANDS LÄN</t>
        </is>
      </c>
      <c r="E9769" t="inlineStr">
        <is>
          <t>MARK</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11159-2023</t>
        </is>
      </c>
      <c r="B9770" s="1" t="n">
        <v>44987</v>
      </c>
      <c r="C9770" s="1" t="n">
        <v>45212</v>
      </c>
      <c r="D9770" t="inlineStr">
        <is>
          <t>VÄSTRA GÖTALANDS LÄN</t>
        </is>
      </c>
      <c r="E9770" t="inlineStr">
        <is>
          <t>TÖREBODA</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10437-2023</t>
        </is>
      </c>
      <c r="B9771" s="1" t="n">
        <v>44987</v>
      </c>
      <c r="C9771" s="1" t="n">
        <v>45212</v>
      </c>
      <c r="D9771" t="inlineStr">
        <is>
          <t>VÄSTRA GÖTALANDS LÄN</t>
        </is>
      </c>
      <c r="E9771" t="inlineStr">
        <is>
          <t>DALS-ED</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10469-2023</t>
        </is>
      </c>
      <c r="B9772" s="1" t="n">
        <v>44987</v>
      </c>
      <c r="C9772" s="1" t="n">
        <v>45212</v>
      </c>
      <c r="D9772" t="inlineStr">
        <is>
          <t>VÄSTRA GÖTALANDS LÄN</t>
        </is>
      </c>
      <c r="E9772" t="inlineStr">
        <is>
          <t>MARK</t>
        </is>
      </c>
      <c r="G9772" t="n">
        <v>0.9</v>
      </c>
      <c r="H9772" t="n">
        <v>0</v>
      </c>
      <c r="I9772" t="n">
        <v>0</v>
      </c>
      <c r="J9772" t="n">
        <v>0</v>
      </c>
      <c r="K9772" t="n">
        <v>0</v>
      </c>
      <c r="L9772" t="n">
        <v>0</v>
      </c>
      <c r="M9772" t="n">
        <v>0</v>
      </c>
      <c r="N9772" t="n">
        <v>0</v>
      </c>
      <c r="O9772" t="n">
        <v>0</v>
      </c>
      <c r="P9772" t="n">
        <v>0</v>
      </c>
      <c r="Q9772" t="n">
        <v>0</v>
      </c>
      <c r="R9772" s="2" t="inlineStr"/>
    </row>
    <row r="9773" ht="15" customHeight="1">
      <c r="A9773" t="inlineStr">
        <is>
          <t>A 10476-2023</t>
        </is>
      </c>
      <c r="B9773" s="1" t="n">
        <v>44987</v>
      </c>
      <c r="C9773" s="1" t="n">
        <v>45212</v>
      </c>
      <c r="D9773" t="inlineStr">
        <is>
          <t>VÄSTRA GÖTALANDS LÄN</t>
        </is>
      </c>
      <c r="E9773" t="inlineStr">
        <is>
          <t>LIDKÖPING</t>
        </is>
      </c>
      <c r="G9773" t="n">
        <v>2.2</v>
      </c>
      <c r="H9773" t="n">
        <v>0</v>
      </c>
      <c r="I9773" t="n">
        <v>0</v>
      </c>
      <c r="J9773" t="n">
        <v>0</v>
      </c>
      <c r="K9773" t="n">
        <v>0</v>
      </c>
      <c r="L9773" t="n">
        <v>0</v>
      </c>
      <c r="M9773" t="n">
        <v>0</v>
      </c>
      <c r="N9773" t="n">
        <v>0</v>
      </c>
      <c r="O9773" t="n">
        <v>0</v>
      </c>
      <c r="P9773" t="n">
        <v>0</v>
      </c>
      <c r="Q9773" t="n">
        <v>0</v>
      </c>
      <c r="R9773" s="2" t="inlineStr"/>
    </row>
    <row r="9774" ht="15" customHeight="1">
      <c r="A9774" t="inlineStr">
        <is>
          <t>A 10629-2023</t>
        </is>
      </c>
      <c r="B9774" s="1" t="n">
        <v>44988</v>
      </c>
      <c r="C9774" s="1" t="n">
        <v>45212</v>
      </c>
      <c r="D9774" t="inlineStr">
        <is>
          <t>VÄSTRA GÖTALANDS LÄN</t>
        </is>
      </c>
      <c r="E9774" t="inlineStr">
        <is>
          <t>BENGTSFORS</t>
        </is>
      </c>
      <c r="G9774" t="n">
        <v>3.6</v>
      </c>
      <c r="H9774" t="n">
        <v>0</v>
      </c>
      <c r="I9774" t="n">
        <v>0</v>
      </c>
      <c r="J9774" t="n">
        <v>0</v>
      </c>
      <c r="K9774" t="n">
        <v>0</v>
      </c>
      <c r="L9774" t="n">
        <v>0</v>
      </c>
      <c r="M9774" t="n">
        <v>0</v>
      </c>
      <c r="N9774" t="n">
        <v>0</v>
      </c>
      <c r="O9774" t="n">
        <v>0</v>
      </c>
      <c r="P9774" t="n">
        <v>0</v>
      </c>
      <c r="Q9774" t="n">
        <v>0</v>
      </c>
      <c r="R9774" s="2" t="inlineStr"/>
    </row>
    <row r="9775" ht="15" customHeight="1">
      <c r="A9775" t="inlineStr">
        <is>
          <t>A 10671-2023</t>
        </is>
      </c>
      <c r="B9775" s="1" t="n">
        <v>44988</v>
      </c>
      <c r="C9775" s="1" t="n">
        <v>45212</v>
      </c>
      <c r="D9775" t="inlineStr">
        <is>
          <t>VÄSTRA GÖTALANDS LÄN</t>
        </is>
      </c>
      <c r="E9775" t="inlineStr">
        <is>
          <t>SVENLJUNGA</t>
        </is>
      </c>
      <c r="G9775" t="n">
        <v>6.3</v>
      </c>
      <c r="H9775" t="n">
        <v>0</v>
      </c>
      <c r="I9775" t="n">
        <v>0</v>
      </c>
      <c r="J9775" t="n">
        <v>0</v>
      </c>
      <c r="K9775" t="n">
        <v>0</v>
      </c>
      <c r="L9775" t="n">
        <v>0</v>
      </c>
      <c r="M9775" t="n">
        <v>0</v>
      </c>
      <c r="N9775" t="n">
        <v>0</v>
      </c>
      <c r="O9775" t="n">
        <v>0</v>
      </c>
      <c r="P9775" t="n">
        <v>0</v>
      </c>
      <c r="Q9775" t="n">
        <v>0</v>
      </c>
      <c r="R9775" s="2" t="inlineStr"/>
    </row>
    <row r="9776" ht="15" customHeight="1">
      <c r="A9776" t="inlineStr">
        <is>
          <t>A 10562-2023</t>
        </is>
      </c>
      <c r="B9776" s="1" t="n">
        <v>44988</v>
      </c>
      <c r="C9776" s="1" t="n">
        <v>45212</v>
      </c>
      <c r="D9776" t="inlineStr">
        <is>
          <t>VÄSTRA GÖTALANDS LÄN</t>
        </is>
      </c>
      <c r="E9776" t="inlineStr">
        <is>
          <t>BORÅS</t>
        </is>
      </c>
      <c r="G9776" t="n">
        <v>5.1</v>
      </c>
      <c r="H9776" t="n">
        <v>0</v>
      </c>
      <c r="I9776" t="n">
        <v>0</v>
      </c>
      <c r="J9776" t="n">
        <v>0</v>
      </c>
      <c r="K9776" t="n">
        <v>0</v>
      </c>
      <c r="L9776" t="n">
        <v>0</v>
      </c>
      <c r="M9776" t="n">
        <v>0</v>
      </c>
      <c r="N9776" t="n">
        <v>0</v>
      </c>
      <c r="O9776" t="n">
        <v>0</v>
      </c>
      <c r="P9776" t="n">
        <v>0</v>
      </c>
      <c r="Q9776" t="n">
        <v>0</v>
      </c>
      <c r="R9776" s="2" t="inlineStr"/>
    </row>
    <row r="9777" ht="15" customHeight="1">
      <c r="A9777" t="inlineStr">
        <is>
          <t>A 10864-2023</t>
        </is>
      </c>
      <c r="B9777" s="1" t="n">
        <v>44991</v>
      </c>
      <c r="C9777" s="1" t="n">
        <v>45212</v>
      </c>
      <c r="D9777" t="inlineStr">
        <is>
          <t>VÄSTRA GÖTALANDS LÄN</t>
        </is>
      </c>
      <c r="E9777" t="inlineStr">
        <is>
          <t>TIDAHOLM</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10836-2023</t>
        </is>
      </c>
      <c r="B9778" s="1" t="n">
        <v>44991</v>
      </c>
      <c r="C9778" s="1" t="n">
        <v>45212</v>
      </c>
      <c r="D9778" t="inlineStr">
        <is>
          <t>VÄSTRA GÖTALANDS LÄN</t>
        </is>
      </c>
      <c r="E9778" t="inlineStr">
        <is>
          <t>TIBRO</t>
        </is>
      </c>
      <c r="G9778" t="n">
        <v>2.6</v>
      </c>
      <c r="H9778" t="n">
        <v>0</v>
      </c>
      <c r="I9778" t="n">
        <v>0</v>
      </c>
      <c r="J9778" t="n">
        <v>0</v>
      </c>
      <c r="K9778" t="n">
        <v>0</v>
      </c>
      <c r="L9778" t="n">
        <v>0</v>
      </c>
      <c r="M9778" t="n">
        <v>0</v>
      </c>
      <c r="N9778" t="n">
        <v>0</v>
      </c>
      <c r="O9778" t="n">
        <v>0</v>
      </c>
      <c r="P9778" t="n">
        <v>0</v>
      </c>
      <c r="Q9778" t="n">
        <v>0</v>
      </c>
      <c r="R9778" s="2" t="inlineStr"/>
    </row>
    <row r="9779" ht="15" customHeight="1">
      <c r="A9779" t="inlineStr">
        <is>
          <t>A 10848-2023</t>
        </is>
      </c>
      <c r="B9779" s="1" t="n">
        <v>44991</v>
      </c>
      <c r="C9779" s="1" t="n">
        <v>45212</v>
      </c>
      <c r="D9779" t="inlineStr">
        <is>
          <t>VÄSTRA GÖTALANDS LÄN</t>
        </is>
      </c>
      <c r="E9779" t="inlineStr">
        <is>
          <t>ALINGSÅS</t>
        </is>
      </c>
      <c r="G9779" t="n">
        <v>1.3</v>
      </c>
      <c r="H9779" t="n">
        <v>0</v>
      </c>
      <c r="I9779" t="n">
        <v>0</v>
      </c>
      <c r="J9779" t="n">
        <v>0</v>
      </c>
      <c r="K9779" t="n">
        <v>0</v>
      </c>
      <c r="L9779" t="n">
        <v>0</v>
      </c>
      <c r="M9779" t="n">
        <v>0</v>
      </c>
      <c r="N9779" t="n">
        <v>0</v>
      </c>
      <c r="O9779" t="n">
        <v>0</v>
      </c>
      <c r="P9779" t="n">
        <v>0</v>
      </c>
      <c r="Q9779" t="n">
        <v>0</v>
      </c>
      <c r="R9779" s="2" t="inlineStr"/>
    </row>
    <row r="9780" ht="15" customHeight="1">
      <c r="A9780" t="inlineStr">
        <is>
          <t>A 11171-2023</t>
        </is>
      </c>
      <c r="B9780" s="1" t="n">
        <v>44992</v>
      </c>
      <c r="C9780" s="1" t="n">
        <v>45212</v>
      </c>
      <c r="D9780" t="inlineStr">
        <is>
          <t>VÄSTRA GÖTALANDS LÄN</t>
        </is>
      </c>
      <c r="E9780" t="inlineStr">
        <is>
          <t>TROLLHÄTTAN</t>
        </is>
      </c>
      <c r="G9780" t="n">
        <v>1.7</v>
      </c>
      <c r="H9780" t="n">
        <v>0</v>
      </c>
      <c r="I9780" t="n">
        <v>0</v>
      </c>
      <c r="J9780" t="n">
        <v>0</v>
      </c>
      <c r="K9780" t="n">
        <v>0</v>
      </c>
      <c r="L9780" t="n">
        <v>0</v>
      </c>
      <c r="M9780" t="n">
        <v>0</v>
      </c>
      <c r="N9780" t="n">
        <v>0</v>
      </c>
      <c r="O9780" t="n">
        <v>0</v>
      </c>
      <c r="P9780" t="n">
        <v>0</v>
      </c>
      <c r="Q9780" t="n">
        <v>0</v>
      </c>
      <c r="R9780" s="2" t="inlineStr"/>
    </row>
    <row r="9781" ht="15" customHeight="1">
      <c r="A9781" t="inlineStr">
        <is>
          <t>A 11209-2023</t>
        </is>
      </c>
      <c r="B9781" s="1" t="n">
        <v>44992</v>
      </c>
      <c r="C9781" s="1" t="n">
        <v>45212</v>
      </c>
      <c r="D9781" t="inlineStr">
        <is>
          <t>VÄSTRA GÖTALANDS LÄN</t>
        </is>
      </c>
      <c r="E9781" t="inlineStr">
        <is>
          <t>VÅRGÅRDA</t>
        </is>
      </c>
      <c r="G9781" t="n">
        <v>1</v>
      </c>
      <c r="H9781" t="n">
        <v>0</v>
      </c>
      <c r="I9781" t="n">
        <v>0</v>
      </c>
      <c r="J9781" t="n">
        <v>0</v>
      </c>
      <c r="K9781" t="n">
        <v>0</v>
      </c>
      <c r="L9781" t="n">
        <v>0</v>
      </c>
      <c r="M9781" t="n">
        <v>0</v>
      </c>
      <c r="N9781" t="n">
        <v>0</v>
      </c>
      <c r="O9781" t="n">
        <v>0</v>
      </c>
      <c r="P9781" t="n">
        <v>0</v>
      </c>
      <c r="Q9781" t="n">
        <v>0</v>
      </c>
      <c r="R9781" s="2" t="inlineStr"/>
    </row>
    <row r="9782" ht="15" customHeight="1">
      <c r="A9782" t="inlineStr">
        <is>
          <t>A 11158-2023</t>
        </is>
      </c>
      <c r="B9782" s="1" t="n">
        <v>44992</v>
      </c>
      <c r="C9782" s="1" t="n">
        <v>45212</v>
      </c>
      <c r="D9782" t="inlineStr">
        <is>
          <t>VÄSTRA GÖTALANDS LÄN</t>
        </is>
      </c>
      <c r="E9782" t="inlineStr">
        <is>
          <t>BORÅS</t>
        </is>
      </c>
      <c r="G9782" t="n">
        <v>1.6</v>
      </c>
      <c r="H9782" t="n">
        <v>0</v>
      </c>
      <c r="I9782" t="n">
        <v>0</v>
      </c>
      <c r="J9782" t="n">
        <v>0</v>
      </c>
      <c r="K9782" t="n">
        <v>0</v>
      </c>
      <c r="L9782" t="n">
        <v>0</v>
      </c>
      <c r="M9782" t="n">
        <v>0</v>
      </c>
      <c r="N9782" t="n">
        <v>0</v>
      </c>
      <c r="O9782" t="n">
        <v>0</v>
      </c>
      <c r="P9782" t="n">
        <v>0</v>
      </c>
      <c r="Q9782" t="n">
        <v>0</v>
      </c>
      <c r="R9782" s="2" t="inlineStr"/>
    </row>
    <row r="9783" ht="15" customHeight="1">
      <c r="A9783" t="inlineStr">
        <is>
          <t>A 11252-2023</t>
        </is>
      </c>
      <c r="B9783" s="1" t="n">
        <v>44992</v>
      </c>
      <c r="C9783" s="1" t="n">
        <v>45212</v>
      </c>
      <c r="D9783" t="inlineStr">
        <is>
          <t>VÄSTRA GÖTALANDS LÄN</t>
        </is>
      </c>
      <c r="E9783" t="inlineStr">
        <is>
          <t>VÅRGÅRDA</t>
        </is>
      </c>
      <c r="G9783" t="n">
        <v>2.9</v>
      </c>
      <c r="H9783" t="n">
        <v>0</v>
      </c>
      <c r="I9783" t="n">
        <v>0</v>
      </c>
      <c r="J9783" t="n">
        <v>0</v>
      </c>
      <c r="K9783" t="n">
        <v>0</v>
      </c>
      <c r="L9783" t="n">
        <v>0</v>
      </c>
      <c r="M9783" t="n">
        <v>0</v>
      </c>
      <c r="N9783" t="n">
        <v>0</v>
      </c>
      <c r="O9783" t="n">
        <v>0</v>
      </c>
      <c r="P9783" t="n">
        <v>0</v>
      </c>
      <c r="Q9783" t="n">
        <v>0</v>
      </c>
      <c r="R9783" s="2" t="inlineStr"/>
    </row>
    <row r="9784" ht="15" customHeight="1">
      <c r="A9784" t="inlineStr">
        <is>
          <t>A 11227-2023</t>
        </is>
      </c>
      <c r="B9784" s="1" t="n">
        <v>44992</v>
      </c>
      <c r="C9784" s="1" t="n">
        <v>45212</v>
      </c>
      <c r="D9784" t="inlineStr">
        <is>
          <t>VÄSTRA GÖTALANDS LÄN</t>
        </is>
      </c>
      <c r="E9784" t="inlineStr">
        <is>
          <t>VÄNERSBORG</t>
        </is>
      </c>
      <c r="G9784" t="n">
        <v>1.3</v>
      </c>
      <c r="H9784" t="n">
        <v>0</v>
      </c>
      <c r="I9784" t="n">
        <v>0</v>
      </c>
      <c r="J9784" t="n">
        <v>0</v>
      </c>
      <c r="K9784" t="n">
        <v>0</v>
      </c>
      <c r="L9784" t="n">
        <v>0</v>
      </c>
      <c r="M9784" t="n">
        <v>0</v>
      </c>
      <c r="N9784" t="n">
        <v>0</v>
      </c>
      <c r="O9784" t="n">
        <v>0</v>
      </c>
      <c r="P9784" t="n">
        <v>0</v>
      </c>
      <c r="Q9784" t="n">
        <v>0</v>
      </c>
      <c r="R9784" s="2" t="inlineStr"/>
    </row>
    <row r="9785" ht="15" customHeight="1">
      <c r="A9785" t="inlineStr">
        <is>
          <t>A 11278-2023</t>
        </is>
      </c>
      <c r="B9785" s="1" t="n">
        <v>44992</v>
      </c>
      <c r="C9785" s="1" t="n">
        <v>45212</v>
      </c>
      <c r="D9785" t="inlineStr">
        <is>
          <t>VÄSTRA GÖTALANDS LÄN</t>
        </is>
      </c>
      <c r="E9785" t="inlineStr">
        <is>
          <t>FÄRGELANDA</t>
        </is>
      </c>
      <c r="G9785" t="n">
        <v>5.2</v>
      </c>
      <c r="H9785" t="n">
        <v>0</v>
      </c>
      <c r="I9785" t="n">
        <v>0</v>
      </c>
      <c r="J9785" t="n">
        <v>0</v>
      </c>
      <c r="K9785" t="n">
        <v>0</v>
      </c>
      <c r="L9785" t="n">
        <v>0</v>
      </c>
      <c r="M9785" t="n">
        <v>0</v>
      </c>
      <c r="N9785" t="n">
        <v>0</v>
      </c>
      <c r="O9785" t="n">
        <v>0</v>
      </c>
      <c r="P9785" t="n">
        <v>0</v>
      </c>
      <c r="Q9785" t="n">
        <v>0</v>
      </c>
      <c r="R9785" s="2" t="inlineStr"/>
    </row>
    <row r="9786" ht="15" customHeight="1">
      <c r="A9786" t="inlineStr">
        <is>
          <t>A 11720-2023</t>
        </is>
      </c>
      <c r="B9786" s="1" t="n">
        <v>44992</v>
      </c>
      <c r="C9786" s="1" t="n">
        <v>45212</v>
      </c>
      <c r="D9786" t="inlineStr">
        <is>
          <t>VÄSTRA GÖTALANDS LÄN</t>
        </is>
      </c>
      <c r="E9786" t="inlineStr">
        <is>
          <t>UDDEVALLA</t>
        </is>
      </c>
      <c r="G9786" t="n">
        <v>0.4</v>
      </c>
      <c r="H9786" t="n">
        <v>0</v>
      </c>
      <c r="I9786" t="n">
        <v>0</v>
      </c>
      <c r="J9786" t="n">
        <v>0</v>
      </c>
      <c r="K9786" t="n">
        <v>0</v>
      </c>
      <c r="L9786" t="n">
        <v>0</v>
      </c>
      <c r="M9786" t="n">
        <v>0</v>
      </c>
      <c r="N9786" t="n">
        <v>0</v>
      </c>
      <c r="O9786" t="n">
        <v>0</v>
      </c>
      <c r="P9786" t="n">
        <v>0</v>
      </c>
      <c r="Q9786" t="n">
        <v>0</v>
      </c>
      <c r="R9786" s="2" t="inlineStr"/>
    </row>
    <row r="9787" ht="15" customHeight="1">
      <c r="A9787" t="inlineStr">
        <is>
          <t>A 11230-2023</t>
        </is>
      </c>
      <c r="B9787" s="1" t="n">
        <v>44992</v>
      </c>
      <c r="C9787" s="1" t="n">
        <v>45212</v>
      </c>
      <c r="D9787" t="inlineStr">
        <is>
          <t>VÄSTRA GÖTALANDS LÄN</t>
        </is>
      </c>
      <c r="E9787" t="inlineStr">
        <is>
          <t>VÄNERSBORG</t>
        </is>
      </c>
      <c r="G9787" t="n">
        <v>2.3</v>
      </c>
      <c r="H9787" t="n">
        <v>0</v>
      </c>
      <c r="I9787" t="n">
        <v>0</v>
      </c>
      <c r="J9787" t="n">
        <v>0</v>
      </c>
      <c r="K9787" t="n">
        <v>0</v>
      </c>
      <c r="L9787" t="n">
        <v>0</v>
      </c>
      <c r="M9787" t="n">
        <v>0</v>
      </c>
      <c r="N9787" t="n">
        <v>0</v>
      </c>
      <c r="O9787" t="n">
        <v>0</v>
      </c>
      <c r="P9787" t="n">
        <v>0</v>
      </c>
      <c r="Q9787" t="n">
        <v>0</v>
      </c>
      <c r="R9787" s="2" t="inlineStr"/>
    </row>
    <row r="9788" ht="15" customHeight="1">
      <c r="A9788" t="inlineStr">
        <is>
          <t>A 11239-2023</t>
        </is>
      </c>
      <c r="B9788" s="1" t="n">
        <v>44992</v>
      </c>
      <c r="C9788" s="1" t="n">
        <v>45212</v>
      </c>
      <c r="D9788" t="inlineStr">
        <is>
          <t>VÄSTRA GÖTALANDS LÄN</t>
        </is>
      </c>
      <c r="E9788" t="inlineStr">
        <is>
          <t>BOLLEBYGD</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11247-2023</t>
        </is>
      </c>
      <c r="B9789" s="1" t="n">
        <v>44992</v>
      </c>
      <c r="C9789" s="1" t="n">
        <v>45212</v>
      </c>
      <c r="D9789" t="inlineStr">
        <is>
          <t>VÄSTRA GÖTALANDS LÄN</t>
        </is>
      </c>
      <c r="E9789" t="inlineStr">
        <is>
          <t>ESSUNGA</t>
        </is>
      </c>
      <c r="G9789" t="n">
        <v>19.7</v>
      </c>
      <c r="H9789" t="n">
        <v>0</v>
      </c>
      <c r="I9789" t="n">
        <v>0</v>
      </c>
      <c r="J9789" t="n">
        <v>0</v>
      </c>
      <c r="K9789" t="n">
        <v>0</v>
      </c>
      <c r="L9789" t="n">
        <v>0</v>
      </c>
      <c r="M9789" t="n">
        <v>0</v>
      </c>
      <c r="N9789" t="n">
        <v>0</v>
      </c>
      <c r="O9789" t="n">
        <v>0</v>
      </c>
      <c r="P9789" t="n">
        <v>0</v>
      </c>
      <c r="Q9789" t="n">
        <v>0</v>
      </c>
      <c r="R9789" s="2" t="inlineStr"/>
    </row>
    <row r="9790" ht="15" customHeight="1">
      <c r="A9790" t="inlineStr">
        <is>
          <t>A 11415-2023</t>
        </is>
      </c>
      <c r="B9790" s="1" t="n">
        <v>44993</v>
      </c>
      <c r="C9790" s="1" t="n">
        <v>45212</v>
      </c>
      <c r="D9790" t="inlineStr">
        <is>
          <t>VÄSTRA GÖTALANDS LÄN</t>
        </is>
      </c>
      <c r="E9790" t="inlineStr">
        <is>
          <t>MARIESTAD</t>
        </is>
      </c>
      <c r="F9790" t="inlineStr">
        <is>
          <t>Sveaskog</t>
        </is>
      </c>
      <c r="G9790" t="n">
        <v>2.6</v>
      </c>
      <c r="H9790" t="n">
        <v>0</v>
      </c>
      <c r="I9790" t="n">
        <v>0</v>
      </c>
      <c r="J9790" t="n">
        <v>0</v>
      </c>
      <c r="K9790" t="n">
        <v>0</v>
      </c>
      <c r="L9790" t="n">
        <v>0</v>
      </c>
      <c r="M9790" t="n">
        <v>0</v>
      </c>
      <c r="N9790" t="n">
        <v>0</v>
      </c>
      <c r="O9790" t="n">
        <v>0</v>
      </c>
      <c r="P9790" t="n">
        <v>0</v>
      </c>
      <c r="Q9790" t="n">
        <v>0</v>
      </c>
      <c r="R9790" s="2" t="inlineStr"/>
    </row>
    <row r="9791" ht="15" customHeight="1">
      <c r="A9791" t="inlineStr">
        <is>
          <t>A 11530-2023</t>
        </is>
      </c>
      <c r="B9791" s="1" t="n">
        <v>44993</v>
      </c>
      <c r="C9791" s="1" t="n">
        <v>45212</v>
      </c>
      <c r="D9791" t="inlineStr">
        <is>
          <t>VÄSTRA GÖTALANDS LÄN</t>
        </is>
      </c>
      <c r="E9791" t="inlineStr">
        <is>
          <t>BORÅS</t>
        </is>
      </c>
      <c r="G9791" t="n">
        <v>0.8</v>
      </c>
      <c r="H9791" t="n">
        <v>0</v>
      </c>
      <c r="I9791" t="n">
        <v>0</v>
      </c>
      <c r="J9791" t="n">
        <v>0</v>
      </c>
      <c r="K9791" t="n">
        <v>0</v>
      </c>
      <c r="L9791" t="n">
        <v>0</v>
      </c>
      <c r="M9791" t="n">
        <v>0</v>
      </c>
      <c r="N9791" t="n">
        <v>0</v>
      </c>
      <c r="O9791" t="n">
        <v>0</v>
      </c>
      <c r="P9791" t="n">
        <v>0</v>
      </c>
      <c r="Q9791" t="n">
        <v>0</v>
      </c>
      <c r="R9791" s="2" t="inlineStr"/>
    </row>
    <row r="9792" ht="15" customHeight="1">
      <c r="A9792" t="inlineStr">
        <is>
          <t>A 11413-2023</t>
        </is>
      </c>
      <c r="B9792" s="1" t="n">
        <v>44993</v>
      </c>
      <c r="C9792" s="1" t="n">
        <v>45212</v>
      </c>
      <c r="D9792" t="inlineStr">
        <is>
          <t>VÄSTRA GÖTALANDS LÄN</t>
        </is>
      </c>
      <c r="E9792" t="inlineStr">
        <is>
          <t>MARIESTAD</t>
        </is>
      </c>
      <c r="F9792" t="inlineStr">
        <is>
          <t>Sveaskog</t>
        </is>
      </c>
      <c r="G9792" t="n">
        <v>1.8</v>
      </c>
      <c r="H9792" t="n">
        <v>0</v>
      </c>
      <c r="I9792" t="n">
        <v>0</v>
      </c>
      <c r="J9792" t="n">
        <v>0</v>
      </c>
      <c r="K9792" t="n">
        <v>0</v>
      </c>
      <c r="L9792" t="n">
        <v>0</v>
      </c>
      <c r="M9792" t="n">
        <v>0</v>
      </c>
      <c r="N9792" t="n">
        <v>0</v>
      </c>
      <c r="O9792" t="n">
        <v>0</v>
      </c>
      <c r="P9792" t="n">
        <v>0</v>
      </c>
      <c r="Q9792" t="n">
        <v>0</v>
      </c>
      <c r="R9792" s="2" t="inlineStr"/>
    </row>
    <row r="9793" ht="15" customHeight="1">
      <c r="A9793" t="inlineStr">
        <is>
          <t>A 11770-2023</t>
        </is>
      </c>
      <c r="B9793" s="1" t="n">
        <v>44993</v>
      </c>
      <c r="C9793" s="1" t="n">
        <v>45212</v>
      </c>
      <c r="D9793" t="inlineStr">
        <is>
          <t>VÄSTRA GÖTALANDS LÄN</t>
        </is>
      </c>
      <c r="E9793" t="inlineStr">
        <is>
          <t>UDDEVALLA</t>
        </is>
      </c>
      <c r="F9793" t="inlineStr">
        <is>
          <t>Kyrkan</t>
        </is>
      </c>
      <c r="G9793" t="n">
        <v>3.2</v>
      </c>
      <c r="H9793" t="n">
        <v>0</v>
      </c>
      <c r="I9793" t="n">
        <v>0</v>
      </c>
      <c r="J9793" t="n">
        <v>0</v>
      </c>
      <c r="K9793" t="n">
        <v>0</v>
      </c>
      <c r="L9793" t="n">
        <v>0</v>
      </c>
      <c r="M9793" t="n">
        <v>0</v>
      </c>
      <c r="N9793" t="n">
        <v>0</v>
      </c>
      <c r="O9793" t="n">
        <v>0</v>
      </c>
      <c r="P9793" t="n">
        <v>0</v>
      </c>
      <c r="Q9793" t="n">
        <v>0</v>
      </c>
      <c r="R9793" s="2" t="inlineStr"/>
    </row>
    <row r="9794" ht="15" customHeight="1">
      <c r="A9794" t="inlineStr">
        <is>
          <t>A 11412-2023</t>
        </is>
      </c>
      <c r="B9794" s="1" t="n">
        <v>44993</v>
      </c>
      <c r="C9794" s="1" t="n">
        <v>45212</v>
      </c>
      <c r="D9794" t="inlineStr">
        <is>
          <t>VÄSTRA GÖTALANDS LÄN</t>
        </is>
      </c>
      <c r="E9794" t="inlineStr">
        <is>
          <t>DALS-ED</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11525-2023</t>
        </is>
      </c>
      <c r="B9795" s="1" t="n">
        <v>44993</v>
      </c>
      <c r="C9795" s="1" t="n">
        <v>45212</v>
      </c>
      <c r="D9795" t="inlineStr">
        <is>
          <t>VÄSTRA GÖTALANDS LÄN</t>
        </is>
      </c>
      <c r="E9795" t="inlineStr">
        <is>
          <t>MUNKEDAL</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11796-2023</t>
        </is>
      </c>
      <c r="B9796" s="1" t="n">
        <v>44993</v>
      </c>
      <c r="C9796" s="1" t="n">
        <v>45212</v>
      </c>
      <c r="D9796" t="inlineStr">
        <is>
          <t>VÄSTRA GÖTALANDS LÄN</t>
        </is>
      </c>
      <c r="E9796" t="inlineStr">
        <is>
          <t>FÄRGELANDA</t>
        </is>
      </c>
      <c r="F9796" t="inlineStr">
        <is>
          <t>Övriga Aktiebolag</t>
        </is>
      </c>
      <c r="G9796" t="n">
        <v>5.4</v>
      </c>
      <c r="H9796" t="n">
        <v>0</v>
      </c>
      <c r="I9796" t="n">
        <v>0</v>
      </c>
      <c r="J9796" t="n">
        <v>0</v>
      </c>
      <c r="K9796" t="n">
        <v>0</v>
      </c>
      <c r="L9796" t="n">
        <v>0</v>
      </c>
      <c r="M9796" t="n">
        <v>0</v>
      </c>
      <c r="N9796" t="n">
        <v>0</v>
      </c>
      <c r="O9796" t="n">
        <v>0</v>
      </c>
      <c r="P9796" t="n">
        <v>0</v>
      </c>
      <c r="Q9796" t="n">
        <v>0</v>
      </c>
      <c r="R9796" s="2" t="inlineStr"/>
    </row>
    <row r="9797" ht="15" customHeight="1">
      <c r="A9797" t="inlineStr">
        <is>
          <t>A 11408-2023</t>
        </is>
      </c>
      <c r="B9797" s="1" t="n">
        <v>44993</v>
      </c>
      <c r="C9797" s="1" t="n">
        <v>45212</v>
      </c>
      <c r="D9797" t="inlineStr">
        <is>
          <t>VÄSTRA GÖTALANDS LÄN</t>
        </is>
      </c>
      <c r="E9797" t="inlineStr">
        <is>
          <t>FALKÖPING</t>
        </is>
      </c>
      <c r="G9797" t="n">
        <v>1.8</v>
      </c>
      <c r="H9797" t="n">
        <v>0</v>
      </c>
      <c r="I9797" t="n">
        <v>0</v>
      </c>
      <c r="J9797" t="n">
        <v>0</v>
      </c>
      <c r="K9797" t="n">
        <v>0</v>
      </c>
      <c r="L9797" t="n">
        <v>0</v>
      </c>
      <c r="M9797" t="n">
        <v>0</v>
      </c>
      <c r="N9797" t="n">
        <v>0</v>
      </c>
      <c r="O9797" t="n">
        <v>0</v>
      </c>
      <c r="P9797" t="n">
        <v>0</v>
      </c>
      <c r="Q9797" t="n">
        <v>0</v>
      </c>
      <c r="R9797" s="2" t="inlineStr"/>
    </row>
    <row r="9798" ht="15" customHeight="1">
      <c r="A9798" t="inlineStr">
        <is>
          <t>A 11414-2023</t>
        </is>
      </c>
      <c r="B9798" s="1" t="n">
        <v>44993</v>
      </c>
      <c r="C9798" s="1" t="n">
        <v>45212</v>
      </c>
      <c r="D9798" t="inlineStr">
        <is>
          <t>VÄSTRA GÖTALANDS LÄN</t>
        </is>
      </c>
      <c r="E9798" t="inlineStr">
        <is>
          <t>MARIESTAD</t>
        </is>
      </c>
      <c r="F9798" t="inlineStr">
        <is>
          <t>Sveaskog</t>
        </is>
      </c>
      <c r="G9798" t="n">
        <v>2.6</v>
      </c>
      <c r="H9798" t="n">
        <v>0</v>
      </c>
      <c r="I9798" t="n">
        <v>0</v>
      </c>
      <c r="J9798" t="n">
        <v>0</v>
      </c>
      <c r="K9798" t="n">
        <v>0</v>
      </c>
      <c r="L9798" t="n">
        <v>0</v>
      </c>
      <c r="M9798" t="n">
        <v>0</v>
      </c>
      <c r="N9798" t="n">
        <v>0</v>
      </c>
      <c r="O9798" t="n">
        <v>0</v>
      </c>
      <c r="P9798" t="n">
        <v>0</v>
      </c>
      <c r="Q9798" t="n">
        <v>0</v>
      </c>
      <c r="R9798" s="2" t="inlineStr"/>
    </row>
    <row r="9799" ht="15" customHeight="1">
      <c r="A9799" t="inlineStr">
        <is>
          <t>A 11443-2023</t>
        </is>
      </c>
      <c r="B9799" s="1" t="n">
        <v>44993</v>
      </c>
      <c r="C9799" s="1" t="n">
        <v>45212</v>
      </c>
      <c r="D9799" t="inlineStr">
        <is>
          <t>VÄSTRA GÖTALANDS LÄN</t>
        </is>
      </c>
      <c r="E9799" t="inlineStr">
        <is>
          <t>BENGTSFORS</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11778-2023</t>
        </is>
      </c>
      <c r="B9800" s="1" t="n">
        <v>44993</v>
      </c>
      <c r="C9800" s="1" t="n">
        <v>45212</v>
      </c>
      <c r="D9800" t="inlineStr">
        <is>
          <t>VÄSTRA GÖTALANDS LÄN</t>
        </is>
      </c>
      <c r="E9800" t="inlineStr">
        <is>
          <t>UDDEVALLA</t>
        </is>
      </c>
      <c r="F9800" t="inlineStr">
        <is>
          <t>Kyrkan</t>
        </is>
      </c>
      <c r="G9800" t="n">
        <v>1.5</v>
      </c>
      <c r="H9800" t="n">
        <v>0</v>
      </c>
      <c r="I9800" t="n">
        <v>0</v>
      </c>
      <c r="J9800" t="n">
        <v>0</v>
      </c>
      <c r="K9800" t="n">
        <v>0</v>
      </c>
      <c r="L9800" t="n">
        <v>0</v>
      </c>
      <c r="M9800" t="n">
        <v>0</v>
      </c>
      <c r="N9800" t="n">
        <v>0</v>
      </c>
      <c r="O9800" t="n">
        <v>0</v>
      </c>
      <c r="P9800" t="n">
        <v>0</v>
      </c>
      <c r="Q9800" t="n">
        <v>0</v>
      </c>
      <c r="R9800" s="2" t="inlineStr"/>
    </row>
    <row r="9801" ht="15" customHeight="1">
      <c r="A9801" t="inlineStr">
        <is>
          <t>A 11795-2023</t>
        </is>
      </c>
      <c r="B9801" s="1" t="n">
        <v>44994</v>
      </c>
      <c r="C9801" s="1" t="n">
        <v>45212</v>
      </c>
      <c r="D9801" t="inlineStr">
        <is>
          <t>VÄSTRA GÖTALANDS LÄN</t>
        </is>
      </c>
      <c r="E9801" t="inlineStr">
        <is>
          <t>BOLLEBYGD</t>
        </is>
      </c>
      <c r="G9801" t="n">
        <v>0.6</v>
      </c>
      <c r="H9801" t="n">
        <v>0</v>
      </c>
      <c r="I9801" t="n">
        <v>0</v>
      </c>
      <c r="J9801" t="n">
        <v>0</v>
      </c>
      <c r="K9801" t="n">
        <v>0</v>
      </c>
      <c r="L9801" t="n">
        <v>0</v>
      </c>
      <c r="M9801" t="n">
        <v>0</v>
      </c>
      <c r="N9801" t="n">
        <v>0</v>
      </c>
      <c r="O9801" t="n">
        <v>0</v>
      </c>
      <c r="P9801" t="n">
        <v>0</v>
      </c>
      <c r="Q9801" t="n">
        <v>0</v>
      </c>
      <c r="R9801" s="2" t="inlineStr"/>
    </row>
    <row r="9802" ht="15" customHeight="1">
      <c r="A9802" t="inlineStr">
        <is>
          <t>A 11591-2023</t>
        </is>
      </c>
      <c r="B9802" s="1" t="n">
        <v>44994</v>
      </c>
      <c r="C9802" s="1" t="n">
        <v>45212</v>
      </c>
      <c r="D9802" t="inlineStr">
        <is>
          <t>VÄSTRA GÖTALANDS LÄN</t>
        </is>
      </c>
      <c r="E9802" t="inlineStr">
        <is>
          <t>DALS-ED</t>
        </is>
      </c>
      <c r="G9802" t="n">
        <v>1.7</v>
      </c>
      <c r="H9802" t="n">
        <v>0</v>
      </c>
      <c r="I9802" t="n">
        <v>0</v>
      </c>
      <c r="J9802" t="n">
        <v>0</v>
      </c>
      <c r="K9802" t="n">
        <v>0</v>
      </c>
      <c r="L9802" t="n">
        <v>0</v>
      </c>
      <c r="M9802" t="n">
        <v>0</v>
      </c>
      <c r="N9802" t="n">
        <v>0</v>
      </c>
      <c r="O9802" t="n">
        <v>0</v>
      </c>
      <c r="P9802" t="n">
        <v>0</v>
      </c>
      <c r="Q9802" t="n">
        <v>0</v>
      </c>
      <c r="R9802" s="2" t="inlineStr"/>
    </row>
    <row r="9803" ht="15" customHeight="1">
      <c r="A9803" t="inlineStr">
        <is>
          <t>A 11949-2023</t>
        </is>
      </c>
      <c r="B9803" s="1" t="n">
        <v>44994</v>
      </c>
      <c r="C9803" s="1" t="n">
        <v>45212</v>
      </c>
      <c r="D9803" t="inlineStr">
        <is>
          <t>VÄSTRA GÖTALANDS LÄN</t>
        </is>
      </c>
      <c r="E9803" t="inlineStr">
        <is>
          <t>LIDKÖPING</t>
        </is>
      </c>
      <c r="G9803" t="n">
        <v>2.3</v>
      </c>
      <c r="H9803" t="n">
        <v>0</v>
      </c>
      <c r="I9803" t="n">
        <v>0</v>
      </c>
      <c r="J9803" t="n">
        <v>0</v>
      </c>
      <c r="K9803" t="n">
        <v>0</v>
      </c>
      <c r="L9803" t="n">
        <v>0</v>
      </c>
      <c r="M9803" t="n">
        <v>0</v>
      </c>
      <c r="N9803" t="n">
        <v>0</v>
      </c>
      <c r="O9803" t="n">
        <v>0</v>
      </c>
      <c r="P9803" t="n">
        <v>0</v>
      </c>
      <c r="Q9803" t="n">
        <v>0</v>
      </c>
      <c r="R9803" s="2" t="inlineStr"/>
    </row>
    <row r="9804" ht="15" customHeight="1">
      <c r="A9804" t="inlineStr">
        <is>
          <t>A 11879-2023</t>
        </is>
      </c>
      <c r="B9804" s="1" t="n">
        <v>44995</v>
      </c>
      <c r="C9804" s="1" t="n">
        <v>45212</v>
      </c>
      <c r="D9804" t="inlineStr">
        <is>
          <t>VÄSTRA GÖTALANDS LÄN</t>
        </is>
      </c>
      <c r="E9804" t="inlineStr">
        <is>
          <t>HERRLJUNGA</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11902-2023</t>
        </is>
      </c>
      <c r="B9805" s="1" t="n">
        <v>44995</v>
      </c>
      <c r="C9805" s="1" t="n">
        <v>45212</v>
      </c>
      <c r="D9805" t="inlineStr">
        <is>
          <t>VÄSTRA GÖTALANDS LÄN</t>
        </is>
      </c>
      <c r="E9805" t="inlineStr">
        <is>
          <t>SKARA</t>
        </is>
      </c>
      <c r="G9805" t="n">
        <v>13.5</v>
      </c>
      <c r="H9805" t="n">
        <v>0</v>
      </c>
      <c r="I9805" t="n">
        <v>0</v>
      </c>
      <c r="J9805" t="n">
        <v>0</v>
      </c>
      <c r="K9805" t="n">
        <v>0</v>
      </c>
      <c r="L9805" t="n">
        <v>0</v>
      </c>
      <c r="M9805" t="n">
        <v>0</v>
      </c>
      <c r="N9805" t="n">
        <v>0</v>
      </c>
      <c r="O9805" t="n">
        <v>0</v>
      </c>
      <c r="P9805" t="n">
        <v>0</v>
      </c>
      <c r="Q9805" t="n">
        <v>0</v>
      </c>
      <c r="R9805" s="2" t="inlineStr"/>
    </row>
    <row r="9806" ht="15" customHeight="1">
      <c r="A9806" t="inlineStr">
        <is>
          <t>A 11853-2023</t>
        </is>
      </c>
      <c r="B9806" s="1" t="n">
        <v>44995</v>
      </c>
      <c r="C9806" s="1" t="n">
        <v>45212</v>
      </c>
      <c r="D9806" t="inlineStr">
        <is>
          <t>VÄSTRA GÖTALANDS LÄN</t>
        </is>
      </c>
      <c r="E9806" t="inlineStr">
        <is>
          <t>TANUM</t>
        </is>
      </c>
      <c r="G9806" t="n">
        <v>2.9</v>
      </c>
      <c r="H9806" t="n">
        <v>0</v>
      </c>
      <c r="I9806" t="n">
        <v>0</v>
      </c>
      <c r="J9806" t="n">
        <v>0</v>
      </c>
      <c r="K9806" t="n">
        <v>0</v>
      </c>
      <c r="L9806" t="n">
        <v>0</v>
      </c>
      <c r="M9806" t="n">
        <v>0</v>
      </c>
      <c r="N9806" t="n">
        <v>0</v>
      </c>
      <c r="O9806" t="n">
        <v>0</v>
      </c>
      <c r="P9806" t="n">
        <v>0</v>
      </c>
      <c r="Q9806" t="n">
        <v>0</v>
      </c>
      <c r="R9806" s="2" t="inlineStr"/>
    </row>
    <row r="9807" ht="15" customHeight="1">
      <c r="A9807" t="inlineStr">
        <is>
          <t>A 11881-2023</t>
        </is>
      </c>
      <c r="B9807" s="1" t="n">
        <v>44995</v>
      </c>
      <c r="C9807" s="1" t="n">
        <v>45212</v>
      </c>
      <c r="D9807" t="inlineStr">
        <is>
          <t>VÄSTRA GÖTALANDS LÄN</t>
        </is>
      </c>
      <c r="E9807" t="inlineStr">
        <is>
          <t>HERRLJUNGA</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11903-2023</t>
        </is>
      </c>
      <c r="B9808" s="1" t="n">
        <v>44995</v>
      </c>
      <c r="C9808" s="1" t="n">
        <v>45212</v>
      </c>
      <c r="D9808" t="inlineStr">
        <is>
          <t>VÄSTRA GÖTALANDS LÄN</t>
        </is>
      </c>
      <c r="E9808" t="inlineStr">
        <is>
          <t>BORÅS</t>
        </is>
      </c>
      <c r="G9808" t="n">
        <v>1.9</v>
      </c>
      <c r="H9808" t="n">
        <v>0</v>
      </c>
      <c r="I9808" t="n">
        <v>0</v>
      </c>
      <c r="J9808" t="n">
        <v>0</v>
      </c>
      <c r="K9808" t="n">
        <v>0</v>
      </c>
      <c r="L9808" t="n">
        <v>0</v>
      </c>
      <c r="M9808" t="n">
        <v>0</v>
      </c>
      <c r="N9808" t="n">
        <v>0</v>
      </c>
      <c r="O9808" t="n">
        <v>0</v>
      </c>
      <c r="P9808" t="n">
        <v>0</v>
      </c>
      <c r="Q9808" t="n">
        <v>0</v>
      </c>
      <c r="R9808" s="2" t="inlineStr"/>
    </row>
    <row r="9809" ht="15" customHeight="1">
      <c r="A9809" t="inlineStr">
        <is>
          <t>A 11910-2023</t>
        </is>
      </c>
      <c r="B9809" s="1" t="n">
        <v>44995</v>
      </c>
      <c r="C9809" s="1" t="n">
        <v>45212</v>
      </c>
      <c r="D9809" t="inlineStr">
        <is>
          <t>VÄSTRA GÖTALANDS LÄN</t>
        </is>
      </c>
      <c r="E9809" t="inlineStr">
        <is>
          <t>ÅMÅL</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12080-2023</t>
        </is>
      </c>
      <c r="B9810" s="1" t="n">
        <v>44997</v>
      </c>
      <c r="C9810" s="1" t="n">
        <v>45212</v>
      </c>
      <c r="D9810" t="inlineStr">
        <is>
          <t>VÄSTRA GÖTALANDS LÄN</t>
        </is>
      </c>
      <c r="E9810" t="inlineStr">
        <is>
          <t>TIDAHOLM</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12256-2023</t>
        </is>
      </c>
      <c r="B9811" s="1" t="n">
        <v>44998</v>
      </c>
      <c r="C9811" s="1" t="n">
        <v>45212</v>
      </c>
      <c r="D9811" t="inlineStr">
        <is>
          <t>VÄSTRA GÖTALANDS LÄN</t>
        </is>
      </c>
      <c r="E9811" t="inlineStr">
        <is>
          <t>TRANEMO</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12169-2023</t>
        </is>
      </c>
      <c r="B9812" s="1" t="n">
        <v>44998</v>
      </c>
      <c r="C9812" s="1" t="n">
        <v>45212</v>
      </c>
      <c r="D9812" t="inlineStr">
        <is>
          <t>VÄSTRA GÖTALANDS LÄN</t>
        </is>
      </c>
      <c r="E9812" t="inlineStr">
        <is>
          <t>UDDEVALLA</t>
        </is>
      </c>
      <c r="G9812" t="n">
        <v>2.5</v>
      </c>
      <c r="H9812" t="n">
        <v>0</v>
      </c>
      <c r="I9812" t="n">
        <v>0</v>
      </c>
      <c r="J9812" t="n">
        <v>0</v>
      </c>
      <c r="K9812" t="n">
        <v>0</v>
      </c>
      <c r="L9812" t="n">
        <v>0</v>
      </c>
      <c r="M9812" t="n">
        <v>0</v>
      </c>
      <c r="N9812" t="n">
        <v>0</v>
      </c>
      <c r="O9812" t="n">
        <v>0</v>
      </c>
      <c r="P9812" t="n">
        <v>0</v>
      </c>
      <c r="Q9812" t="n">
        <v>0</v>
      </c>
      <c r="R9812" s="2" t="inlineStr"/>
    </row>
    <row r="9813" ht="15" customHeight="1">
      <c r="A9813" t="inlineStr">
        <is>
          <t>A 12203-2023</t>
        </is>
      </c>
      <c r="B9813" s="1" t="n">
        <v>44998</v>
      </c>
      <c r="C9813" s="1" t="n">
        <v>45212</v>
      </c>
      <c r="D9813" t="inlineStr">
        <is>
          <t>VÄSTRA GÖTALANDS LÄN</t>
        </is>
      </c>
      <c r="E9813" t="inlineStr">
        <is>
          <t>STRÖMSTAD</t>
        </is>
      </c>
      <c r="G9813" t="n">
        <v>1.1</v>
      </c>
      <c r="H9813" t="n">
        <v>0</v>
      </c>
      <c r="I9813" t="n">
        <v>0</v>
      </c>
      <c r="J9813" t="n">
        <v>0</v>
      </c>
      <c r="K9813" t="n">
        <v>0</v>
      </c>
      <c r="L9813" t="n">
        <v>0</v>
      </c>
      <c r="M9813" t="n">
        <v>0</v>
      </c>
      <c r="N9813" t="n">
        <v>0</v>
      </c>
      <c r="O9813" t="n">
        <v>0</v>
      </c>
      <c r="P9813" t="n">
        <v>0</v>
      </c>
      <c r="Q9813" t="n">
        <v>0</v>
      </c>
      <c r="R9813" s="2" t="inlineStr"/>
    </row>
    <row r="9814" ht="15" customHeight="1">
      <c r="A9814" t="inlineStr">
        <is>
          <t>A 12234-2023</t>
        </is>
      </c>
      <c r="B9814" s="1" t="n">
        <v>44998</v>
      </c>
      <c r="C9814" s="1" t="n">
        <v>45212</v>
      </c>
      <c r="D9814" t="inlineStr">
        <is>
          <t>VÄSTRA GÖTALANDS LÄN</t>
        </is>
      </c>
      <c r="E9814" t="inlineStr">
        <is>
          <t>LYSEKIL</t>
        </is>
      </c>
      <c r="G9814" t="n">
        <v>4.3</v>
      </c>
      <c r="H9814" t="n">
        <v>0</v>
      </c>
      <c r="I9814" t="n">
        <v>0</v>
      </c>
      <c r="J9814" t="n">
        <v>0</v>
      </c>
      <c r="K9814" t="n">
        <v>0</v>
      </c>
      <c r="L9814" t="n">
        <v>0</v>
      </c>
      <c r="M9814" t="n">
        <v>0</v>
      </c>
      <c r="N9814" t="n">
        <v>0</v>
      </c>
      <c r="O9814" t="n">
        <v>0</v>
      </c>
      <c r="P9814" t="n">
        <v>0</v>
      </c>
      <c r="Q9814" t="n">
        <v>0</v>
      </c>
      <c r="R9814" s="2" t="inlineStr"/>
    </row>
    <row r="9815" ht="15" customHeight="1">
      <c r="A9815" t="inlineStr">
        <is>
          <t>A 12345-2023</t>
        </is>
      </c>
      <c r="B9815" s="1" t="n">
        <v>44999</v>
      </c>
      <c r="C9815" s="1" t="n">
        <v>45212</v>
      </c>
      <c r="D9815" t="inlineStr">
        <is>
          <t>VÄSTRA GÖTALANDS LÄN</t>
        </is>
      </c>
      <c r="E9815" t="inlineStr">
        <is>
          <t>GÖTENE</t>
        </is>
      </c>
      <c r="G9815" t="n">
        <v>1.6</v>
      </c>
      <c r="H9815" t="n">
        <v>0</v>
      </c>
      <c r="I9815" t="n">
        <v>0</v>
      </c>
      <c r="J9815" t="n">
        <v>0</v>
      </c>
      <c r="K9815" t="n">
        <v>0</v>
      </c>
      <c r="L9815" t="n">
        <v>0</v>
      </c>
      <c r="M9815" t="n">
        <v>0</v>
      </c>
      <c r="N9815" t="n">
        <v>0</v>
      </c>
      <c r="O9815" t="n">
        <v>0</v>
      </c>
      <c r="P9815" t="n">
        <v>0</v>
      </c>
      <c r="Q9815" t="n">
        <v>0</v>
      </c>
      <c r="R9815" s="2" t="inlineStr"/>
    </row>
    <row r="9816" ht="15" customHeight="1">
      <c r="A9816" t="inlineStr">
        <is>
          <t>A 12367-2023</t>
        </is>
      </c>
      <c r="B9816" s="1" t="n">
        <v>44999</v>
      </c>
      <c r="C9816" s="1" t="n">
        <v>45212</v>
      </c>
      <c r="D9816" t="inlineStr">
        <is>
          <t>VÄSTRA GÖTALANDS LÄN</t>
        </is>
      </c>
      <c r="E9816" t="inlineStr">
        <is>
          <t>VÅRGÅRDA</t>
        </is>
      </c>
      <c r="G9816" t="n">
        <v>8.5</v>
      </c>
      <c r="H9816" t="n">
        <v>0</v>
      </c>
      <c r="I9816" t="n">
        <v>0</v>
      </c>
      <c r="J9816" t="n">
        <v>0</v>
      </c>
      <c r="K9816" t="n">
        <v>0</v>
      </c>
      <c r="L9816" t="n">
        <v>0</v>
      </c>
      <c r="M9816" t="n">
        <v>0</v>
      </c>
      <c r="N9816" t="n">
        <v>0</v>
      </c>
      <c r="O9816" t="n">
        <v>0</v>
      </c>
      <c r="P9816" t="n">
        <v>0</v>
      </c>
      <c r="Q9816" t="n">
        <v>0</v>
      </c>
      <c r="R9816" s="2" t="inlineStr"/>
    </row>
    <row r="9817" ht="15" customHeight="1">
      <c r="A9817" t="inlineStr">
        <is>
          <t>A 12322-2023</t>
        </is>
      </c>
      <c r="B9817" s="1" t="n">
        <v>44999</v>
      </c>
      <c r="C9817" s="1" t="n">
        <v>45212</v>
      </c>
      <c r="D9817" t="inlineStr">
        <is>
          <t>VÄSTRA GÖTALANDS LÄN</t>
        </is>
      </c>
      <c r="E9817" t="inlineStr">
        <is>
          <t>ÅMÅL</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12375-2023</t>
        </is>
      </c>
      <c r="B9818" s="1" t="n">
        <v>44999</v>
      </c>
      <c r="C9818" s="1" t="n">
        <v>45212</v>
      </c>
      <c r="D9818" t="inlineStr">
        <is>
          <t>VÄSTRA GÖTALANDS LÄN</t>
        </is>
      </c>
      <c r="E9818" t="inlineStr">
        <is>
          <t>DALS-ED</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12353-2023</t>
        </is>
      </c>
      <c r="B9819" s="1" t="n">
        <v>44999</v>
      </c>
      <c r="C9819" s="1" t="n">
        <v>45212</v>
      </c>
      <c r="D9819" t="inlineStr">
        <is>
          <t>VÄSTRA GÖTALANDS LÄN</t>
        </is>
      </c>
      <c r="E9819" t="inlineStr">
        <is>
          <t>BENGTSFORS</t>
        </is>
      </c>
      <c r="F9819" t="inlineStr">
        <is>
          <t>Kommuner</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12764-2023</t>
        </is>
      </c>
      <c r="B9820" s="1" t="n">
        <v>44999</v>
      </c>
      <c r="C9820" s="1" t="n">
        <v>45212</v>
      </c>
      <c r="D9820" t="inlineStr">
        <is>
          <t>VÄSTRA GÖTALANDS LÄN</t>
        </is>
      </c>
      <c r="E9820" t="inlineStr">
        <is>
          <t>SKÖVDE</t>
        </is>
      </c>
      <c r="G9820" t="n">
        <v>0.8</v>
      </c>
      <c r="H9820" t="n">
        <v>0</v>
      </c>
      <c r="I9820" t="n">
        <v>0</v>
      </c>
      <c r="J9820" t="n">
        <v>0</v>
      </c>
      <c r="K9820" t="n">
        <v>0</v>
      </c>
      <c r="L9820" t="n">
        <v>0</v>
      </c>
      <c r="M9820" t="n">
        <v>0</v>
      </c>
      <c r="N9820" t="n">
        <v>0</v>
      </c>
      <c r="O9820" t="n">
        <v>0</v>
      </c>
      <c r="P9820" t="n">
        <v>0</v>
      </c>
      <c r="Q9820" t="n">
        <v>0</v>
      </c>
      <c r="R9820" s="2" t="inlineStr"/>
    </row>
    <row r="9821" ht="15" customHeight="1">
      <c r="A9821" t="inlineStr">
        <is>
          <t>A 12340-2023</t>
        </is>
      </c>
      <c r="B9821" s="1" t="n">
        <v>44999</v>
      </c>
      <c r="C9821" s="1" t="n">
        <v>45212</v>
      </c>
      <c r="D9821" t="inlineStr">
        <is>
          <t>VÄSTRA GÖTALANDS LÄN</t>
        </is>
      </c>
      <c r="E9821" t="inlineStr">
        <is>
          <t>TANUM</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12348-2023</t>
        </is>
      </c>
      <c r="B9822" s="1" t="n">
        <v>44999</v>
      </c>
      <c r="C9822" s="1" t="n">
        <v>45212</v>
      </c>
      <c r="D9822" t="inlineStr">
        <is>
          <t>VÄSTRA GÖTALANDS LÄN</t>
        </is>
      </c>
      <c r="E9822" t="inlineStr">
        <is>
          <t>GÖTENE</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12361-2023</t>
        </is>
      </c>
      <c r="B9823" s="1" t="n">
        <v>44999</v>
      </c>
      <c r="C9823" s="1" t="n">
        <v>45212</v>
      </c>
      <c r="D9823" t="inlineStr">
        <is>
          <t>VÄSTRA GÖTALANDS LÄN</t>
        </is>
      </c>
      <c r="E9823" t="inlineStr">
        <is>
          <t>MARIESTAD</t>
        </is>
      </c>
      <c r="G9823" t="n">
        <v>4.5</v>
      </c>
      <c r="H9823" t="n">
        <v>0</v>
      </c>
      <c r="I9823" t="n">
        <v>0</v>
      </c>
      <c r="J9823" t="n">
        <v>0</v>
      </c>
      <c r="K9823" t="n">
        <v>0</v>
      </c>
      <c r="L9823" t="n">
        <v>0</v>
      </c>
      <c r="M9823" t="n">
        <v>0</v>
      </c>
      <c r="N9823" t="n">
        <v>0</v>
      </c>
      <c r="O9823" t="n">
        <v>0</v>
      </c>
      <c r="P9823" t="n">
        <v>0</v>
      </c>
      <c r="Q9823" t="n">
        <v>0</v>
      </c>
      <c r="R9823" s="2" t="inlineStr"/>
    </row>
    <row r="9824" ht="15" customHeight="1">
      <c r="A9824" t="inlineStr">
        <is>
          <t>A 12660-2023</t>
        </is>
      </c>
      <c r="B9824" s="1" t="n">
        <v>45000</v>
      </c>
      <c r="C9824" s="1" t="n">
        <v>45212</v>
      </c>
      <c r="D9824" t="inlineStr">
        <is>
          <t>VÄSTRA GÖTALANDS LÄN</t>
        </is>
      </c>
      <c r="E9824" t="inlineStr">
        <is>
          <t>GÖTENE</t>
        </is>
      </c>
      <c r="G9824" t="n">
        <v>0.5</v>
      </c>
      <c r="H9824" t="n">
        <v>0</v>
      </c>
      <c r="I9824" t="n">
        <v>0</v>
      </c>
      <c r="J9824" t="n">
        <v>0</v>
      </c>
      <c r="K9824" t="n">
        <v>0</v>
      </c>
      <c r="L9824" t="n">
        <v>0</v>
      </c>
      <c r="M9824" t="n">
        <v>0</v>
      </c>
      <c r="N9824" t="n">
        <v>0</v>
      </c>
      <c r="O9824" t="n">
        <v>0</v>
      </c>
      <c r="P9824" t="n">
        <v>0</v>
      </c>
      <c r="Q9824" t="n">
        <v>0</v>
      </c>
      <c r="R9824" s="2" t="inlineStr"/>
    </row>
    <row r="9825" ht="15" customHeight="1">
      <c r="A9825" t="inlineStr">
        <is>
          <t>A 12840-2023</t>
        </is>
      </c>
      <c r="B9825" s="1" t="n">
        <v>45000</v>
      </c>
      <c r="C9825" s="1" t="n">
        <v>45212</v>
      </c>
      <c r="D9825" t="inlineStr">
        <is>
          <t>VÄSTRA GÖTALANDS LÄN</t>
        </is>
      </c>
      <c r="E9825" t="inlineStr">
        <is>
          <t>BORÅS</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12671-2023</t>
        </is>
      </c>
      <c r="B9826" s="1" t="n">
        <v>45000</v>
      </c>
      <c r="C9826" s="1" t="n">
        <v>45212</v>
      </c>
      <c r="D9826" t="inlineStr">
        <is>
          <t>VÄSTRA GÖTALANDS LÄN</t>
        </is>
      </c>
      <c r="E9826" t="inlineStr">
        <is>
          <t>TANUM</t>
        </is>
      </c>
      <c r="G9826" t="n">
        <v>3.7</v>
      </c>
      <c r="H9826" t="n">
        <v>0</v>
      </c>
      <c r="I9826" t="n">
        <v>0</v>
      </c>
      <c r="J9826" t="n">
        <v>0</v>
      </c>
      <c r="K9826" t="n">
        <v>0</v>
      </c>
      <c r="L9826" t="n">
        <v>0</v>
      </c>
      <c r="M9826" t="n">
        <v>0</v>
      </c>
      <c r="N9826" t="n">
        <v>0</v>
      </c>
      <c r="O9826" t="n">
        <v>0</v>
      </c>
      <c r="P9826" t="n">
        <v>0</v>
      </c>
      <c r="Q9826" t="n">
        <v>0</v>
      </c>
      <c r="R9826" s="2" t="inlineStr"/>
    </row>
    <row r="9827" ht="15" customHeight="1">
      <c r="A9827" t="inlineStr">
        <is>
          <t>A 12551-2023</t>
        </is>
      </c>
      <c r="B9827" s="1" t="n">
        <v>45000</v>
      </c>
      <c r="C9827" s="1" t="n">
        <v>45212</v>
      </c>
      <c r="D9827" t="inlineStr">
        <is>
          <t>VÄSTRA GÖTALANDS LÄN</t>
        </is>
      </c>
      <c r="E9827" t="inlineStr">
        <is>
          <t>TIDAHOLM</t>
        </is>
      </c>
      <c r="G9827" t="n">
        <v>1.1</v>
      </c>
      <c r="H9827" t="n">
        <v>0</v>
      </c>
      <c r="I9827" t="n">
        <v>0</v>
      </c>
      <c r="J9827" t="n">
        <v>0</v>
      </c>
      <c r="K9827" t="n">
        <v>0</v>
      </c>
      <c r="L9827" t="n">
        <v>0</v>
      </c>
      <c r="M9827" t="n">
        <v>0</v>
      </c>
      <c r="N9827" t="n">
        <v>0</v>
      </c>
      <c r="O9827" t="n">
        <v>0</v>
      </c>
      <c r="P9827" t="n">
        <v>0</v>
      </c>
      <c r="Q9827" t="n">
        <v>0</v>
      </c>
      <c r="R9827" s="2" t="inlineStr"/>
    </row>
    <row r="9828" ht="15" customHeight="1">
      <c r="A9828" t="inlineStr">
        <is>
          <t>A 12647-2023</t>
        </is>
      </c>
      <c r="B9828" s="1" t="n">
        <v>45000</v>
      </c>
      <c r="C9828" s="1" t="n">
        <v>45212</v>
      </c>
      <c r="D9828" t="inlineStr">
        <is>
          <t>VÄSTRA GÖTALANDS LÄN</t>
        </is>
      </c>
      <c r="E9828" t="inlineStr">
        <is>
          <t>LILLA EDET</t>
        </is>
      </c>
      <c r="G9828" t="n">
        <v>1</v>
      </c>
      <c r="H9828" t="n">
        <v>0</v>
      </c>
      <c r="I9828" t="n">
        <v>0</v>
      </c>
      <c r="J9828" t="n">
        <v>0</v>
      </c>
      <c r="K9828" t="n">
        <v>0</v>
      </c>
      <c r="L9828" t="n">
        <v>0</v>
      </c>
      <c r="M9828" t="n">
        <v>0</v>
      </c>
      <c r="N9828" t="n">
        <v>0</v>
      </c>
      <c r="O9828" t="n">
        <v>0</v>
      </c>
      <c r="P9828" t="n">
        <v>0</v>
      </c>
      <c r="Q9828" t="n">
        <v>0</v>
      </c>
      <c r="R9828" s="2" t="inlineStr"/>
    </row>
    <row r="9829" ht="15" customHeight="1">
      <c r="A9829" t="inlineStr">
        <is>
          <t>A 12664-2023</t>
        </is>
      </c>
      <c r="B9829" s="1" t="n">
        <v>45000</v>
      </c>
      <c r="C9829" s="1" t="n">
        <v>45212</v>
      </c>
      <c r="D9829" t="inlineStr">
        <is>
          <t>VÄSTRA GÖTALANDS LÄN</t>
        </is>
      </c>
      <c r="E9829" t="inlineStr">
        <is>
          <t>GÖTENE</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12684-2023</t>
        </is>
      </c>
      <c r="B9830" s="1" t="n">
        <v>45000</v>
      </c>
      <c r="C9830" s="1" t="n">
        <v>45212</v>
      </c>
      <c r="D9830" t="inlineStr">
        <is>
          <t>VÄSTRA GÖTALANDS LÄN</t>
        </is>
      </c>
      <c r="E9830" t="inlineStr">
        <is>
          <t>TANUM</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12847-2023</t>
        </is>
      </c>
      <c r="B9831" s="1" t="n">
        <v>45000</v>
      </c>
      <c r="C9831" s="1" t="n">
        <v>45212</v>
      </c>
      <c r="D9831" t="inlineStr">
        <is>
          <t>VÄSTRA GÖTALANDS LÄN</t>
        </is>
      </c>
      <c r="E9831" t="inlineStr">
        <is>
          <t>LILLA EDET</t>
        </is>
      </c>
      <c r="F9831" t="inlineStr">
        <is>
          <t>Kyrkan</t>
        </is>
      </c>
      <c r="G9831" t="n">
        <v>4.9</v>
      </c>
      <c r="H9831" t="n">
        <v>0</v>
      </c>
      <c r="I9831" t="n">
        <v>0</v>
      </c>
      <c r="J9831" t="n">
        <v>0</v>
      </c>
      <c r="K9831" t="n">
        <v>0</v>
      </c>
      <c r="L9831" t="n">
        <v>0</v>
      </c>
      <c r="M9831" t="n">
        <v>0</v>
      </c>
      <c r="N9831" t="n">
        <v>0</v>
      </c>
      <c r="O9831" t="n">
        <v>0</v>
      </c>
      <c r="P9831" t="n">
        <v>0</v>
      </c>
      <c r="Q9831" t="n">
        <v>0</v>
      </c>
      <c r="R9831" s="2" t="inlineStr"/>
    </row>
    <row r="9832" ht="15" customHeight="1">
      <c r="A9832" t="inlineStr">
        <is>
          <t>A 12589-2023</t>
        </is>
      </c>
      <c r="B9832" s="1" t="n">
        <v>45000</v>
      </c>
      <c r="C9832" s="1" t="n">
        <v>45212</v>
      </c>
      <c r="D9832" t="inlineStr">
        <is>
          <t>VÄSTRA GÖTALANDS LÄN</t>
        </is>
      </c>
      <c r="E9832" t="inlineStr">
        <is>
          <t>SVENLJUNGA</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12628-2023</t>
        </is>
      </c>
      <c r="B9833" s="1" t="n">
        <v>45000</v>
      </c>
      <c r="C9833" s="1" t="n">
        <v>45212</v>
      </c>
      <c r="D9833" t="inlineStr">
        <is>
          <t>VÄSTRA GÖTALANDS LÄN</t>
        </is>
      </c>
      <c r="E9833" t="inlineStr">
        <is>
          <t>LILLA EDET</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12665-2023</t>
        </is>
      </c>
      <c r="B9834" s="1" t="n">
        <v>45000</v>
      </c>
      <c r="C9834" s="1" t="n">
        <v>45212</v>
      </c>
      <c r="D9834" t="inlineStr">
        <is>
          <t>VÄSTRA GÖTALANDS LÄN</t>
        </is>
      </c>
      <c r="E9834" t="inlineStr">
        <is>
          <t>ALINGSÅS</t>
        </is>
      </c>
      <c r="G9834" t="n">
        <v>9.4</v>
      </c>
      <c r="H9834" t="n">
        <v>0</v>
      </c>
      <c r="I9834" t="n">
        <v>0</v>
      </c>
      <c r="J9834" t="n">
        <v>0</v>
      </c>
      <c r="K9834" t="n">
        <v>0</v>
      </c>
      <c r="L9834" t="n">
        <v>0</v>
      </c>
      <c r="M9834" t="n">
        <v>0</v>
      </c>
      <c r="N9834" t="n">
        <v>0</v>
      </c>
      <c r="O9834" t="n">
        <v>0</v>
      </c>
      <c r="P9834" t="n">
        <v>0</v>
      </c>
      <c r="Q9834" t="n">
        <v>0</v>
      </c>
      <c r="R9834" s="2" t="inlineStr"/>
    </row>
    <row r="9835" ht="15" customHeight="1">
      <c r="A9835" t="inlineStr">
        <is>
          <t>A 12884-2023</t>
        </is>
      </c>
      <c r="B9835" s="1" t="n">
        <v>45001</v>
      </c>
      <c r="C9835" s="1" t="n">
        <v>45212</v>
      </c>
      <c r="D9835" t="inlineStr">
        <is>
          <t>VÄSTRA GÖTALANDS LÄN</t>
        </is>
      </c>
      <c r="E9835" t="inlineStr">
        <is>
          <t>MARIESTAD</t>
        </is>
      </c>
      <c r="G9835" t="n">
        <v>0.8</v>
      </c>
      <c r="H9835" t="n">
        <v>0</v>
      </c>
      <c r="I9835" t="n">
        <v>0</v>
      </c>
      <c r="J9835" t="n">
        <v>0</v>
      </c>
      <c r="K9835" t="n">
        <v>0</v>
      </c>
      <c r="L9835" t="n">
        <v>0</v>
      </c>
      <c r="M9835" t="n">
        <v>0</v>
      </c>
      <c r="N9835" t="n">
        <v>0</v>
      </c>
      <c r="O9835" t="n">
        <v>0</v>
      </c>
      <c r="P9835" t="n">
        <v>0</v>
      </c>
      <c r="Q9835" t="n">
        <v>0</v>
      </c>
      <c r="R9835" s="2" t="inlineStr"/>
    </row>
    <row r="9836" ht="15" customHeight="1">
      <c r="A9836" t="inlineStr">
        <is>
          <t>A 12889-2023</t>
        </is>
      </c>
      <c r="B9836" s="1" t="n">
        <v>45001</v>
      </c>
      <c r="C9836" s="1" t="n">
        <v>45212</v>
      </c>
      <c r="D9836" t="inlineStr">
        <is>
          <t>VÄSTRA GÖTALANDS LÄN</t>
        </is>
      </c>
      <c r="E9836" t="inlineStr">
        <is>
          <t>GULLSPÅNG</t>
        </is>
      </c>
      <c r="G9836" t="n">
        <v>8.800000000000001</v>
      </c>
      <c r="H9836" t="n">
        <v>0</v>
      </c>
      <c r="I9836" t="n">
        <v>0</v>
      </c>
      <c r="J9836" t="n">
        <v>0</v>
      </c>
      <c r="K9836" t="n">
        <v>0</v>
      </c>
      <c r="L9836" t="n">
        <v>0</v>
      </c>
      <c r="M9836" t="n">
        <v>0</v>
      </c>
      <c r="N9836" t="n">
        <v>0</v>
      </c>
      <c r="O9836" t="n">
        <v>0</v>
      </c>
      <c r="P9836" t="n">
        <v>0</v>
      </c>
      <c r="Q9836" t="n">
        <v>0</v>
      </c>
      <c r="R9836" s="2" t="inlineStr"/>
    </row>
    <row r="9837" ht="15" customHeight="1">
      <c r="A9837" t="inlineStr">
        <is>
          <t>A 12901-2023</t>
        </is>
      </c>
      <c r="B9837" s="1" t="n">
        <v>45001</v>
      </c>
      <c r="C9837" s="1" t="n">
        <v>45212</v>
      </c>
      <c r="D9837" t="inlineStr">
        <is>
          <t>VÄSTRA GÖTALANDS LÄN</t>
        </is>
      </c>
      <c r="E9837" t="inlineStr">
        <is>
          <t>GULLSPÅNG</t>
        </is>
      </c>
      <c r="G9837" t="n">
        <v>4.2</v>
      </c>
      <c r="H9837" t="n">
        <v>0</v>
      </c>
      <c r="I9837" t="n">
        <v>0</v>
      </c>
      <c r="J9837" t="n">
        <v>0</v>
      </c>
      <c r="K9837" t="n">
        <v>0</v>
      </c>
      <c r="L9837" t="n">
        <v>0</v>
      </c>
      <c r="M9837" t="n">
        <v>0</v>
      </c>
      <c r="N9837" t="n">
        <v>0</v>
      </c>
      <c r="O9837" t="n">
        <v>0</v>
      </c>
      <c r="P9837" t="n">
        <v>0</v>
      </c>
      <c r="Q9837" t="n">
        <v>0</v>
      </c>
      <c r="R9837" s="2" t="inlineStr"/>
    </row>
    <row r="9838" ht="15" customHeight="1">
      <c r="A9838" t="inlineStr">
        <is>
          <t>A 12910-2023</t>
        </is>
      </c>
      <c r="B9838" s="1" t="n">
        <v>45001</v>
      </c>
      <c r="C9838" s="1" t="n">
        <v>45212</v>
      </c>
      <c r="D9838" t="inlineStr">
        <is>
          <t>VÄSTRA GÖTALANDS LÄN</t>
        </is>
      </c>
      <c r="E9838" t="inlineStr">
        <is>
          <t>VÄNERSBORG</t>
        </is>
      </c>
      <c r="G9838" t="n">
        <v>6.9</v>
      </c>
      <c r="H9838" t="n">
        <v>0</v>
      </c>
      <c r="I9838" t="n">
        <v>0</v>
      </c>
      <c r="J9838" t="n">
        <v>0</v>
      </c>
      <c r="K9838" t="n">
        <v>0</v>
      </c>
      <c r="L9838" t="n">
        <v>0</v>
      </c>
      <c r="M9838" t="n">
        <v>0</v>
      </c>
      <c r="N9838" t="n">
        <v>0</v>
      </c>
      <c r="O9838" t="n">
        <v>0</v>
      </c>
      <c r="P9838" t="n">
        <v>0</v>
      </c>
      <c r="Q9838" t="n">
        <v>0</v>
      </c>
      <c r="R9838" s="2" t="inlineStr"/>
    </row>
    <row r="9839" ht="15" customHeight="1">
      <c r="A9839" t="inlineStr">
        <is>
          <t>A 12920-2023</t>
        </is>
      </c>
      <c r="B9839" s="1" t="n">
        <v>45001</v>
      </c>
      <c r="C9839" s="1" t="n">
        <v>45212</v>
      </c>
      <c r="D9839" t="inlineStr">
        <is>
          <t>VÄSTRA GÖTALANDS LÄN</t>
        </is>
      </c>
      <c r="E9839" t="inlineStr">
        <is>
          <t>TRANEMO</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12830-2023</t>
        </is>
      </c>
      <c r="B9840" s="1" t="n">
        <v>45001</v>
      </c>
      <c r="C9840" s="1" t="n">
        <v>45212</v>
      </c>
      <c r="D9840" t="inlineStr">
        <is>
          <t>VÄSTRA GÖTALANDS LÄN</t>
        </is>
      </c>
      <c r="E9840" t="inlineStr">
        <is>
          <t>TROLLHÄTTAN</t>
        </is>
      </c>
      <c r="G9840" t="n">
        <v>20.9</v>
      </c>
      <c r="H9840" t="n">
        <v>0</v>
      </c>
      <c r="I9840" t="n">
        <v>0</v>
      </c>
      <c r="J9840" t="n">
        <v>0</v>
      </c>
      <c r="K9840" t="n">
        <v>0</v>
      </c>
      <c r="L9840" t="n">
        <v>0</v>
      </c>
      <c r="M9840" t="n">
        <v>0</v>
      </c>
      <c r="N9840" t="n">
        <v>0</v>
      </c>
      <c r="O9840" t="n">
        <v>0</v>
      </c>
      <c r="P9840" t="n">
        <v>0</v>
      </c>
      <c r="Q9840" t="n">
        <v>0</v>
      </c>
      <c r="R9840" s="2" t="inlineStr"/>
    </row>
    <row r="9841" ht="15" customHeight="1">
      <c r="A9841" t="inlineStr">
        <is>
          <t>A 12848-2023</t>
        </is>
      </c>
      <c r="B9841" s="1" t="n">
        <v>45001</v>
      </c>
      <c r="C9841" s="1" t="n">
        <v>45212</v>
      </c>
      <c r="D9841" t="inlineStr">
        <is>
          <t>VÄSTRA GÖTALANDS LÄN</t>
        </is>
      </c>
      <c r="E9841" t="inlineStr">
        <is>
          <t>TROLLHÄTTAN</t>
        </is>
      </c>
      <c r="G9841" t="n">
        <v>9.5</v>
      </c>
      <c r="H9841" t="n">
        <v>0</v>
      </c>
      <c r="I9841" t="n">
        <v>0</v>
      </c>
      <c r="J9841" t="n">
        <v>0</v>
      </c>
      <c r="K9841" t="n">
        <v>0</v>
      </c>
      <c r="L9841" t="n">
        <v>0</v>
      </c>
      <c r="M9841" t="n">
        <v>0</v>
      </c>
      <c r="N9841" t="n">
        <v>0</v>
      </c>
      <c r="O9841" t="n">
        <v>0</v>
      </c>
      <c r="P9841" t="n">
        <v>0</v>
      </c>
      <c r="Q9841" t="n">
        <v>0</v>
      </c>
      <c r="R9841" s="2" t="inlineStr"/>
    </row>
    <row r="9842" ht="15" customHeight="1">
      <c r="A9842" t="inlineStr">
        <is>
          <t>A 12760-2023</t>
        </is>
      </c>
      <c r="B9842" s="1" t="n">
        <v>45001</v>
      </c>
      <c r="C9842" s="1" t="n">
        <v>45212</v>
      </c>
      <c r="D9842" t="inlineStr">
        <is>
          <t>VÄSTRA GÖTALANDS LÄN</t>
        </is>
      </c>
      <c r="E9842" t="inlineStr">
        <is>
          <t>LILLA EDET</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12853-2023</t>
        </is>
      </c>
      <c r="B9843" s="1" t="n">
        <v>45001</v>
      </c>
      <c r="C9843" s="1" t="n">
        <v>45212</v>
      </c>
      <c r="D9843" t="inlineStr">
        <is>
          <t>VÄSTRA GÖTALANDS LÄN</t>
        </is>
      </c>
      <c r="E9843" t="inlineStr">
        <is>
          <t>VÄNERSBORG</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12883-2023</t>
        </is>
      </c>
      <c r="B9844" s="1" t="n">
        <v>45001</v>
      </c>
      <c r="C9844" s="1" t="n">
        <v>45212</v>
      </c>
      <c r="D9844" t="inlineStr">
        <is>
          <t>VÄSTRA GÖTALANDS LÄN</t>
        </is>
      </c>
      <c r="E9844" t="inlineStr">
        <is>
          <t>MARIESTAD</t>
        </is>
      </c>
      <c r="G9844" t="n">
        <v>1.7</v>
      </c>
      <c r="H9844" t="n">
        <v>0</v>
      </c>
      <c r="I9844" t="n">
        <v>0</v>
      </c>
      <c r="J9844" t="n">
        <v>0</v>
      </c>
      <c r="K9844" t="n">
        <v>0</v>
      </c>
      <c r="L9844" t="n">
        <v>0</v>
      </c>
      <c r="M9844" t="n">
        <v>0</v>
      </c>
      <c r="N9844" t="n">
        <v>0</v>
      </c>
      <c r="O9844" t="n">
        <v>0</v>
      </c>
      <c r="P9844" t="n">
        <v>0</v>
      </c>
      <c r="Q9844" t="n">
        <v>0</v>
      </c>
      <c r="R9844" s="2" t="inlineStr"/>
    </row>
    <row r="9845" ht="15" customHeight="1">
      <c r="A9845" t="inlineStr">
        <is>
          <t>A 12895-2023</t>
        </is>
      </c>
      <c r="B9845" s="1" t="n">
        <v>45001</v>
      </c>
      <c r="C9845" s="1" t="n">
        <v>45212</v>
      </c>
      <c r="D9845" t="inlineStr">
        <is>
          <t>VÄSTRA GÖTALANDS LÄN</t>
        </is>
      </c>
      <c r="E9845" t="inlineStr">
        <is>
          <t>GULLSPÅNG</t>
        </is>
      </c>
      <c r="G9845" t="n">
        <v>8.800000000000001</v>
      </c>
      <c r="H9845" t="n">
        <v>0</v>
      </c>
      <c r="I9845" t="n">
        <v>0</v>
      </c>
      <c r="J9845" t="n">
        <v>0</v>
      </c>
      <c r="K9845" t="n">
        <v>0</v>
      </c>
      <c r="L9845" t="n">
        <v>0</v>
      </c>
      <c r="M9845" t="n">
        <v>0</v>
      </c>
      <c r="N9845" t="n">
        <v>0</v>
      </c>
      <c r="O9845" t="n">
        <v>0</v>
      </c>
      <c r="P9845" t="n">
        <v>0</v>
      </c>
      <c r="Q9845" t="n">
        <v>0</v>
      </c>
      <c r="R9845" s="2" t="inlineStr"/>
    </row>
    <row r="9846" ht="15" customHeight="1">
      <c r="A9846" t="inlineStr">
        <is>
          <t>A 13053-2023</t>
        </is>
      </c>
      <c r="B9846" s="1" t="n">
        <v>45002</v>
      </c>
      <c r="C9846" s="1" t="n">
        <v>45212</v>
      </c>
      <c r="D9846" t="inlineStr">
        <is>
          <t>VÄSTRA GÖTALANDS LÄN</t>
        </is>
      </c>
      <c r="E9846" t="inlineStr">
        <is>
          <t>BENGTSFORS</t>
        </is>
      </c>
      <c r="G9846" t="n">
        <v>1</v>
      </c>
      <c r="H9846" t="n">
        <v>0</v>
      </c>
      <c r="I9846" t="n">
        <v>0</v>
      </c>
      <c r="J9846" t="n">
        <v>0</v>
      </c>
      <c r="K9846" t="n">
        <v>0</v>
      </c>
      <c r="L9846" t="n">
        <v>0</v>
      </c>
      <c r="M9846" t="n">
        <v>0</v>
      </c>
      <c r="N9846" t="n">
        <v>0</v>
      </c>
      <c r="O9846" t="n">
        <v>0</v>
      </c>
      <c r="P9846" t="n">
        <v>0</v>
      </c>
      <c r="Q9846" t="n">
        <v>0</v>
      </c>
      <c r="R9846" s="2" t="inlineStr"/>
    </row>
    <row r="9847" ht="15" customHeight="1">
      <c r="A9847" t="inlineStr">
        <is>
          <t>A 13076-2023</t>
        </is>
      </c>
      <c r="B9847" s="1" t="n">
        <v>45002</v>
      </c>
      <c r="C9847" s="1" t="n">
        <v>45212</v>
      </c>
      <c r="D9847" t="inlineStr">
        <is>
          <t>VÄSTRA GÖTALANDS LÄN</t>
        </is>
      </c>
      <c r="E9847" t="inlineStr">
        <is>
          <t>KARLSBORG</t>
        </is>
      </c>
      <c r="G9847" t="n">
        <v>2.2</v>
      </c>
      <c r="H9847" t="n">
        <v>0</v>
      </c>
      <c r="I9847" t="n">
        <v>0</v>
      </c>
      <c r="J9847" t="n">
        <v>0</v>
      </c>
      <c r="K9847" t="n">
        <v>0</v>
      </c>
      <c r="L9847" t="n">
        <v>0</v>
      </c>
      <c r="M9847" t="n">
        <v>0</v>
      </c>
      <c r="N9847" t="n">
        <v>0</v>
      </c>
      <c r="O9847" t="n">
        <v>0</v>
      </c>
      <c r="P9847" t="n">
        <v>0</v>
      </c>
      <c r="Q9847" t="n">
        <v>0</v>
      </c>
      <c r="R9847" s="2" t="inlineStr"/>
    </row>
    <row r="9848" ht="15" customHeight="1">
      <c r="A9848" t="inlineStr">
        <is>
          <t>A 13109-2023</t>
        </is>
      </c>
      <c r="B9848" s="1" t="n">
        <v>45002</v>
      </c>
      <c r="C9848" s="1" t="n">
        <v>45212</v>
      </c>
      <c r="D9848" t="inlineStr">
        <is>
          <t>VÄSTRA GÖTALANDS LÄN</t>
        </is>
      </c>
      <c r="E9848" t="inlineStr">
        <is>
          <t>STRÖMSTAD</t>
        </is>
      </c>
      <c r="G9848" t="n">
        <v>2.6</v>
      </c>
      <c r="H9848" t="n">
        <v>0</v>
      </c>
      <c r="I9848" t="n">
        <v>0</v>
      </c>
      <c r="J9848" t="n">
        <v>0</v>
      </c>
      <c r="K9848" t="n">
        <v>0</v>
      </c>
      <c r="L9848" t="n">
        <v>0</v>
      </c>
      <c r="M9848" t="n">
        <v>0</v>
      </c>
      <c r="N9848" t="n">
        <v>0</v>
      </c>
      <c r="O9848" t="n">
        <v>0</v>
      </c>
      <c r="P9848" t="n">
        <v>0</v>
      </c>
      <c r="Q9848" t="n">
        <v>0</v>
      </c>
      <c r="R9848" s="2" t="inlineStr"/>
    </row>
    <row r="9849" ht="15" customHeight="1">
      <c r="A9849" t="inlineStr">
        <is>
          <t>A 13162-2023</t>
        </is>
      </c>
      <c r="B9849" s="1" t="n">
        <v>45002</v>
      </c>
      <c r="C9849" s="1" t="n">
        <v>45212</v>
      </c>
      <c r="D9849" t="inlineStr">
        <is>
          <t>VÄSTRA GÖTALANDS LÄN</t>
        </is>
      </c>
      <c r="E9849" t="inlineStr">
        <is>
          <t>MUNKEDAL</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13228-2023</t>
        </is>
      </c>
      <c r="B9850" s="1" t="n">
        <v>45002</v>
      </c>
      <c r="C9850" s="1" t="n">
        <v>45212</v>
      </c>
      <c r="D9850" t="inlineStr">
        <is>
          <t>VÄSTRA GÖTALANDS LÄN</t>
        </is>
      </c>
      <c r="E9850" t="inlineStr">
        <is>
          <t>MELLERUD</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13243-2023</t>
        </is>
      </c>
      <c r="B9851" s="1" t="n">
        <v>45002</v>
      </c>
      <c r="C9851" s="1" t="n">
        <v>45212</v>
      </c>
      <c r="D9851" t="inlineStr">
        <is>
          <t>VÄSTRA GÖTALANDS LÄN</t>
        </is>
      </c>
      <c r="E9851" t="inlineStr">
        <is>
          <t>ORUST</t>
        </is>
      </c>
      <c r="G9851" t="n">
        <v>4.8</v>
      </c>
      <c r="H9851" t="n">
        <v>0</v>
      </c>
      <c r="I9851" t="n">
        <v>0</v>
      </c>
      <c r="J9851" t="n">
        <v>0</v>
      </c>
      <c r="K9851" t="n">
        <v>0</v>
      </c>
      <c r="L9851" t="n">
        <v>0</v>
      </c>
      <c r="M9851" t="n">
        <v>0</v>
      </c>
      <c r="N9851" t="n">
        <v>0</v>
      </c>
      <c r="O9851" t="n">
        <v>0</v>
      </c>
      <c r="P9851" t="n">
        <v>0</v>
      </c>
      <c r="Q9851" t="n">
        <v>0</v>
      </c>
      <c r="R9851" s="2" t="inlineStr"/>
    </row>
    <row r="9852" ht="15" customHeight="1">
      <c r="A9852" t="inlineStr">
        <is>
          <t>A 13049-2023</t>
        </is>
      </c>
      <c r="B9852" s="1" t="n">
        <v>45002</v>
      </c>
      <c r="C9852" s="1" t="n">
        <v>45212</v>
      </c>
      <c r="D9852" t="inlineStr">
        <is>
          <t>VÄSTRA GÖTALANDS LÄN</t>
        </is>
      </c>
      <c r="E9852" t="inlineStr">
        <is>
          <t>GULLSPÅNG</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13178-2023</t>
        </is>
      </c>
      <c r="B9853" s="1" t="n">
        <v>45002</v>
      </c>
      <c r="C9853" s="1" t="n">
        <v>45212</v>
      </c>
      <c r="D9853" t="inlineStr">
        <is>
          <t>VÄSTRA GÖTALANDS LÄN</t>
        </is>
      </c>
      <c r="E9853" t="inlineStr">
        <is>
          <t>SKÖVDE</t>
        </is>
      </c>
      <c r="G9853" t="n">
        <v>1.9</v>
      </c>
      <c r="H9853" t="n">
        <v>0</v>
      </c>
      <c r="I9853" t="n">
        <v>0</v>
      </c>
      <c r="J9853" t="n">
        <v>0</v>
      </c>
      <c r="K9853" t="n">
        <v>0</v>
      </c>
      <c r="L9853" t="n">
        <v>0</v>
      </c>
      <c r="M9853" t="n">
        <v>0</v>
      </c>
      <c r="N9853" t="n">
        <v>0</v>
      </c>
      <c r="O9853" t="n">
        <v>0</v>
      </c>
      <c r="P9853" t="n">
        <v>0</v>
      </c>
      <c r="Q9853" t="n">
        <v>0</v>
      </c>
      <c r="R9853" s="2" t="inlineStr"/>
    </row>
    <row r="9854" ht="15" customHeight="1">
      <c r="A9854" t="inlineStr">
        <is>
          <t>A 13040-2023</t>
        </is>
      </c>
      <c r="B9854" s="1" t="n">
        <v>45002</v>
      </c>
      <c r="C9854" s="1" t="n">
        <v>45212</v>
      </c>
      <c r="D9854" t="inlineStr">
        <is>
          <t>VÄSTRA GÖTALANDS LÄN</t>
        </is>
      </c>
      <c r="E9854" t="inlineStr">
        <is>
          <t>HERRLJUNGA</t>
        </is>
      </c>
      <c r="F9854" t="inlineStr">
        <is>
          <t>Sveaskog</t>
        </is>
      </c>
      <c r="G9854" t="n">
        <v>3.5</v>
      </c>
      <c r="H9854" t="n">
        <v>0</v>
      </c>
      <c r="I9854" t="n">
        <v>0</v>
      </c>
      <c r="J9854" t="n">
        <v>0</v>
      </c>
      <c r="K9854" t="n">
        <v>0</v>
      </c>
      <c r="L9854" t="n">
        <v>0</v>
      </c>
      <c r="M9854" t="n">
        <v>0</v>
      </c>
      <c r="N9854" t="n">
        <v>0</v>
      </c>
      <c r="O9854" t="n">
        <v>0</v>
      </c>
      <c r="P9854" t="n">
        <v>0</v>
      </c>
      <c r="Q9854" t="n">
        <v>0</v>
      </c>
      <c r="R9854" s="2" t="inlineStr"/>
    </row>
    <row r="9855" ht="15" customHeight="1">
      <c r="A9855" t="inlineStr">
        <is>
          <t>A 13115-2023</t>
        </is>
      </c>
      <c r="B9855" s="1" t="n">
        <v>45002</v>
      </c>
      <c r="C9855" s="1" t="n">
        <v>45212</v>
      </c>
      <c r="D9855" t="inlineStr">
        <is>
          <t>VÄSTRA GÖTALANDS LÄN</t>
        </is>
      </c>
      <c r="E9855" t="inlineStr">
        <is>
          <t>VÅRGÅRDA</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13108-2023</t>
        </is>
      </c>
      <c r="B9856" s="1" t="n">
        <v>45002</v>
      </c>
      <c r="C9856" s="1" t="n">
        <v>45212</v>
      </c>
      <c r="D9856" t="inlineStr">
        <is>
          <t>VÄSTRA GÖTALANDS LÄN</t>
        </is>
      </c>
      <c r="E9856" t="inlineStr">
        <is>
          <t>HÄRRYDA</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13119-2023</t>
        </is>
      </c>
      <c r="B9857" s="1" t="n">
        <v>45002</v>
      </c>
      <c r="C9857" s="1" t="n">
        <v>45212</v>
      </c>
      <c r="D9857" t="inlineStr">
        <is>
          <t>VÄSTRA GÖTALANDS LÄN</t>
        </is>
      </c>
      <c r="E9857" t="inlineStr">
        <is>
          <t>TROLLHÄTTAN</t>
        </is>
      </c>
      <c r="G9857" t="n">
        <v>2.6</v>
      </c>
      <c r="H9857" t="n">
        <v>0</v>
      </c>
      <c r="I9857" t="n">
        <v>0</v>
      </c>
      <c r="J9857" t="n">
        <v>0</v>
      </c>
      <c r="K9857" t="n">
        <v>0</v>
      </c>
      <c r="L9857" t="n">
        <v>0</v>
      </c>
      <c r="M9857" t="n">
        <v>0</v>
      </c>
      <c r="N9857" t="n">
        <v>0</v>
      </c>
      <c r="O9857" t="n">
        <v>0</v>
      </c>
      <c r="P9857" t="n">
        <v>0</v>
      </c>
      <c r="Q9857" t="n">
        <v>0</v>
      </c>
      <c r="R9857" s="2" t="inlineStr"/>
    </row>
    <row r="9858" ht="15" customHeight="1">
      <c r="A9858" t="inlineStr">
        <is>
          <t>A 13150-2023</t>
        </is>
      </c>
      <c r="B9858" s="1" t="n">
        <v>45002</v>
      </c>
      <c r="C9858" s="1" t="n">
        <v>45212</v>
      </c>
      <c r="D9858" t="inlineStr">
        <is>
          <t>VÄSTRA GÖTALANDS LÄN</t>
        </is>
      </c>
      <c r="E9858" t="inlineStr">
        <is>
          <t>STRÖMSTAD</t>
        </is>
      </c>
      <c r="G9858" t="n">
        <v>5.1</v>
      </c>
      <c r="H9858" t="n">
        <v>0</v>
      </c>
      <c r="I9858" t="n">
        <v>0</v>
      </c>
      <c r="J9858" t="n">
        <v>0</v>
      </c>
      <c r="K9858" t="n">
        <v>0</v>
      </c>
      <c r="L9858" t="n">
        <v>0</v>
      </c>
      <c r="M9858" t="n">
        <v>0</v>
      </c>
      <c r="N9858" t="n">
        <v>0</v>
      </c>
      <c r="O9858" t="n">
        <v>0</v>
      </c>
      <c r="P9858" t="n">
        <v>0</v>
      </c>
      <c r="Q9858" t="n">
        <v>0</v>
      </c>
      <c r="R9858" s="2" t="inlineStr"/>
    </row>
    <row r="9859" ht="15" customHeight="1">
      <c r="A9859" t="inlineStr">
        <is>
          <t>A 13161-2023</t>
        </is>
      </c>
      <c r="B9859" s="1" t="n">
        <v>45002</v>
      </c>
      <c r="C9859" s="1" t="n">
        <v>45212</v>
      </c>
      <c r="D9859" t="inlineStr">
        <is>
          <t>VÄSTRA GÖTALANDS LÄN</t>
        </is>
      </c>
      <c r="E9859" t="inlineStr">
        <is>
          <t>SVENLJUNGA</t>
        </is>
      </c>
      <c r="G9859" t="n">
        <v>3</v>
      </c>
      <c r="H9859" t="n">
        <v>0</v>
      </c>
      <c r="I9859" t="n">
        <v>0</v>
      </c>
      <c r="J9859" t="n">
        <v>0</v>
      </c>
      <c r="K9859" t="n">
        <v>0</v>
      </c>
      <c r="L9859" t="n">
        <v>0</v>
      </c>
      <c r="M9859" t="n">
        <v>0</v>
      </c>
      <c r="N9859" t="n">
        <v>0</v>
      </c>
      <c r="O9859" t="n">
        <v>0</v>
      </c>
      <c r="P9859" t="n">
        <v>0</v>
      </c>
      <c r="Q9859" t="n">
        <v>0</v>
      </c>
      <c r="R9859" s="2" t="inlineStr"/>
    </row>
    <row r="9860" ht="15" customHeight="1">
      <c r="A9860" t="inlineStr">
        <is>
          <t>A 13174-2023</t>
        </is>
      </c>
      <c r="B9860" s="1" t="n">
        <v>45002</v>
      </c>
      <c r="C9860" s="1" t="n">
        <v>45212</v>
      </c>
      <c r="D9860" t="inlineStr">
        <is>
          <t>VÄSTRA GÖTALANDS LÄN</t>
        </is>
      </c>
      <c r="E9860" t="inlineStr">
        <is>
          <t>SVENLJUNGA</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13223-2023</t>
        </is>
      </c>
      <c r="B9861" s="1" t="n">
        <v>45002</v>
      </c>
      <c r="C9861" s="1" t="n">
        <v>45212</v>
      </c>
      <c r="D9861" t="inlineStr">
        <is>
          <t>VÄSTRA GÖTALANDS LÄN</t>
        </is>
      </c>
      <c r="E9861" t="inlineStr">
        <is>
          <t>MUNKEDAL</t>
        </is>
      </c>
      <c r="F9861" t="inlineStr">
        <is>
          <t>Övriga Aktiebolag</t>
        </is>
      </c>
      <c r="G9861" t="n">
        <v>2.6</v>
      </c>
      <c r="H9861" t="n">
        <v>0</v>
      </c>
      <c r="I9861" t="n">
        <v>0</v>
      </c>
      <c r="J9861" t="n">
        <v>0</v>
      </c>
      <c r="K9861" t="n">
        <v>0</v>
      </c>
      <c r="L9861" t="n">
        <v>0</v>
      </c>
      <c r="M9861" t="n">
        <v>0</v>
      </c>
      <c r="N9861" t="n">
        <v>0</v>
      </c>
      <c r="O9861" t="n">
        <v>0</v>
      </c>
      <c r="P9861" t="n">
        <v>0</v>
      </c>
      <c r="Q9861" t="n">
        <v>0</v>
      </c>
      <c r="R9861" s="2" t="inlineStr"/>
    </row>
    <row r="9862" ht="15" customHeight="1">
      <c r="A9862" t="inlineStr">
        <is>
          <t>A 13293-2023</t>
        </is>
      </c>
      <c r="B9862" s="1" t="n">
        <v>45005</v>
      </c>
      <c r="C9862" s="1" t="n">
        <v>45212</v>
      </c>
      <c r="D9862" t="inlineStr">
        <is>
          <t>VÄSTRA GÖTALANDS LÄN</t>
        </is>
      </c>
      <c r="E9862" t="inlineStr">
        <is>
          <t>MARIESTAD</t>
        </is>
      </c>
      <c r="F9862" t="inlineStr">
        <is>
          <t>Sveaskog</t>
        </is>
      </c>
      <c r="G9862" t="n">
        <v>5</v>
      </c>
      <c r="H9862" t="n">
        <v>0</v>
      </c>
      <c r="I9862" t="n">
        <v>0</v>
      </c>
      <c r="J9862" t="n">
        <v>0</v>
      </c>
      <c r="K9862" t="n">
        <v>0</v>
      </c>
      <c r="L9862" t="n">
        <v>0</v>
      </c>
      <c r="M9862" t="n">
        <v>0</v>
      </c>
      <c r="N9862" t="n">
        <v>0</v>
      </c>
      <c r="O9862" t="n">
        <v>0</v>
      </c>
      <c r="P9862" t="n">
        <v>0</v>
      </c>
      <c r="Q9862" t="n">
        <v>0</v>
      </c>
      <c r="R9862" s="2" t="inlineStr"/>
    </row>
    <row r="9863" ht="15" customHeight="1">
      <c r="A9863" t="inlineStr">
        <is>
          <t>A 13301-2023</t>
        </is>
      </c>
      <c r="B9863" s="1" t="n">
        <v>45005</v>
      </c>
      <c r="C9863" s="1" t="n">
        <v>45212</v>
      </c>
      <c r="D9863" t="inlineStr">
        <is>
          <t>VÄSTRA GÖTALANDS LÄN</t>
        </is>
      </c>
      <c r="E9863" t="inlineStr">
        <is>
          <t>HERRLJUNGA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13381-2023</t>
        </is>
      </c>
      <c r="B9864" s="1" t="n">
        <v>45005</v>
      </c>
      <c r="C9864" s="1" t="n">
        <v>45212</v>
      </c>
      <c r="D9864" t="inlineStr">
        <is>
          <t>VÄSTRA GÖTALANDS LÄN</t>
        </is>
      </c>
      <c r="E9864" t="inlineStr">
        <is>
          <t>UDDEVALLA</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13353-2023</t>
        </is>
      </c>
      <c r="B9865" s="1" t="n">
        <v>45005</v>
      </c>
      <c r="C9865" s="1" t="n">
        <v>45212</v>
      </c>
      <c r="D9865" t="inlineStr">
        <is>
          <t>VÄSTRA GÖTALANDS LÄN</t>
        </is>
      </c>
      <c r="E9865" t="inlineStr">
        <is>
          <t>TRANEMO</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13481-2023</t>
        </is>
      </c>
      <c r="B9866" s="1" t="n">
        <v>45005</v>
      </c>
      <c r="C9866" s="1" t="n">
        <v>45212</v>
      </c>
      <c r="D9866" t="inlineStr">
        <is>
          <t>VÄSTRA GÖTALANDS LÄN</t>
        </is>
      </c>
      <c r="E9866" t="inlineStr">
        <is>
          <t>VARA</t>
        </is>
      </c>
      <c r="G9866" t="n">
        <v>0.7</v>
      </c>
      <c r="H9866" t="n">
        <v>0</v>
      </c>
      <c r="I9866" t="n">
        <v>0</v>
      </c>
      <c r="J9866" t="n">
        <v>0</v>
      </c>
      <c r="K9866" t="n">
        <v>0</v>
      </c>
      <c r="L9866" t="n">
        <v>0</v>
      </c>
      <c r="M9866" t="n">
        <v>0</v>
      </c>
      <c r="N9866" t="n">
        <v>0</v>
      </c>
      <c r="O9866" t="n">
        <v>0</v>
      </c>
      <c r="P9866" t="n">
        <v>0</v>
      </c>
      <c r="Q9866" t="n">
        <v>0</v>
      </c>
      <c r="R9866" s="2" t="inlineStr"/>
    </row>
    <row r="9867" ht="15" customHeight="1">
      <c r="A9867" t="inlineStr">
        <is>
          <t>A 13298-2023</t>
        </is>
      </c>
      <c r="B9867" s="1" t="n">
        <v>45005</v>
      </c>
      <c r="C9867" s="1" t="n">
        <v>45212</v>
      </c>
      <c r="D9867" t="inlineStr">
        <is>
          <t>VÄSTRA GÖTALANDS LÄN</t>
        </is>
      </c>
      <c r="E9867" t="inlineStr">
        <is>
          <t>HERRLJUNGA</t>
        </is>
      </c>
      <c r="G9867" t="n">
        <v>2.5</v>
      </c>
      <c r="H9867" t="n">
        <v>0</v>
      </c>
      <c r="I9867" t="n">
        <v>0</v>
      </c>
      <c r="J9867" t="n">
        <v>0</v>
      </c>
      <c r="K9867" t="n">
        <v>0</v>
      </c>
      <c r="L9867" t="n">
        <v>0</v>
      </c>
      <c r="M9867" t="n">
        <v>0</v>
      </c>
      <c r="N9867" t="n">
        <v>0</v>
      </c>
      <c r="O9867" t="n">
        <v>0</v>
      </c>
      <c r="P9867" t="n">
        <v>0</v>
      </c>
      <c r="Q9867" t="n">
        <v>0</v>
      </c>
      <c r="R9867" s="2" t="inlineStr"/>
    </row>
    <row r="9868" ht="15" customHeight="1">
      <c r="A9868" t="inlineStr">
        <is>
          <t>A 13303-2023</t>
        </is>
      </c>
      <c r="B9868" s="1" t="n">
        <v>45005</v>
      </c>
      <c r="C9868" s="1" t="n">
        <v>45212</v>
      </c>
      <c r="D9868" t="inlineStr">
        <is>
          <t>VÄSTRA GÖTALANDS LÄN</t>
        </is>
      </c>
      <c r="E9868" t="inlineStr">
        <is>
          <t>MUNKEDAL</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13539-2023</t>
        </is>
      </c>
      <c r="B9869" s="1" t="n">
        <v>45006</v>
      </c>
      <c r="C9869" s="1" t="n">
        <v>45212</v>
      </c>
      <c r="D9869" t="inlineStr">
        <is>
          <t>VÄSTRA GÖTALANDS LÄN</t>
        </is>
      </c>
      <c r="E9869" t="inlineStr">
        <is>
          <t>VÄNERSBORG</t>
        </is>
      </c>
      <c r="G9869" t="n">
        <v>3.2</v>
      </c>
      <c r="H9869" t="n">
        <v>0</v>
      </c>
      <c r="I9869" t="n">
        <v>0</v>
      </c>
      <c r="J9869" t="n">
        <v>0</v>
      </c>
      <c r="K9869" t="n">
        <v>0</v>
      </c>
      <c r="L9869" t="n">
        <v>0</v>
      </c>
      <c r="M9869" t="n">
        <v>0</v>
      </c>
      <c r="N9869" t="n">
        <v>0</v>
      </c>
      <c r="O9869" t="n">
        <v>0</v>
      </c>
      <c r="P9869" t="n">
        <v>0</v>
      </c>
      <c r="Q9869" t="n">
        <v>0</v>
      </c>
      <c r="R9869" s="2" t="inlineStr"/>
    </row>
    <row r="9870" ht="15" customHeight="1">
      <c r="A9870" t="inlineStr">
        <is>
          <t>A 13582-2023</t>
        </is>
      </c>
      <c r="B9870" s="1" t="n">
        <v>45006</v>
      </c>
      <c r="C9870" s="1" t="n">
        <v>45212</v>
      </c>
      <c r="D9870" t="inlineStr">
        <is>
          <t>VÄSTRA GÖTALANDS LÄN</t>
        </is>
      </c>
      <c r="E9870" t="inlineStr">
        <is>
          <t>MARIESTAD</t>
        </is>
      </c>
      <c r="G9870" t="n">
        <v>0.9</v>
      </c>
      <c r="H9870" t="n">
        <v>0</v>
      </c>
      <c r="I9870" t="n">
        <v>0</v>
      </c>
      <c r="J9870" t="n">
        <v>0</v>
      </c>
      <c r="K9870" t="n">
        <v>0</v>
      </c>
      <c r="L9870" t="n">
        <v>0</v>
      </c>
      <c r="M9870" t="n">
        <v>0</v>
      </c>
      <c r="N9870" t="n">
        <v>0</v>
      </c>
      <c r="O9870" t="n">
        <v>0</v>
      </c>
      <c r="P9870" t="n">
        <v>0</v>
      </c>
      <c r="Q9870" t="n">
        <v>0</v>
      </c>
      <c r="R9870" s="2" t="inlineStr"/>
    </row>
    <row r="9871" ht="15" customHeight="1">
      <c r="A9871" t="inlineStr">
        <is>
          <t>A 13655-2023</t>
        </is>
      </c>
      <c r="B9871" s="1" t="n">
        <v>45006</v>
      </c>
      <c r="C9871" s="1" t="n">
        <v>45212</v>
      </c>
      <c r="D9871" t="inlineStr">
        <is>
          <t>VÄSTRA GÖTALANDS LÄN</t>
        </is>
      </c>
      <c r="E9871" t="inlineStr">
        <is>
          <t>MARIESTAD</t>
        </is>
      </c>
      <c r="G9871" t="n">
        <v>0.1</v>
      </c>
      <c r="H9871" t="n">
        <v>0</v>
      </c>
      <c r="I9871" t="n">
        <v>0</v>
      </c>
      <c r="J9871" t="n">
        <v>0</v>
      </c>
      <c r="K9871" t="n">
        <v>0</v>
      </c>
      <c r="L9871" t="n">
        <v>0</v>
      </c>
      <c r="M9871" t="n">
        <v>0</v>
      </c>
      <c r="N9871" t="n">
        <v>0</v>
      </c>
      <c r="O9871" t="n">
        <v>0</v>
      </c>
      <c r="P9871" t="n">
        <v>0</v>
      </c>
      <c r="Q9871" t="n">
        <v>0</v>
      </c>
      <c r="R9871" s="2" t="inlineStr"/>
    </row>
    <row r="9872" ht="15" customHeight="1">
      <c r="A9872" t="inlineStr">
        <is>
          <t>A 13662-2023</t>
        </is>
      </c>
      <c r="B9872" s="1" t="n">
        <v>45006</v>
      </c>
      <c r="C9872" s="1" t="n">
        <v>45212</v>
      </c>
      <c r="D9872" t="inlineStr">
        <is>
          <t>VÄSTRA GÖTALANDS LÄN</t>
        </is>
      </c>
      <c r="E9872" t="inlineStr">
        <is>
          <t>TRANEMO</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13669-2023</t>
        </is>
      </c>
      <c r="B9873" s="1" t="n">
        <v>45006</v>
      </c>
      <c r="C9873" s="1" t="n">
        <v>45212</v>
      </c>
      <c r="D9873" t="inlineStr">
        <is>
          <t>VÄSTRA GÖTALANDS LÄN</t>
        </is>
      </c>
      <c r="E9873" t="inlineStr">
        <is>
          <t>SKÖVDE</t>
        </is>
      </c>
      <c r="G9873" t="n">
        <v>4</v>
      </c>
      <c r="H9873" t="n">
        <v>0</v>
      </c>
      <c r="I9873" t="n">
        <v>0</v>
      </c>
      <c r="J9873" t="n">
        <v>0</v>
      </c>
      <c r="K9873" t="n">
        <v>0</v>
      </c>
      <c r="L9873" t="n">
        <v>0</v>
      </c>
      <c r="M9873" t="n">
        <v>0</v>
      </c>
      <c r="N9873" t="n">
        <v>0</v>
      </c>
      <c r="O9873" t="n">
        <v>0</v>
      </c>
      <c r="P9873" t="n">
        <v>0</v>
      </c>
      <c r="Q9873" t="n">
        <v>0</v>
      </c>
      <c r="R9873" s="2" t="inlineStr"/>
    </row>
    <row r="9874" ht="15" customHeight="1">
      <c r="A9874" t="inlineStr">
        <is>
          <t>A 13540-2023</t>
        </is>
      </c>
      <c r="B9874" s="1" t="n">
        <v>45006</v>
      </c>
      <c r="C9874" s="1" t="n">
        <v>45212</v>
      </c>
      <c r="D9874" t="inlineStr">
        <is>
          <t>VÄSTRA GÖTALANDS LÄN</t>
        </is>
      </c>
      <c r="E9874" t="inlineStr">
        <is>
          <t>VÄNERSBORG</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13574-2023</t>
        </is>
      </c>
      <c r="B9875" s="1" t="n">
        <v>45006</v>
      </c>
      <c r="C9875" s="1" t="n">
        <v>45212</v>
      </c>
      <c r="D9875" t="inlineStr">
        <is>
          <t>VÄSTRA GÖTALANDS LÄN</t>
        </is>
      </c>
      <c r="E9875" t="inlineStr">
        <is>
          <t>SVENLJUNGA</t>
        </is>
      </c>
      <c r="G9875" t="n">
        <v>4.8</v>
      </c>
      <c r="H9875" t="n">
        <v>0</v>
      </c>
      <c r="I9875" t="n">
        <v>0</v>
      </c>
      <c r="J9875" t="n">
        <v>0</v>
      </c>
      <c r="K9875" t="n">
        <v>0</v>
      </c>
      <c r="L9875" t="n">
        <v>0</v>
      </c>
      <c r="M9875" t="n">
        <v>0</v>
      </c>
      <c r="N9875" t="n">
        <v>0</v>
      </c>
      <c r="O9875" t="n">
        <v>0</v>
      </c>
      <c r="P9875" t="n">
        <v>0</v>
      </c>
      <c r="Q9875" t="n">
        <v>0</v>
      </c>
      <c r="R9875" s="2" t="inlineStr"/>
    </row>
    <row r="9876" ht="15" customHeight="1">
      <c r="A9876" t="inlineStr">
        <is>
          <t>A 13576-2023</t>
        </is>
      </c>
      <c r="B9876" s="1" t="n">
        <v>45006</v>
      </c>
      <c r="C9876" s="1" t="n">
        <v>45212</v>
      </c>
      <c r="D9876" t="inlineStr">
        <is>
          <t>VÄSTRA GÖTALANDS LÄN</t>
        </is>
      </c>
      <c r="E9876" t="inlineStr">
        <is>
          <t>ALINGSÅS</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13640-2023</t>
        </is>
      </c>
      <c r="B9877" s="1" t="n">
        <v>45006</v>
      </c>
      <c r="C9877" s="1" t="n">
        <v>45212</v>
      </c>
      <c r="D9877" t="inlineStr">
        <is>
          <t>VÄSTRA GÖTALANDS LÄN</t>
        </is>
      </c>
      <c r="E9877" t="inlineStr">
        <is>
          <t>TRANEMO</t>
        </is>
      </c>
      <c r="G9877" t="n">
        <v>1</v>
      </c>
      <c r="H9877" t="n">
        <v>0</v>
      </c>
      <c r="I9877" t="n">
        <v>0</v>
      </c>
      <c r="J9877" t="n">
        <v>0</v>
      </c>
      <c r="K9877" t="n">
        <v>0</v>
      </c>
      <c r="L9877" t="n">
        <v>0</v>
      </c>
      <c r="M9877" t="n">
        <v>0</v>
      </c>
      <c r="N9877" t="n">
        <v>0</v>
      </c>
      <c r="O9877" t="n">
        <v>0</v>
      </c>
      <c r="P9877" t="n">
        <v>0</v>
      </c>
      <c r="Q9877" t="n">
        <v>0</v>
      </c>
      <c r="R9877" s="2" t="inlineStr"/>
    </row>
    <row r="9878" ht="15" customHeight="1">
      <c r="A9878" t="inlineStr">
        <is>
          <t>A 13664-2023</t>
        </is>
      </c>
      <c r="B9878" s="1" t="n">
        <v>45006</v>
      </c>
      <c r="C9878" s="1" t="n">
        <v>45212</v>
      </c>
      <c r="D9878" t="inlineStr">
        <is>
          <t>VÄSTRA GÖTALANDS LÄN</t>
        </is>
      </c>
      <c r="E9878" t="inlineStr">
        <is>
          <t>TRANEMO</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13523-2023</t>
        </is>
      </c>
      <c r="B9879" s="1" t="n">
        <v>45006</v>
      </c>
      <c r="C9879" s="1" t="n">
        <v>45212</v>
      </c>
      <c r="D9879" t="inlineStr">
        <is>
          <t>VÄSTRA GÖTALANDS LÄN</t>
        </is>
      </c>
      <c r="E9879" t="inlineStr">
        <is>
          <t>MELLERUD</t>
        </is>
      </c>
      <c r="G9879" t="n">
        <v>0.8</v>
      </c>
      <c r="H9879" t="n">
        <v>0</v>
      </c>
      <c r="I9879" t="n">
        <v>0</v>
      </c>
      <c r="J9879" t="n">
        <v>0</v>
      </c>
      <c r="K9879" t="n">
        <v>0</v>
      </c>
      <c r="L9879" t="n">
        <v>0</v>
      </c>
      <c r="M9879" t="n">
        <v>0</v>
      </c>
      <c r="N9879" t="n">
        <v>0</v>
      </c>
      <c r="O9879" t="n">
        <v>0</v>
      </c>
      <c r="P9879" t="n">
        <v>0</v>
      </c>
      <c r="Q9879" t="n">
        <v>0</v>
      </c>
      <c r="R9879" s="2" t="inlineStr"/>
    </row>
    <row r="9880" ht="15" customHeight="1">
      <c r="A9880" t="inlineStr">
        <is>
          <t>A 13537-2023</t>
        </is>
      </c>
      <c r="B9880" s="1" t="n">
        <v>45006</v>
      </c>
      <c r="C9880" s="1" t="n">
        <v>45212</v>
      </c>
      <c r="D9880" t="inlineStr">
        <is>
          <t>VÄSTRA GÖTALANDS LÄN</t>
        </is>
      </c>
      <c r="E9880" t="inlineStr">
        <is>
          <t>DALS-ED</t>
        </is>
      </c>
      <c r="G9880" t="n">
        <v>1.9</v>
      </c>
      <c r="H9880" t="n">
        <v>0</v>
      </c>
      <c r="I9880" t="n">
        <v>0</v>
      </c>
      <c r="J9880" t="n">
        <v>0</v>
      </c>
      <c r="K9880" t="n">
        <v>0</v>
      </c>
      <c r="L9880" t="n">
        <v>0</v>
      </c>
      <c r="M9880" t="n">
        <v>0</v>
      </c>
      <c r="N9880" t="n">
        <v>0</v>
      </c>
      <c r="O9880" t="n">
        <v>0</v>
      </c>
      <c r="P9880" t="n">
        <v>0</v>
      </c>
      <c r="Q9880" t="n">
        <v>0</v>
      </c>
      <c r="R9880" s="2" t="inlineStr"/>
    </row>
    <row r="9881" ht="15" customHeight="1">
      <c r="A9881" t="inlineStr">
        <is>
          <t>A 13547-2023</t>
        </is>
      </c>
      <c r="B9881" s="1" t="n">
        <v>45006</v>
      </c>
      <c r="C9881" s="1" t="n">
        <v>45212</v>
      </c>
      <c r="D9881" t="inlineStr">
        <is>
          <t>VÄSTRA GÖTALANDS LÄN</t>
        </is>
      </c>
      <c r="E9881" t="inlineStr">
        <is>
          <t>UDDEVALLA</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13605-2023</t>
        </is>
      </c>
      <c r="B9882" s="1" t="n">
        <v>45006</v>
      </c>
      <c r="C9882" s="1" t="n">
        <v>45212</v>
      </c>
      <c r="D9882" t="inlineStr">
        <is>
          <t>VÄSTRA GÖTALANDS LÄN</t>
        </is>
      </c>
      <c r="E9882" t="inlineStr">
        <is>
          <t>STENUNGSUND</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13800-2023</t>
        </is>
      </c>
      <c r="B9883" s="1" t="n">
        <v>45007</v>
      </c>
      <c r="C9883" s="1" t="n">
        <v>45212</v>
      </c>
      <c r="D9883" t="inlineStr">
        <is>
          <t>VÄSTRA GÖTALANDS LÄN</t>
        </is>
      </c>
      <c r="E9883" t="inlineStr">
        <is>
          <t>MELLERUD</t>
        </is>
      </c>
      <c r="G9883" t="n">
        <v>1.1</v>
      </c>
      <c r="H9883" t="n">
        <v>0</v>
      </c>
      <c r="I9883" t="n">
        <v>0</v>
      </c>
      <c r="J9883" t="n">
        <v>0</v>
      </c>
      <c r="K9883" t="n">
        <v>0</v>
      </c>
      <c r="L9883" t="n">
        <v>0</v>
      </c>
      <c r="M9883" t="n">
        <v>0</v>
      </c>
      <c r="N9883" t="n">
        <v>0</v>
      </c>
      <c r="O9883" t="n">
        <v>0</v>
      </c>
      <c r="P9883" t="n">
        <v>0</v>
      </c>
      <c r="Q9883" t="n">
        <v>0</v>
      </c>
      <c r="R9883" s="2" t="inlineStr"/>
    </row>
    <row r="9884" ht="15" customHeight="1">
      <c r="A9884" t="inlineStr">
        <is>
          <t>A 13913-2023</t>
        </is>
      </c>
      <c r="B9884" s="1" t="n">
        <v>45007</v>
      </c>
      <c r="C9884" s="1" t="n">
        <v>45212</v>
      </c>
      <c r="D9884" t="inlineStr">
        <is>
          <t>VÄSTRA GÖTALANDS LÄN</t>
        </is>
      </c>
      <c r="E9884" t="inlineStr">
        <is>
          <t>BORÅS</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13964-2023</t>
        </is>
      </c>
      <c r="B9885" s="1" t="n">
        <v>45007</v>
      </c>
      <c r="C9885" s="1" t="n">
        <v>45212</v>
      </c>
      <c r="D9885" t="inlineStr">
        <is>
          <t>VÄSTRA GÖTALANDS LÄN</t>
        </is>
      </c>
      <c r="E9885" t="inlineStr">
        <is>
          <t>TIDAHOLM</t>
        </is>
      </c>
      <c r="G9885" t="n">
        <v>13.8</v>
      </c>
      <c r="H9885" t="n">
        <v>0</v>
      </c>
      <c r="I9885" t="n">
        <v>0</v>
      </c>
      <c r="J9885" t="n">
        <v>0</v>
      </c>
      <c r="K9885" t="n">
        <v>0</v>
      </c>
      <c r="L9885" t="n">
        <v>0</v>
      </c>
      <c r="M9885" t="n">
        <v>0</v>
      </c>
      <c r="N9885" t="n">
        <v>0</v>
      </c>
      <c r="O9885" t="n">
        <v>0</v>
      </c>
      <c r="P9885" t="n">
        <v>0</v>
      </c>
      <c r="Q9885" t="n">
        <v>0</v>
      </c>
      <c r="R9885" s="2" t="inlineStr"/>
    </row>
    <row r="9886" ht="15" customHeight="1">
      <c r="A9886" t="inlineStr">
        <is>
          <t>A 13871-2023</t>
        </is>
      </c>
      <c r="B9886" s="1" t="n">
        <v>45007</v>
      </c>
      <c r="C9886" s="1" t="n">
        <v>45212</v>
      </c>
      <c r="D9886" t="inlineStr">
        <is>
          <t>VÄSTRA GÖTALANDS LÄN</t>
        </is>
      </c>
      <c r="E9886" t="inlineStr">
        <is>
          <t>DALS-ED</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13799-2023</t>
        </is>
      </c>
      <c r="B9887" s="1" t="n">
        <v>45007</v>
      </c>
      <c r="C9887" s="1" t="n">
        <v>45212</v>
      </c>
      <c r="D9887" t="inlineStr">
        <is>
          <t>VÄSTRA GÖTALANDS LÄN</t>
        </is>
      </c>
      <c r="E9887" t="inlineStr">
        <is>
          <t>MELLERUD</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13831-2023</t>
        </is>
      </c>
      <c r="B9888" s="1" t="n">
        <v>45007</v>
      </c>
      <c r="C9888" s="1" t="n">
        <v>45212</v>
      </c>
      <c r="D9888" t="inlineStr">
        <is>
          <t>VÄSTRA GÖTALANDS LÄN</t>
        </is>
      </c>
      <c r="E9888" t="inlineStr">
        <is>
          <t>BENGTSFORS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13787-2023</t>
        </is>
      </c>
      <c r="B9889" s="1" t="n">
        <v>45007</v>
      </c>
      <c r="C9889" s="1" t="n">
        <v>45212</v>
      </c>
      <c r="D9889" t="inlineStr">
        <is>
          <t>VÄSTRA GÖTALANDS LÄN</t>
        </is>
      </c>
      <c r="E9889" t="inlineStr">
        <is>
          <t>SKÖVDE</t>
        </is>
      </c>
      <c r="G9889" t="n">
        <v>4.8</v>
      </c>
      <c r="H9889" t="n">
        <v>0</v>
      </c>
      <c r="I9889" t="n">
        <v>0</v>
      </c>
      <c r="J9889" t="n">
        <v>0</v>
      </c>
      <c r="K9889" t="n">
        <v>0</v>
      </c>
      <c r="L9889" t="n">
        <v>0</v>
      </c>
      <c r="M9889" t="n">
        <v>0</v>
      </c>
      <c r="N9889" t="n">
        <v>0</v>
      </c>
      <c r="O9889" t="n">
        <v>0</v>
      </c>
      <c r="P9889" t="n">
        <v>0</v>
      </c>
      <c r="Q9889" t="n">
        <v>0</v>
      </c>
      <c r="R9889" s="2" t="inlineStr"/>
    </row>
    <row r="9890" ht="15" customHeight="1">
      <c r="A9890" t="inlineStr">
        <is>
          <t>A 13826-2023</t>
        </is>
      </c>
      <c r="B9890" s="1" t="n">
        <v>45007</v>
      </c>
      <c r="C9890" s="1" t="n">
        <v>45212</v>
      </c>
      <c r="D9890" t="inlineStr">
        <is>
          <t>VÄSTRA GÖTALANDS LÄN</t>
        </is>
      </c>
      <c r="E9890" t="inlineStr">
        <is>
          <t>BENGTSFORS</t>
        </is>
      </c>
      <c r="G9890" t="n">
        <v>10.1</v>
      </c>
      <c r="H9890" t="n">
        <v>0</v>
      </c>
      <c r="I9890" t="n">
        <v>0</v>
      </c>
      <c r="J9890" t="n">
        <v>0</v>
      </c>
      <c r="K9890" t="n">
        <v>0</v>
      </c>
      <c r="L9890" t="n">
        <v>0</v>
      </c>
      <c r="M9890" t="n">
        <v>0</v>
      </c>
      <c r="N9890" t="n">
        <v>0</v>
      </c>
      <c r="O9890" t="n">
        <v>0</v>
      </c>
      <c r="P9890" t="n">
        <v>0</v>
      </c>
      <c r="Q9890" t="n">
        <v>0</v>
      </c>
      <c r="R9890" s="2" t="inlineStr"/>
    </row>
    <row r="9891" ht="15" customHeight="1">
      <c r="A9891" t="inlineStr">
        <is>
          <t>A 13975-2023</t>
        </is>
      </c>
      <c r="B9891" s="1" t="n">
        <v>45008</v>
      </c>
      <c r="C9891" s="1" t="n">
        <v>45212</v>
      </c>
      <c r="D9891" t="inlineStr">
        <is>
          <t>VÄSTRA GÖTALANDS LÄN</t>
        </is>
      </c>
      <c r="E9891" t="inlineStr">
        <is>
          <t>LILLA EDET</t>
        </is>
      </c>
      <c r="G9891" t="n">
        <v>2.2</v>
      </c>
      <c r="H9891" t="n">
        <v>0</v>
      </c>
      <c r="I9891" t="n">
        <v>0</v>
      </c>
      <c r="J9891" t="n">
        <v>0</v>
      </c>
      <c r="K9891" t="n">
        <v>0</v>
      </c>
      <c r="L9891" t="n">
        <v>0</v>
      </c>
      <c r="M9891" t="n">
        <v>0</v>
      </c>
      <c r="N9891" t="n">
        <v>0</v>
      </c>
      <c r="O9891" t="n">
        <v>0</v>
      </c>
      <c r="P9891" t="n">
        <v>0</v>
      </c>
      <c r="Q9891" t="n">
        <v>0</v>
      </c>
      <c r="R9891" s="2" t="inlineStr"/>
    </row>
    <row r="9892" ht="15" customHeight="1">
      <c r="A9892" t="inlineStr">
        <is>
          <t>A 14010-2023</t>
        </is>
      </c>
      <c r="B9892" s="1" t="n">
        <v>45008</v>
      </c>
      <c r="C9892" s="1" t="n">
        <v>45212</v>
      </c>
      <c r="D9892" t="inlineStr">
        <is>
          <t>VÄSTRA GÖTALANDS LÄN</t>
        </is>
      </c>
      <c r="E9892" t="inlineStr">
        <is>
          <t>DALS-ED</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14039-2023</t>
        </is>
      </c>
      <c r="B9893" s="1" t="n">
        <v>45008</v>
      </c>
      <c r="C9893" s="1" t="n">
        <v>45212</v>
      </c>
      <c r="D9893" t="inlineStr">
        <is>
          <t>VÄSTRA GÖTALANDS LÄN</t>
        </is>
      </c>
      <c r="E9893" t="inlineStr">
        <is>
          <t>ULRICEHAMN</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13973-2023</t>
        </is>
      </c>
      <c r="B9894" s="1" t="n">
        <v>45008</v>
      </c>
      <c r="C9894" s="1" t="n">
        <v>45212</v>
      </c>
      <c r="D9894" t="inlineStr">
        <is>
          <t>VÄSTRA GÖTALANDS LÄN</t>
        </is>
      </c>
      <c r="E9894" t="inlineStr">
        <is>
          <t>LILLA EDET</t>
        </is>
      </c>
      <c r="G9894" t="n">
        <v>1</v>
      </c>
      <c r="H9894" t="n">
        <v>0</v>
      </c>
      <c r="I9894" t="n">
        <v>0</v>
      </c>
      <c r="J9894" t="n">
        <v>0</v>
      </c>
      <c r="K9894" t="n">
        <v>0</v>
      </c>
      <c r="L9894" t="n">
        <v>0</v>
      </c>
      <c r="M9894" t="n">
        <v>0</v>
      </c>
      <c r="N9894" t="n">
        <v>0</v>
      </c>
      <c r="O9894" t="n">
        <v>0</v>
      </c>
      <c r="P9894" t="n">
        <v>0</v>
      </c>
      <c r="Q9894" t="n">
        <v>0</v>
      </c>
      <c r="R9894" s="2" t="inlineStr"/>
    </row>
    <row r="9895" ht="15" customHeight="1">
      <c r="A9895" t="inlineStr">
        <is>
          <t>A 14038-2023</t>
        </is>
      </c>
      <c r="B9895" s="1" t="n">
        <v>45008</v>
      </c>
      <c r="C9895" s="1" t="n">
        <v>45212</v>
      </c>
      <c r="D9895" t="inlineStr">
        <is>
          <t>VÄSTRA GÖTALANDS LÄN</t>
        </is>
      </c>
      <c r="E9895" t="inlineStr">
        <is>
          <t>ULRICEHAMN</t>
        </is>
      </c>
      <c r="G9895" t="n">
        <v>1.9</v>
      </c>
      <c r="H9895" t="n">
        <v>0</v>
      </c>
      <c r="I9895" t="n">
        <v>0</v>
      </c>
      <c r="J9895" t="n">
        <v>0</v>
      </c>
      <c r="K9895" t="n">
        <v>0</v>
      </c>
      <c r="L9895" t="n">
        <v>0</v>
      </c>
      <c r="M9895" t="n">
        <v>0</v>
      </c>
      <c r="N9895" t="n">
        <v>0</v>
      </c>
      <c r="O9895" t="n">
        <v>0</v>
      </c>
      <c r="P9895" t="n">
        <v>0</v>
      </c>
      <c r="Q9895" t="n">
        <v>0</v>
      </c>
      <c r="R9895" s="2" t="inlineStr"/>
    </row>
    <row r="9896" ht="15" customHeight="1">
      <c r="A9896" t="inlineStr">
        <is>
          <t>A 13949-2023</t>
        </is>
      </c>
      <c r="B9896" s="1" t="n">
        <v>45008</v>
      </c>
      <c r="C9896" s="1" t="n">
        <v>45212</v>
      </c>
      <c r="D9896" t="inlineStr">
        <is>
          <t>VÄSTRA GÖTALANDS LÄN</t>
        </is>
      </c>
      <c r="E9896" t="inlineStr">
        <is>
          <t>DALS-ED</t>
        </is>
      </c>
      <c r="G9896" t="n">
        <v>2.3</v>
      </c>
      <c r="H9896" t="n">
        <v>0</v>
      </c>
      <c r="I9896" t="n">
        <v>0</v>
      </c>
      <c r="J9896" t="n">
        <v>0</v>
      </c>
      <c r="K9896" t="n">
        <v>0</v>
      </c>
      <c r="L9896" t="n">
        <v>0</v>
      </c>
      <c r="M9896" t="n">
        <v>0</v>
      </c>
      <c r="N9896" t="n">
        <v>0</v>
      </c>
      <c r="O9896" t="n">
        <v>0</v>
      </c>
      <c r="P9896" t="n">
        <v>0</v>
      </c>
      <c r="Q9896" t="n">
        <v>0</v>
      </c>
      <c r="R9896" s="2" t="inlineStr"/>
    </row>
    <row r="9897" ht="15" customHeight="1">
      <c r="A9897" t="inlineStr">
        <is>
          <t>A 13960-2023</t>
        </is>
      </c>
      <c r="B9897" s="1" t="n">
        <v>45008</v>
      </c>
      <c r="C9897" s="1" t="n">
        <v>45212</v>
      </c>
      <c r="D9897" t="inlineStr">
        <is>
          <t>VÄSTRA GÖTALANDS LÄN</t>
        </is>
      </c>
      <c r="E9897" t="inlineStr">
        <is>
          <t>LYSEKIL</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14012-2023</t>
        </is>
      </c>
      <c r="B9898" s="1" t="n">
        <v>45008</v>
      </c>
      <c r="C9898" s="1" t="n">
        <v>45212</v>
      </c>
      <c r="D9898" t="inlineStr">
        <is>
          <t>VÄSTRA GÖTALANDS LÄN</t>
        </is>
      </c>
      <c r="E9898" t="inlineStr">
        <is>
          <t>DALS-ED</t>
        </is>
      </c>
      <c r="G9898" t="n">
        <v>0.5</v>
      </c>
      <c r="H9898" t="n">
        <v>0</v>
      </c>
      <c r="I9898" t="n">
        <v>0</v>
      </c>
      <c r="J9898" t="n">
        <v>0</v>
      </c>
      <c r="K9898" t="n">
        <v>0</v>
      </c>
      <c r="L9898" t="n">
        <v>0</v>
      </c>
      <c r="M9898" t="n">
        <v>0</v>
      </c>
      <c r="N9898" t="n">
        <v>0</v>
      </c>
      <c r="O9898" t="n">
        <v>0</v>
      </c>
      <c r="P9898" t="n">
        <v>0</v>
      </c>
      <c r="Q9898" t="n">
        <v>0</v>
      </c>
      <c r="R9898" s="2" t="inlineStr"/>
    </row>
    <row r="9899" ht="15" customHeight="1">
      <c r="A9899" t="inlineStr">
        <is>
          <t>A 14177-2023</t>
        </is>
      </c>
      <c r="B9899" s="1" t="n">
        <v>45008</v>
      </c>
      <c r="C9899" s="1" t="n">
        <v>45212</v>
      </c>
      <c r="D9899" t="inlineStr">
        <is>
          <t>VÄSTRA GÖTALANDS LÄN</t>
        </is>
      </c>
      <c r="E9899" t="inlineStr">
        <is>
          <t>HJO</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14196-2023</t>
        </is>
      </c>
      <c r="B9900" s="1" t="n">
        <v>45009</v>
      </c>
      <c r="C9900" s="1" t="n">
        <v>45212</v>
      </c>
      <c r="D9900" t="inlineStr">
        <is>
          <t>VÄSTRA GÖTALANDS LÄN</t>
        </is>
      </c>
      <c r="E9900" t="inlineStr">
        <is>
          <t>HJO</t>
        </is>
      </c>
      <c r="G9900" t="n">
        <v>3.5</v>
      </c>
      <c r="H9900" t="n">
        <v>0</v>
      </c>
      <c r="I9900" t="n">
        <v>0</v>
      </c>
      <c r="J9900" t="n">
        <v>0</v>
      </c>
      <c r="K9900" t="n">
        <v>0</v>
      </c>
      <c r="L9900" t="n">
        <v>0</v>
      </c>
      <c r="M9900" t="n">
        <v>0</v>
      </c>
      <c r="N9900" t="n">
        <v>0</v>
      </c>
      <c r="O9900" t="n">
        <v>0</v>
      </c>
      <c r="P9900" t="n">
        <v>0</v>
      </c>
      <c r="Q9900" t="n">
        <v>0</v>
      </c>
      <c r="R9900" s="2" t="inlineStr"/>
    </row>
    <row r="9901" ht="15" customHeight="1">
      <c r="A9901" t="inlineStr">
        <is>
          <t>A 14189-2023</t>
        </is>
      </c>
      <c r="B9901" s="1" t="n">
        <v>45009</v>
      </c>
      <c r="C9901" s="1" t="n">
        <v>45212</v>
      </c>
      <c r="D9901" t="inlineStr">
        <is>
          <t>VÄSTRA GÖTALANDS LÄN</t>
        </is>
      </c>
      <c r="E9901" t="inlineStr">
        <is>
          <t>HJO</t>
        </is>
      </c>
      <c r="G9901" t="n">
        <v>2.8</v>
      </c>
      <c r="H9901" t="n">
        <v>0</v>
      </c>
      <c r="I9901" t="n">
        <v>0</v>
      </c>
      <c r="J9901" t="n">
        <v>0</v>
      </c>
      <c r="K9901" t="n">
        <v>0</v>
      </c>
      <c r="L9901" t="n">
        <v>0</v>
      </c>
      <c r="M9901" t="n">
        <v>0</v>
      </c>
      <c r="N9901" t="n">
        <v>0</v>
      </c>
      <c r="O9901" t="n">
        <v>0</v>
      </c>
      <c r="P9901" t="n">
        <v>0</v>
      </c>
      <c r="Q9901" t="n">
        <v>0</v>
      </c>
      <c r="R9901" s="2" t="inlineStr"/>
    </row>
    <row r="9902" ht="15" customHeight="1">
      <c r="A9902" t="inlineStr">
        <is>
          <t>A 14287-2023</t>
        </is>
      </c>
      <c r="B9902" s="1" t="n">
        <v>45010</v>
      </c>
      <c r="C9902" s="1" t="n">
        <v>45212</v>
      </c>
      <c r="D9902" t="inlineStr">
        <is>
          <t>VÄSTRA GÖTALANDS LÄN</t>
        </is>
      </c>
      <c r="E9902" t="inlineStr">
        <is>
          <t>ALINGSÅS</t>
        </is>
      </c>
      <c r="G9902" t="n">
        <v>4</v>
      </c>
      <c r="H9902" t="n">
        <v>0</v>
      </c>
      <c r="I9902" t="n">
        <v>0</v>
      </c>
      <c r="J9902" t="n">
        <v>0</v>
      </c>
      <c r="K9902" t="n">
        <v>0</v>
      </c>
      <c r="L9902" t="n">
        <v>0</v>
      </c>
      <c r="M9902" t="n">
        <v>0</v>
      </c>
      <c r="N9902" t="n">
        <v>0</v>
      </c>
      <c r="O9902" t="n">
        <v>0</v>
      </c>
      <c r="P9902" t="n">
        <v>0</v>
      </c>
      <c r="Q9902" t="n">
        <v>0</v>
      </c>
      <c r="R9902" s="2" t="inlineStr"/>
    </row>
    <row r="9903" ht="15" customHeight="1">
      <c r="A9903" t="inlineStr">
        <is>
          <t>A 14460-2023</t>
        </is>
      </c>
      <c r="B9903" s="1" t="n">
        <v>45010</v>
      </c>
      <c r="C9903" s="1" t="n">
        <v>45212</v>
      </c>
      <c r="D9903" t="inlineStr">
        <is>
          <t>VÄSTRA GÖTALANDS LÄN</t>
        </is>
      </c>
      <c r="E9903" t="inlineStr">
        <is>
          <t>HJO</t>
        </is>
      </c>
      <c r="G9903" t="n">
        <v>5.4</v>
      </c>
      <c r="H9903" t="n">
        <v>0</v>
      </c>
      <c r="I9903" t="n">
        <v>0</v>
      </c>
      <c r="J9903" t="n">
        <v>0</v>
      </c>
      <c r="K9903" t="n">
        <v>0</v>
      </c>
      <c r="L9903" t="n">
        <v>0</v>
      </c>
      <c r="M9903" t="n">
        <v>0</v>
      </c>
      <c r="N9903" t="n">
        <v>0</v>
      </c>
      <c r="O9903" t="n">
        <v>0</v>
      </c>
      <c r="P9903" t="n">
        <v>0</v>
      </c>
      <c r="Q9903" t="n">
        <v>0</v>
      </c>
      <c r="R9903" s="2" t="inlineStr"/>
    </row>
    <row r="9904" ht="15" customHeight="1">
      <c r="A9904" t="inlineStr">
        <is>
          <t>A 14294-2023</t>
        </is>
      </c>
      <c r="B9904" s="1" t="n">
        <v>45011</v>
      </c>
      <c r="C9904" s="1" t="n">
        <v>45212</v>
      </c>
      <c r="D9904" t="inlineStr">
        <is>
          <t>VÄSTRA GÖTALANDS LÄN</t>
        </is>
      </c>
      <c r="E9904" t="inlineStr">
        <is>
          <t>VÄNERSBORG</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14309-2023</t>
        </is>
      </c>
      <c r="B9905" s="1" t="n">
        <v>45011</v>
      </c>
      <c r="C9905" s="1" t="n">
        <v>45212</v>
      </c>
      <c r="D9905" t="inlineStr">
        <is>
          <t>VÄSTRA GÖTALANDS LÄN</t>
        </is>
      </c>
      <c r="E9905" t="inlineStr">
        <is>
          <t>DALS-ED</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14296-2023</t>
        </is>
      </c>
      <c r="B9906" s="1" t="n">
        <v>45011</v>
      </c>
      <c r="C9906" s="1" t="n">
        <v>45212</v>
      </c>
      <c r="D9906" t="inlineStr">
        <is>
          <t>VÄSTRA GÖTALANDS LÄN</t>
        </is>
      </c>
      <c r="E9906" t="inlineStr">
        <is>
          <t>GÖTENE</t>
        </is>
      </c>
      <c r="G9906" t="n">
        <v>1.7</v>
      </c>
      <c r="H9906" t="n">
        <v>0</v>
      </c>
      <c r="I9906" t="n">
        <v>0</v>
      </c>
      <c r="J9906" t="n">
        <v>0</v>
      </c>
      <c r="K9906" t="n">
        <v>0</v>
      </c>
      <c r="L9906" t="n">
        <v>0</v>
      </c>
      <c r="M9906" t="n">
        <v>0</v>
      </c>
      <c r="N9906" t="n">
        <v>0</v>
      </c>
      <c r="O9906" t="n">
        <v>0</v>
      </c>
      <c r="P9906" t="n">
        <v>0</v>
      </c>
      <c r="Q9906" t="n">
        <v>0</v>
      </c>
      <c r="R9906" s="2" t="inlineStr"/>
    </row>
    <row r="9907" ht="15" customHeight="1">
      <c r="A9907" t="inlineStr">
        <is>
          <t>A 14313-2023</t>
        </is>
      </c>
      <c r="B9907" s="1" t="n">
        <v>45011</v>
      </c>
      <c r="C9907" s="1" t="n">
        <v>45212</v>
      </c>
      <c r="D9907" t="inlineStr">
        <is>
          <t>VÄSTRA GÖTALANDS LÄN</t>
        </is>
      </c>
      <c r="E9907" t="inlineStr">
        <is>
          <t>ALINGSÅS</t>
        </is>
      </c>
      <c r="G9907" t="n">
        <v>3.8</v>
      </c>
      <c r="H9907" t="n">
        <v>0</v>
      </c>
      <c r="I9907" t="n">
        <v>0</v>
      </c>
      <c r="J9907" t="n">
        <v>0</v>
      </c>
      <c r="K9907" t="n">
        <v>0</v>
      </c>
      <c r="L9907" t="n">
        <v>0</v>
      </c>
      <c r="M9907" t="n">
        <v>0</v>
      </c>
      <c r="N9907" t="n">
        <v>0</v>
      </c>
      <c r="O9907" t="n">
        <v>0</v>
      </c>
      <c r="P9907" t="n">
        <v>0</v>
      </c>
      <c r="Q9907" t="n">
        <v>0</v>
      </c>
      <c r="R9907" s="2" t="inlineStr"/>
    </row>
    <row r="9908" ht="15" customHeight="1">
      <c r="A9908" t="inlineStr">
        <is>
          <t>A 14322-2023</t>
        </is>
      </c>
      <c r="B9908" s="1" t="n">
        <v>45012</v>
      </c>
      <c r="C9908" s="1" t="n">
        <v>45212</v>
      </c>
      <c r="D9908" t="inlineStr">
        <is>
          <t>VÄSTRA GÖTALANDS LÄN</t>
        </is>
      </c>
      <c r="E9908" t="inlineStr">
        <is>
          <t>TÖREBODA</t>
        </is>
      </c>
      <c r="F9908" t="inlineStr">
        <is>
          <t>Sveaskog</t>
        </is>
      </c>
      <c r="G9908" t="n">
        <v>2</v>
      </c>
      <c r="H9908" t="n">
        <v>0</v>
      </c>
      <c r="I9908" t="n">
        <v>0</v>
      </c>
      <c r="J9908" t="n">
        <v>0</v>
      </c>
      <c r="K9908" t="n">
        <v>0</v>
      </c>
      <c r="L9908" t="n">
        <v>0</v>
      </c>
      <c r="M9908" t="n">
        <v>0</v>
      </c>
      <c r="N9908" t="n">
        <v>0</v>
      </c>
      <c r="O9908" t="n">
        <v>0</v>
      </c>
      <c r="P9908" t="n">
        <v>0</v>
      </c>
      <c r="Q9908" t="n">
        <v>0</v>
      </c>
      <c r="R9908" s="2" t="inlineStr"/>
    </row>
    <row r="9909" ht="15" customHeight="1">
      <c r="A9909" t="inlineStr">
        <is>
          <t>A 14343-2023</t>
        </is>
      </c>
      <c r="B9909" s="1" t="n">
        <v>45012</v>
      </c>
      <c r="C9909" s="1" t="n">
        <v>45212</v>
      </c>
      <c r="D9909" t="inlineStr">
        <is>
          <t>VÄSTRA GÖTALANDS LÄN</t>
        </is>
      </c>
      <c r="E9909" t="inlineStr">
        <is>
          <t>MUNKEDAL</t>
        </is>
      </c>
      <c r="G9909" t="n">
        <v>0.5</v>
      </c>
      <c r="H9909" t="n">
        <v>0</v>
      </c>
      <c r="I9909" t="n">
        <v>0</v>
      </c>
      <c r="J9909" t="n">
        <v>0</v>
      </c>
      <c r="K9909" t="n">
        <v>0</v>
      </c>
      <c r="L9909" t="n">
        <v>0</v>
      </c>
      <c r="M9909" t="n">
        <v>0</v>
      </c>
      <c r="N9909" t="n">
        <v>0</v>
      </c>
      <c r="O9909" t="n">
        <v>0</v>
      </c>
      <c r="P9909" t="n">
        <v>0</v>
      </c>
      <c r="Q9909" t="n">
        <v>0</v>
      </c>
      <c r="R9909" s="2" t="inlineStr"/>
    </row>
    <row r="9910" ht="15" customHeight="1">
      <c r="A9910" t="inlineStr">
        <is>
          <t>A 14390-2023</t>
        </is>
      </c>
      <c r="B9910" s="1" t="n">
        <v>45012</v>
      </c>
      <c r="C9910" s="1" t="n">
        <v>45212</v>
      </c>
      <c r="D9910" t="inlineStr">
        <is>
          <t>VÄSTRA GÖTALANDS LÄN</t>
        </is>
      </c>
      <c r="E9910" t="inlineStr">
        <is>
          <t>MARK</t>
        </is>
      </c>
      <c r="G9910" t="n">
        <v>2.7</v>
      </c>
      <c r="H9910" t="n">
        <v>0</v>
      </c>
      <c r="I9910" t="n">
        <v>0</v>
      </c>
      <c r="J9910" t="n">
        <v>0</v>
      </c>
      <c r="K9910" t="n">
        <v>0</v>
      </c>
      <c r="L9910" t="n">
        <v>0</v>
      </c>
      <c r="M9910" t="n">
        <v>0</v>
      </c>
      <c r="N9910" t="n">
        <v>0</v>
      </c>
      <c r="O9910" t="n">
        <v>0</v>
      </c>
      <c r="P9910" t="n">
        <v>0</v>
      </c>
      <c r="Q9910" t="n">
        <v>0</v>
      </c>
      <c r="R9910" s="2" t="inlineStr"/>
    </row>
    <row r="9911" ht="15" customHeight="1">
      <c r="A9911" t="inlineStr">
        <is>
          <t>A 14446-2023</t>
        </is>
      </c>
      <c r="B9911" s="1" t="n">
        <v>45012</v>
      </c>
      <c r="C9911" s="1" t="n">
        <v>45212</v>
      </c>
      <c r="D9911" t="inlineStr">
        <is>
          <t>VÄSTRA GÖTALANDS LÄN</t>
        </is>
      </c>
      <c r="E9911" t="inlineStr">
        <is>
          <t>TÖREBODA</t>
        </is>
      </c>
      <c r="F9911" t="inlineStr">
        <is>
          <t>Sveaskog</t>
        </is>
      </c>
      <c r="G9911" t="n">
        <v>4.4</v>
      </c>
      <c r="H9911" t="n">
        <v>0</v>
      </c>
      <c r="I9911" t="n">
        <v>0</v>
      </c>
      <c r="J9911" t="n">
        <v>0</v>
      </c>
      <c r="K9911" t="n">
        <v>0</v>
      </c>
      <c r="L9911" t="n">
        <v>0</v>
      </c>
      <c r="M9911" t="n">
        <v>0</v>
      </c>
      <c r="N9911" t="n">
        <v>0</v>
      </c>
      <c r="O9911" t="n">
        <v>0</v>
      </c>
      <c r="P9911" t="n">
        <v>0</v>
      </c>
      <c r="Q9911" t="n">
        <v>0</v>
      </c>
      <c r="R9911" s="2" t="inlineStr"/>
    </row>
    <row r="9912" ht="15" customHeight="1">
      <c r="A9912" t="inlineStr">
        <is>
          <t>A 14376-2023</t>
        </is>
      </c>
      <c r="B9912" s="1" t="n">
        <v>45012</v>
      </c>
      <c r="C9912" s="1" t="n">
        <v>45212</v>
      </c>
      <c r="D9912" t="inlineStr">
        <is>
          <t>VÄSTRA GÖTALANDS LÄN</t>
        </is>
      </c>
      <c r="E9912" t="inlineStr">
        <is>
          <t>DALS-ED</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14683-2023</t>
        </is>
      </c>
      <c r="B9913" s="1" t="n">
        <v>45013</v>
      </c>
      <c r="C9913" s="1" t="n">
        <v>45212</v>
      </c>
      <c r="D9913" t="inlineStr">
        <is>
          <t>VÄSTRA GÖTALANDS LÄN</t>
        </is>
      </c>
      <c r="E9913" t="inlineStr">
        <is>
          <t>SKÖVDE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14620-2023</t>
        </is>
      </c>
      <c r="B9914" s="1" t="n">
        <v>45013</v>
      </c>
      <c r="C9914" s="1" t="n">
        <v>45212</v>
      </c>
      <c r="D9914" t="inlineStr">
        <is>
          <t>VÄSTRA GÖTALANDS LÄN</t>
        </is>
      </c>
      <c r="E9914" t="inlineStr">
        <is>
          <t>SKÖVDE</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14907-2023</t>
        </is>
      </c>
      <c r="B9915" s="1" t="n">
        <v>45013</v>
      </c>
      <c r="C9915" s="1" t="n">
        <v>45212</v>
      </c>
      <c r="D9915" t="inlineStr">
        <is>
          <t>VÄSTRA GÖTALANDS LÄN</t>
        </is>
      </c>
      <c r="E9915" t="inlineStr">
        <is>
          <t>TIDAHOLM</t>
        </is>
      </c>
      <c r="G9915" t="n">
        <v>2.3</v>
      </c>
      <c r="H9915" t="n">
        <v>0</v>
      </c>
      <c r="I9915" t="n">
        <v>0</v>
      </c>
      <c r="J9915" t="n">
        <v>0</v>
      </c>
      <c r="K9915" t="n">
        <v>0</v>
      </c>
      <c r="L9915" t="n">
        <v>0</v>
      </c>
      <c r="M9915" t="n">
        <v>0</v>
      </c>
      <c r="N9915" t="n">
        <v>0</v>
      </c>
      <c r="O9915" t="n">
        <v>0</v>
      </c>
      <c r="P9915" t="n">
        <v>0</v>
      </c>
      <c r="Q9915" t="n">
        <v>0</v>
      </c>
      <c r="R9915" s="2" t="inlineStr"/>
    </row>
    <row r="9916" ht="15" customHeight="1">
      <c r="A9916" t="inlineStr">
        <is>
          <t>A 14727-2023</t>
        </is>
      </c>
      <c r="B9916" s="1" t="n">
        <v>45013</v>
      </c>
      <c r="C9916" s="1" t="n">
        <v>45212</v>
      </c>
      <c r="D9916" t="inlineStr">
        <is>
          <t>VÄSTRA GÖTALANDS LÄN</t>
        </is>
      </c>
      <c r="E9916" t="inlineStr">
        <is>
          <t>TANUM</t>
        </is>
      </c>
      <c r="G9916" t="n">
        <v>0.2</v>
      </c>
      <c r="H9916" t="n">
        <v>0</v>
      </c>
      <c r="I9916" t="n">
        <v>0</v>
      </c>
      <c r="J9916" t="n">
        <v>0</v>
      </c>
      <c r="K9916" t="n">
        <v>0</v>
      </c>
      <c r="L9916" t="n">
        <v>0</v>
      </c>
      <c r="M9916" t="n">
        <v>0</v>
      </c>
      <c r="N9916" t="n">
        <v>0</v>
      </c>
      <c r="O9916" t="n">
        <v>0</v>
      </c>
      <c r="P9916" t="n">
        <v>0</v>
      </c>
      <c r="Q9916" t="n">
        <v>0</v>
      </c>
      <c r="R9916" s="2" t="inlineStr"/>
    </row>
    <row r="9917" ht="15" customHeight="1">
      <c r="A9917" t="inlineStr">
        <is>
          <t>A 14767-2023</t>
        </is>
      </c>
      <c r="B9917" s="1" t="n">
        <v>45014</v>
      </c>
      <c r="C9917" s="1" t="n">
        <v>45212</v>
      </c>
      <c r="D9917" t="inlineStr">
        <is>
          <t>VÄSTRA GÖTALANDS LÄN</t>
        </is>
      </c>
      <c r="E9917" t="inlineStr">
        <is>
          <t>FALKÖPING</t>
        </is>
      </c>
      <c r="G9917" t="n">
        <v>5.2</v>
      </c>
      <c r="H9917" t="n">
        <v>0</v>
      </c>
      <c r="I9917" t="n">
        <v>0</v>
      </c>
      <c r="J9917" t="n">
        <v>0</v>
      </c>
      <c r="K9917" t="n">
        <v>0</v>
      </c>
      <c r="L9917" t="n">
        <v>0</v>
      </c>
      <c r="M9917" t="n">
        <v>0</v>
      </c>
      <c r="N9917" t="n">
        <v>0</v>
      </c>
      <c r="O9917" t="n">
        <v>0</v>
      </c>
      <c r="P9917" t="n">
        <v>0</v>
      </c>
      <c r="Q9917" t="n">
        <v>0</v>
      </c>
      <c r="R9917" s="2" t="inlineStr"/>
    </row>
    <row r="9918" ht="15" customHeight="1">
      <c r="A9918" t="inlineStr">
        <is>
          <t>A 14776-2023</t>
        </is>
      </c>
      <c r="B9918" s="1" t="n">
        <v>45014</v>
      </c>
      <c r="C9918" s="1" t="n">
        <v>45212</v>
      </c>
      <c r="D9918" t="inlineStr">
        <is>
          <t>VÄSTRA GÖTALANDS LÄN</t>
        </is>
      </c>
      <c r="E9918" t="inlineStr">
        <is>
          <t>ORUST</t>
        </is>
      </c>
      <c r="G9918" t="n">
        <v>10.3</v>
      </c>
      <c r="H9918" t="n">
        <v>0</v>
      </c>
      <c r="I9918" t="n">
        <v>0</v>
      </c>
      <c r="J9918" t="n">
        <v>0</v>
      </c>
      <c r="K9918" t="n">
        <v>0</v>
      </c>
      <c r="L9918" t="n">
        <v>0</v>
      </c>
      <c r="M9918" t="n">
        <v>0</v>
      </c>
      <c r="N9918" t="n">
        <v>0</v>
      </c>
      <c r="O9918" t="n">
        <v>0</v>
      </c>
      <c r="P9918" t="n">
        <v>0</v>
      </c>
      <c r="Q9918" t="n">
        <v>0</v>
      </c>
      <c r="R9918" s="2" t="inlineStr"/>
    </row>
    <row r="9919" ht="15" customHeight="1">
      <c r="A9919" t="inlineStr">
        <is>
          <t>A 14722-2023</t>
        </is>
      </c>
      <c r="B9919" s="1" t="n">
        <v>45014</v>
      </c>
      <c r="C9919" s="1" t="n">
        <v>45212</v>
      </c>
      <c r="D9919" t="inlineStr">
        <is>
          <t>VÄSTRA GÖTALANDS LÄN</t>
        </is>
      </c>
      <c r="E9919" t="inlineStr">
        <is>
          <t>VÄNERSBORG</t>
        </is>
      </c>
      <c r="G9919" t="n">
        <v>2.1</v>
      </c>
      <c r="H9919" t="n">
        <v>0</v>
      </c>
      <c r="I9919" t="n">
        <v>0</v>
      </c>
      <c r="J9919" t="n">
        <v>0</v>
      </c>
      <c r="K9919" t="n">
        <v>0</v>
      </c>
      <c r="L9919" t="n">
        <v>0</v>
      </c>
      <c r="M9919" t="n">
        <v>0</v>
      </c>
      <c r="N9919" t="n">
        <v>0</v>
      </c>
      <c r="O9919" t="n">
        <v>0</v>
      </c>
      <c r="P9919" t="n">
        <v>0</v>
      </c>
      <c r="Q9919" t="n">
        <v>0</v>
      </c>
      <c r="R9919" s="2" t="inlineStr"/>
    </row>
    <row r="9920" ht="15" customHeight="1">
      <c r="A9920" t="inlineStr">
        <is>
          <t>A 14765-2023</t>
        </is>
      </c>
      <c r="B9920" s="1" t="n">
        <v>45014</v>
      </c>
      <c r="C9920" s="1" t="n">
        <v>45212</v>
      </c>
      <c r="D9920" t="inlineStr">
        <is>
          <t>VÄSTRA GÖTALANDS LÄN</t>
        </is>
      </c>
      <c r="E9920" t="inlineStr">
        <is>
          <t>FALKÖPING</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14770-2023</t>
        </is>
      </c>
      <c r="B9921" s="1" t="n">
        <v>45014</v>
      </c>
      <c r="C9921" s="1" t="n">
        <v>45212</v>
      </c>
      <c r="D9921" t="inlineStr">
        <is>
          <t>VÄSTRA GÖTALANDS LÄN</t>
        </is>
      </c>
      <c r="E9921" t="inlineStr">
        <is>
          <t>FALKÖPING</t>
        </is>
      </c>
      <c r="G9921" t="n">
        <v>2.2</v>
      </c>
      <c r="H9921" t="n">
        <v>0</v>
      </c>
      <c r="I9921" t="n">
        <v>0</v>
      </c>
      <c r="J9921" t="n">
        <v>0</v>
      </c>
      <c r="K9921" t="n">
        <v>0</v>
      </c>
      <c r="L9921" t="n">
        <v>0</v>
      </c>
      <c r="M9921" t="n">
        <v>0</v>
      </c>
      <c r="N9921" t="n">
        <v>0</v>
      </c>
      <c r="O9921" t="n">
        <v>0</v>
      </c>
      <c r="P9921" t="n">
        <v>0</v>
      </c>
      <c r="Q9921" t="n">
        <v>0</v>
      </c>
      <c r="R9921" s="2" t="inlineStr"/>
    </row>
    <row r="9922" ht="15" customHeight="1">
      <c r="A9922" t="inlineStr">
        <is>
          <t>A 14794-2023</t>
        </is>
      </c>
      <c r="B9922" s="1" t="n">
        <v>45014</v>
      </c>
      <c r="C9922" s="1" t="n">
        <v>45212</v>
      </c>
      <c r="D9922" t="inlineStr">
        <is>
          <t>VÄSTRA GÖTALANDS LÄN</t>
        </is>
      </c>
      <c r="E9922" t="inlineStr">
        <is>
          <t>ORUST</t>
        </is>
      </c>
      <c r="G9922" t="n">
        <v>6.4</v>
      </c>
      <c r="H9922" t="n">
        <v>0</v>
      </c>
      <c r="I9922" t="n">
        <v>0</v>
      </c>
      <c r="J9922" t="n">
        <v>0</v>
      </c>
      <c r="K9922" t="n">
        <v>0</v>
      </c>
      <c r="L9922" t="n">
        <v>0</v>
      </c>
      <c r="M9922" t="n">
        <v>0</v>
      </c>
      <c r="N9922" t="n">
        <v>0</v>
      </c>
      <c r="O9922" t="n">
        <v>0</v>
      </c>
      <c r="P9922" t="n">
        <v>0</v>
      </c>
      <c r="Q9922" t="n">
        <v>0</v>
      </c>
      <c r="R9922" s="2" t="inlineStr"/>
    </row>
    <row r="9923" ht="15" customHeight="1">
      <c r="A9923" t="inlineStr">
        <is>
          <t>A 14802-2023</t>
        </is>
      </c>
      <c r="B9923" s="1" t="n">
        <v>45014</v>
      </c>
      <c r="C9923" s="1" t="n">
        <v>45212</v>
      </c>
      <c r="D9923" t="inlineStr">
        <is>
          <t>VÄSTRA GÖTALANDS LÄN</t>
        </is>
      </c>
      <c r="E9923" t="inlineStr">
        <is>
          <t>ORUST</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14769-2023</t>
        </is>
      </c>
      <c r="B9924" s="1" t="n">
        <v>45014</v>
      </c>
      <c r="C9924" s="1" t="n">
        <v>45212</v>
      </c>
      <c r="D9924" t="inlineStr">
        <is>
          <t>VÄSTRA GÖTALANDS LÄN</t>
        </is>
      </c>
      <c r="E9924" t="inlineStr">
        <is>
          <t>FALKÖPING</t>
        </is>
      </c>
      <c r="G9924" t="n">
        <v>1.4</v>
      </c>
      <c r="H9924" t="n">
        <v>0</v>
      </c>
      <c r="I9924" t="n">
        <v>0</v>
      </c>
      <c r="J9924" t="n">
        <v>0</v>
      </c>
      <c r="K9924" t="n">
        <v>0</v>
      </c>
      <c r="L9924" t="n">
        <v>0</v>
      </c>
      <c r="M9924" t="n">
        <v>0</v>
      </c>
      <c r="N9924" t="n">
        <v>0</v>
      </c>
      <c r="O9924" t="n">
        <v>0</v>
      </c>
      <c r="P9924" t="n">
        <v>0</v>
      </c>
      <c r="Q9924" t="n">
        <v>0</v>
      </c>
      <c r="R9924" s="2" t="inlineStr"/>
    </row>
    <row r="9925" ht="15" customHeight="1">
      <c r="A9925" t="inlineStr">
        <is>
          <t>A 14800-2023</t>
        </is>
      </c>
      <c r="B9925" s="1" t="n">
        <v>45014</v>
      </c>
      <c r="C9925" s="1" t="n">
        <v>45212</v>
      </c>
      <c r="D9925" t="inlineStr">
        <is>
          <t>VÄSTRA GÖTALANDS LÄN</t>
        </is>
      </c>
      <c r="E9925" t="inlineStr">
        <is>
          <t>ORUST</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14768-2023</t>
        </is>
      </c>
      <c r="B9926" s="1" t="n">
        <v>45014</v>
      </c>
      <c r="C9926" s="1" t="n">
        <v>45212</v>
      </c>
      <c r="D9926" t="inlineStr">
        <is>
          <t>VÄSTRA GÖTALANDS LÄN</t>
        </is>
      </c>
      <c r="E9926" t="inlineStr">
        <is>
          <t>FALKÖPING</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14782-2023</t>
        </is>
      </c>
      <c r="B9927" s="1" t="n">
        <v>45014</v>
      </c>
      <c r="C9927" s="1" t="n">
        <v>45212</v>
      </c>
      <c r="D9927" t="inlineStr">
        <is>
          <t>VÄSTRA GÖTALANDS LÄN</t>
        </is>
      </c>
      <c r="E9927" t="inlineStr">
        <is>
          <t>ORUST</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14791-2023</t>
        </is>
      </c>
      <c r="B9928" s="1" t="n">
        <v>45014</v>
      </c>
      <c r="C9928" s="1" t="n">
        <v>45212</v>
      </c>
      <c r="D9928" t="inlineStr">
        <is>
          <t>VÄSTRA GÖTALANDS LÄN</t>
        </is>
      </c>
      <c r="E9928" t="inlineStr">
        <is>
          <t>DALS-ED</t>
        </is>
      </c>
      <c r="G9928" t="n">
        <v>9.699999999999999</v>
      </c>
      <c r="H9928" t="n">
        <v>0</v>
      </c>
      <c r="I9928" t="n">
        <v>0</v>
      </c>
      <c r="J9928" t="n">
        <v>0</v>
      </c>
      <c r="K9928" t="n">
        <v>0</v>
      </c>
      <c r="L9928" t="n">
        <v>0</v>
      </c>
      <c r="M9928" t="n">
        <v>0</v>
      </c>
      <c r="N9928" t="n">
        <v>0</v>
      </c>
      <c r="O9928" t="n">
        <v>0</v>
      </c>
      <c r="P9928" t="n">
        <v>0</v>
      </c>
      <c r="Q9928" t="n">
        <v>0</v>
      </c>
      <c r="R9928" s="2" t="inlineStr"/>
    </row>
    <row r="9929" ht="15" customHeight="1">
      <c r="A9929" t="inlineStr">
        <is>
          <t>A 14797-2023</t>
        </is>
      </c>
      <c r="B9929" s="1" t="n">
        <v>45014</v>
      </c>
      <c r="C9929" s="1" t="n">
        <v>45212</v>
      </c>
      <c r="D9929" t="inlineStr">
        <is>
          <t>VÄSTRA GÖTALANDS LÄN</t>
        </is>
      </c>
      <c r="E9929" t="inlineStr">
        <is>
          <t>ORUST</t>
        </is>
      </c>
      <c r="G9929" t="n">
        <v>4.9</v>
      </c>
      <c r="H9929" t="n">
        <v>0</v>
      </c>
      <c r="I9929" t="n">
        <v>0</v>
      </c>
      <c r="J9929" t="n">
        <v>0</v>
      </c>
      <c r="K9929" t="n">
        <v>0</v>
      </c>
      <c r="L9929" t="n">
        <v>0</v>
      </c>
      <c r="M9929" t="n">
        <v>0</v>
      </c>
      <c r="N9929" t="n">
        <v>0</v>
      </c>
      <c r="O9929" t="n">
        <v>0</v>
      </c>
      <c r="P9929" t="n">
        <v>0</v>
      </c>
      <c r="Q9929" t="n">
        <v>0</v>
      </c>
      <c r="R9929" s="2" t="inlineStr"/>
    </row>
    <row r="9930" ht="15" customHeight="1">
      <c r="A9930" t="inlineStr">
        <is>
          <t>A 15043-2023</t>
        </is>
      </c>
      <c r="B9930" s="1" t="n">
        <v>45015</v>
      </c>
      <c r="C9930" s="1" t="n">
        <v>45212</v>
      </c>
      <c r="D9930" t="inlineStr">
        <is>
          <t>VÄSTRA GÖTALANDS LÄN</t>
        </is>
      </c>
      <c r="E9930" t="inlineStr">
        <is>
          <t>FÄRGELANDA</t>
        </is>
      </c>
      <c r="G9930" t="n">
        <v>5.7</v>
      </c>
      <c r="H9930" t="n">
        <v>0</v>
      </c>
      <c r="I9930" t="n">
        <v>0</v>
      </c>
      <c r="J9930" t="n">
        <v>0</v>
      </c>
      <c r="K9930" t="n">
        <v>0</v>
      </c>
      <c r="L9930" t="n">
        <v>0</v>
      </c>
      <c r="M9930" t="n">
        <v>0</v>
      </c>
      <c r="N9930" t="n">
        <v>0</v>
      </c>
      <c r="O9930" t="n">
        <v>0</v>
      </c>
      <c r="P9930" t="n">
        <v>0</v>
      </c>
      <c r="Q9930" t="n">
        <v>0</v>
      </c>
      <c r="R9930" s="2" t="inlineStr"/>
    </row>
    <row r="9931" ht="15" customHeight="1">
      <c r="A9931" t="inlineStr">
        <is>
          <t>A 14990-2023</t>
        </is>
      </c>
      <c r="B9931" s="1" t="n">
        <v>45015</v>
      </c>
      <c r="C9931" s="1" t="n">
        <v>45212</v>
      </c>
      <c r="D9931" t="inlineStr">
        <is>
          <t>VÄSTRA GÖTALANDS LÄN</t>
        </is>
      </c>
      <c r="E9931" t="inlineStr">
        <is>
          <t>BORÅS</t>
        </is>
      </c>
      <c r="G9931" t="n">
        <v>3.3</v>
      </c>
      <c r="H9931" t="n">
        <v>0</v>
      </c>
      <c r="I9931" t="n">
        <v>0</v>
      </c>
      <c r="J9931" t="n">
        <v>0</v>
      </c>
      <c r="K9931" t="n">
        <v>0</v>
      </c>
      <c r="L9931" t="n">
        <v>0</v>
      </c>
      <c r="M9931" t="n">
        <v>0</v>
      </c>
      <c r="N9931" t="n">
        <v>0</v>
      </c>
      <c r="O9931" t="n">
        <v>0</v>
      </c>
      <c r="P9931" t="n">
        <v>0</v>
      </c>
      <c r="Q9931" t="n">
        <v>0</v>
      </c>
      <c r="R9931" s="2" t="inlineStr"/>
    </row>
    <row r="9932" ht="15" customHeight="1">
      <c r="A9932" t="inlineStr">
        <is>
          <t>A 15019-2023</t>
        </is>
      </c>
      <c r="B9932" s="1" t="n">
        <v>45015</v>
      </c>
      <c r="C9932" s="1" t="n">
        <v>45212</v>
      </c>
      <c r="D9932" t="inlineStr">
        <is>
          <t>VÄSTRA GÖTALANDS LÄN</t>
        </is>
      </c>
      <c r="E9932" t="inlineStr">
        <is>
          <t>ALINGSÅS</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15188-2023</t>
        </is>
      </c>
      <c r="B9933" s="1" t="n">
        <v>45015</v>
      </c>
      <c r="C9933" s="1" t="n">
        <v>45212</v>
      </c>
      <c r="D9933" t="inlineStr">
        <is>
          <t>VÄSTRA GÖTALANDS LÄN</t>
        </is>
      </c>
      <c r="E9933" t="inlineStr">
        <is>
          <t>SKÖVDE</t>
        </is>
      </c>
      <c r="G9933" t="n">
        <v>3.7</v>
      </c>
      <c r="H9933" t="n">
        <v>0</v>
      </c>
      <c r="I9933" t="n">
        <v>0</v>
      </c>
      <c r="J9933" t="n">
        <v>0</v>
      </c>
      <c r="K9933" t="n">
        <v>0</v>
      </c>
      <c r="L9933" t="n">
        <v>0</v>
      </c>
      <c r="M9933" t="n">
        <v>0</v>
      </c>
      <c r="N9933" t="n">
        <v>0</v>
      </c>
      <c r="O9933" t="n">
        <v>0</v>
      </c>
      <c r="P9933" t="n">
        <v>0</v>
      </c>
      <c r="Q9933" t="n">
        <v>0</v>
      </c>
      <c r="R9933" s="2" t="inlineStr"/>
    </row>
    <row r="9934" ht="15" customHeight="1">
      <c r="A9934" t="inlineStr">
        <is>
          <t>A 15018-2023</t>
        </is>
      </c>
      <c r="B9934" s="1" t="n">
        <v>45015</v>
      </c>
      <c r="C9934" s="1" t="n">
        <v>45212</v>
      </c>
      <c r="D9934" t="inlineStr">
        <is>
          <t>VÄSTRA GÖTALANDS LÄN</t>
        </is>
      </c>
      <c r="E9934" t="inlineStr">
        <is>
          <t>ALINGSÅS</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15037-2023</t>
        </is>
      </c>
      <c r="B9935" s="1" t="n">
        <v>45015</v>
      </c>
      <c r="C9935" s="1" t="n">
        <v>45212</v>
      </c>
      <c r="D9935" t="inlineStr">
        <is>
          <t>VÄSTRA GÖTALANDS LÄN</t>
        </is>
      </c>
      <c r="E9935" t="inlineStr">
        <is>
          <t>BENGTSFORS</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15262-2023</t>
        </is>
      </c>
      <c r="B9936" s="1" t="n">
        <v>45016</v>
      </c>
      <c r="C9936" s="1" t="n">
        <v>45212</v>
      </c>
      <c r="D9936" t="inlineStr">
        <is>
          <t>VÄSTRA GÖTALANDS LÄN</t>
        </is>
      </c>
      <c r="E9936" t="inlineStr">
        <is>
          <t>DALS-ED</t>
        </is>
      </c>
      <c r="G9936" t="n">
        <v>0.8</v>
      </c>
      <c r="H9936" t="n">
        <v>0</v>
      </c>
      <c r="I9936" t="n">
        <v>0</v>
      </c>
      <c r="J9936" t="n">
        <v>0</v>
      </c>
      <c r="K9936" t="n">
        <v>0</v>
      </c>
      <c r="L9936" t="n">
        <v>0</v>
      </c>
      <c r="M9936" t="n">
        <v>0</v>
      </c>
      <c r="N9936" t="n">
        <v>0</v>
      </c>
      <c r="O9936" t="n">
        <v>0</v>
      </c>
      <c r="P9936" t="n">
        <v>0</v>
      </c>
      <c r="Q9936" t="n">
        <v>0</v>
      </c>
      <c r="R9936" s="2" t="inlineStr"/>
    </row>
    <row r="9937" ht="15" customHeight="1">
      <c r="A9937" t="inlineStr">
        <is>
          <t>A 15259-2023</t>
        </is>
      </c>
      <c r="B9937" s="1" t="n">
        <v>45016</v>
      </c>
      <c r="C9937" s="1" t="n">
        <v>45212</v>
      </c>
      <c r="D9937" t="inlineStr">
        <is>
          <t>VÄSTRA GÖTALANDS LÄN</t>
        </is>
      </c>
      <c r="E9937" t="inlineStr">
        <is>
          <t>DALS-ED</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15125-2023</t>
        </is>
      </c>
      <c r="B9938" s="1" t="n">
        <v>45016</v>
      </c>
      <c r="C9938" s="1" t="n">
        <v>45212</v>
      </c>
      <c r="D9938" t="inlineStr">
        <is>
          <t>VÄSTRA GÖTALANDS LÄN</t>
        </is>
      </c>
      <c r="E9938" t="inlineStr">
        <is>
          <t>TANUM</t>
        </is>
      </c>
      <c r="G9938" t="n">
        <v>5.5</v>
      </c>
      <c r="H9938" t="n">
        <v>0</v>
      </c>
      <c r="I9938" t="n">
        <v>0</v>
      </c>
      <c r="J9938" t="n">
        <v>0</v>
      </c>
      <c r="K9938" t="n">
        <v>0</v>
      </c>
      <c r="L9938" t="n">
        <v>0</v>
      </c>
      <c r="M9938" t="n">
        <v>0</v>
      </c>
      <c r="N9938" t="n">
        <v>0</v>
      </c>
      <c r="O9938" t="n">
        <v>0</v>
      </c>
      <c r="P9938" t="n">
        <v>0</v>
      </c>
      <c r="Q9938" t="n">
        <v>0</v>
      </c>
      <c r="R9938" s="2" t="inlineStr"/>
    </row>
    <row r="9939" ht="15" customHeight="1">
      <c r="A9939" t="inlineStr">
        <is>
          <t>A 15181-2023</t>
        </is>
      </c>
      <c r="B9939" s="1" t="n">
        <v>45016</v>
      </c>
      <c r="C9939" s="1" t="n">
        <v>45212</v>
      </c>
      <c r="D9939" t="inlineStr">
        <is>
          <t>VÄSTRA GÖTALANDS LÄN</t>
        </is>
      </c>
      <c r="E9939" t="inlineStr">
        <is>
          <t>TROLLHÄTTAN</t>
        </is>
      </c>
      <c r="G9939" t="n">
        <v>4.9</v>
      </c>
      <c r="H9939" t="n">
        <v>0</v>
      </c>
      <c r="I9939" t="n">
        <v>0</v>
      </c>
      <c r="J9939" t="n">
        <v>0</v>
      </c>
      <c r="K9939" t="n">
        <v>0</v>
      </c>
      <c r="L9939" t="n">
        <v>0</v>
      </c>
      <c r="M9939" t="n">
        <v>0</v>
      </c>
      <c r="N9939" t="n">
        <v>0</v>
      </c>
      <c r="O9939" t="n">
        <v>0</v>
      </c>
      <c r="P9939" t="n">
        <v>0</v>
      </c>
      <c r="Q9939" t="n">
        <v>0</v>
      </c>
      <c r="R9939" s="2" t="inlineStr"/>
    </row>
    <row r="9940" ht="15" customHeight="1">
      <c r="A9940" t="inlineStr">
        <is>
          <t>A 15115-2023</t>
        </is>
      </c>
      <c r="B9940" s="1" t="n">
        <v>45016</v>
      </c>
      <c r="C9940" s="1" t="n">
        <v>45212</v>
      </c>
      <c r="D9940" t="inlineStr">
        <is>
          <t>VÄSTRA GÖTALANDS LÄN</t>
        </is>
      </c>
      <c r="E9940" t="inlineStr">
        <is>
          <t>MELLERUD</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15552-2023</t>
        </is>
      </c>
      <c r="B9941" s="1" t="n">
        <v>45018</v>
      </c>
      <c r="C9941" s="1" t="n">
        <v>45212</v>
      </c>
      <c r="D9941" t="inlineStr">
        <is>
          <t>VÄSTRA GÖTALANDS LÄN</t>
        </is>
      </c>
      <c r="E9941" t="inlineStr">
        <is>
          <t>STRÖMSTAD</t>
        </is>
      </c>
      <c r="G9941" t="n">
        <v>3.4</v>
      </c>
      <c r="H9941" t="n">
        <v>0</v>
      </c>
      <c r="I9941" t="n">
        <v>0</v>
      </c>
      <c r="J9941" t="n">
        <v>0</v>
      </c>
      <c r="K9941" t="n">
        <v>0</v>
      </c>
      <c r="L9941" t="n">
        <v>0</v>
      </c>
      <c r="M9941" t="n">
        <v>0</v>
      </c>
      <c r="N9941" t="n">
        <v>0</v>
      </c>
      <c r="O9941" t="n">
        <v>0</v>
      </c>
      <c r="P9941" t="n">
        <v>0</v>
      </c>
      <c r="Q9941" t="n">
        <v>0</v>
      </c>
      <c r="R9941" s="2" t="inlineStr"/>
    </row>
    <row r="9942" ht="15" customHeight="1">
      <c r="A9942" t="inlineStr">
        <is>
          <t>A 15387-2023</t>
        </is>
      </c>
      <c r="B9942" s="1" t="n">
        <v>45019</v>
      </c>
      <c r="C9942" s="1" t="n">
        <v>45212</v>
      </c>
      <c r="D9942" t="inlineStr">
        <is>
          <t>VÄSTRA GÖTALANDS LÄN</t>
        </is>
      </c>
      <c r="E9942" t="inlineStr">
        <is>
          <t>MARK</t>
        </is>
      </c>
      <c r="G9942" t="n">
        <v>7.2</v>
      </c>
      <c r="H9942" t="n">
        <v>0</v>
      </c>
      <c r="I9942" t="n">
        <v>0</v>
      </c>
      <c r="J9942" t="n">
        <v>0</v>
      </c>
      <c r="K9942" t="n">
        <v>0</v>
      </c>
      <c r="L9942" t="n">
        <v>0</v>
      </c>
      <c r="M9942" t="n">
        <v>0</v>
      </c>
      <c r="N9942" t="n">
        <v>0</v>
      </c>
      <c r="O9942" t="n">
        <v>0</v>
      </c>
      <c r="P9942" t="n">
        <v>0</v>
      </c>
      <c r="Q9942" t="n">
        <v>0</v>
      </c>
      <c r="R9942" s="2" t="inlineStr"/>
    </row>
    <row r="9943" ht="15" customHeight="1">
      <c r="A9943" t="inlineStr">
        <is>
          <t>A 15338-2023</t>
        </is>
      </c>
      <c r="B9943" s="1" t="n">
        <v>45019</v>
      </c>
      <c r="C9943" s="1" t="n">
        <v>45212</v>
      </c>
      <c r="D9943" t="inlineStr">
        <is>
          <t>VÄSTRA GÖTALANDS LÄN</t>
        </is>
      </c>
      <c r="E9943" t="inlineStr">
        <is>
          <t>DALS-ED</t>
        </is>
      </c>
      <c r="G9943" t="n">
        <v>3.6</v>
      </c>
      <c r="H9943" t="n">
        <v>0</v>
      </c>
      <c r="I9943" t="n">
        <v>0</v>
      </c>
      <c r="J9943" t="n">
        <v>0</v>
      </c>
      <c r="K9943" t="n">
        <v>0</v>
      </c>
      <c r="L9943" t="n">
        <v>0</v>
      </c>
      <c r="M9943" t="n">
        <v>0</v>
      </c>
      <c r="N9943" t="n">
        <v>0</v>
      </c>
      <c r="O9943" t="n">
        <v>0</v>
      </c>
      <c r="P9943" t="n">
        <v>0</v>
      </c>
      <c r="Q9943" t="n">
        <v>0</v>
      </c>
      <c r="R9943" s="2" t="inlineStr"/>
    </row>
    <row r="9944" ht="15" customHeight="1">
      <c r="A9944" t="inlineStr">
        <is>
          <t>A 15418-2023</t>
        </is>
      </c>
      <c r="B9944" s="1" t="n">
        <v>45019</v>
      </c>
      <c r="C9944" s="1" t="n">
        <v>45212</v>
      </c>
      <c r="D9944" t="inlineStr">
        <is>
          <t>VÄSTRA GÖTALANDS LÄN</t>
        </is>
      </c>
      <c r="E9944" t="inlineStr">
        <is>
          <t>SKÖVDE</t>
        </is>
      </c>
      <c r="G9944" t="n">
        <v>0.9</v>
      </c>
      <c r="H9944" t="n">
        <v>0</v>
      </c>
      <c r="I9944" t="n">
        <v>0</v>
      </c>
      <c r="J9944" t="n">
        <v>0</v>
      </c>
      <c r="K9944" t="n">
        <v>0</v>
      </c>
      <c r="L9944" t="n">
        <v>0</v>
      </c>
      <c r="M9944" t="n">
        <v>0</v>
      </c>
      <c r="N9944" t="n">
        <v>0</v>
      </c>
      <c r="O9944" t="n">
        <v>0</v>
      </c>
      <c r="P9944" t="n">
        <v>0</v>
      </c>
      <c r="Q9944" t="n">
        <v>0</v>
      </c>
      <c r="R9944" s="2" t="inlineStr"/>
    </row>
    <row r="9945" ht="15" customHeight="1">
      <c r="A9945" t="inlineStr">
        <is>
          <t>A 15466-2023</t>
        </is>
      </c>
      <c r="B9945" s="1" t="n">
        <v>45019</v>
      </c>
      <c r="C9945" s="1" t="n">
        <v>45212</v>
      </c>
      <c r="D9945" t="inlineStr">
        <is>
          <t>VÄSTRA GÖTALANDS LÄN</t>
        </is>
      </c>
      <c r="E9945" t="inlineStr">
        <is>
          <t>ÅMÅL</t>
        </is>
      </c>
      <c r="G9945" t="n">
        <v>2.6</v>
      </c>
      <c r="H9945" t="n">
        <v>0</v>
      </c>
      <c r="I9945" t="n">
        <v>0</v>
      </c>
      <c r="J9945" t="n">
        <v>0</v>
      </c>
      <c r="K9945" t="n">
        <v>0</v>
      </c>
      <c r="L9945" t="n">
        <v>0</v>
      </c>
      <c r="M9945" t="n">
        <v>0</v>
      </c>
      <c r="N9945" t="n">
        <v>0</v>
      </c>
      <c r="O9945" t="n">
        <v>0</v>
      </c>
      <c r="P9945" t="n">
        <v>0</v>
      </c>
      <c r="Q9945" t="n">
        <v>0</v>
      </c>
      <c r="R9945" s="2" t="inlineStr"/>
    </row>
    <row r="9946" ht="15" customHeight="1">
      <c r="A9946" t="inlineStr">
        <is>
          <t>A 15404-2023</t>
        </is>
      </c>
      <c r="B9946" s="1" t="n">
        <v>45019</v>
      </c>
      <c r="C9946" s="1" t="n">
        <v>45212</v>
      </c>
      <c r="D9946" t="inlineStr">
        <is>
          <t>VÄSTRA GÖTALANDS LÄN</t>
        </is>
      </c>
      <c r="E9946" t="inlineStr">
        <is>
          <t>SKÖVDE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15417-2023</t>
        </is>
      </c>
      <c r="B9947" s="1" t="n">
        <v>45019</v>
      </c>
      <c r="C9947" s="1" t="n">
        <v>45212</v>
      </c>
      <c r="D9947" t="inlineStr">
        <is>
          <t>VÄSTRA GÖTALANDS LÄN</t>
        </is>
      </c>
      <c r="E9947" t="inlineStr">
        <is>
          <t>SKÖVDE</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15463-2023</t>
        </is>
      </c>
      <c r="B9948" s="1" t="n">
        <v>45019</v>
      </c>
      <c r="C9948" s="1" t="n">
        <v>45212</v>
      </c>
      <c r="D9948" t="inlineStr">
        <is>
          <t>VÄSTRA GÖTALANDS LÄN</t>
        </is>
      </c>
      <c r="E9948" t="inlineStr">
        <is>
          <t>ÅMÅL</t>
        </is>
      </c>
      <c r="G9948" t="n">
        <v>1.3</v>
      </c>
      <c r="H9948" t="n">
        <v>0</v>
      </c>
      <c r="I9948" t="n">
        <v>0</v>
      </c>
      <c r="J9948" t="n">
        <v>0</v>
      </c>
      <c r="K9948" t="n">
        <v>0</v>
      </c>
      <c r="L9948" t="n">
        <v>0</v>
      </c>
      <c r="M9948" t="n">
        <v>0</v>
      </c>
      <c r="N9948" t="n">
        <v>0</v>
      </c>
      <c r="O9948" t="n">
        <v>0</v>
      </c>
      <c r="P9948" t="n">
        <v>0</v>
      </c>
      <c r="Q9948" t="n">
        <v>0</v>
      </c>
      <c r="R9948" s="2" t="inlineStr"/>
    </row>
    <row r="9949" ht="15" customHeight="1">
      <c r="A9949" t="inlineStr">
        <is>
          <t>A 15559-2023</t>
        </is>
      </c>
      <c r="B9949" s="1" t="n">
        <v>45019</v>
      </c>
      <c r="C9949" s="1" t="n">
        <v>45212</v>
      </c>
      <c r="D9949" t="inlineStr">
        <is>
          <t>VÄSTRA GÖTALANDS LÄN</t>
        </is>
      </c>
      <c r="E9949" t="inlineStr">
        <is>
          <t>STRÖMSTAD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15522-2023</t>
        </is>
      </c>
      <c r="B9950" s="1" t="n">
        <v>45020</v>
      </c>
      <c r="C9950" s="1" t="n">
        <v>45212</v>
      </c>
      <c r="D9950" t="inlineStr">
        <is>
          <t>VÄSTRA GÖTALANDS LÄN</t>
        </is>
      </c>
      <c r="E9950" t="inlineStr">
        <is>
          <t>TRANEMO</t>
        </is>
      </c>
      <c r="G9950" t="n">
        <v>3.2</v>
      </c>
      <c r="H9950" t="n">
        <v>0</v>
      </c>
      <c r="I9950" t="n">
        <v>0</v>
      </c>
      <c r="J9950" t="n">
        <v>0</v>
      </c>
      <c r="K9950" t="n">
        <v>0</v>
      </c>
      <c r="L9950" t="n">
        <v>0</v>
      </c>
      <c r="M9950" t="n">
        <v>0</v>
      </c>
      <c r="N9950" t="n">
        <v>0</v>
      </c>
      <c r="O9950" t="n">
        <v>0</v>
      </c>
      <c r="P9950" t="n">
        <v>0</v>
      </c>
      <c r="Q9950" t="n">
        <v>0</v>
      </c>
      <c r="R9950" s="2" t="inlineStr"/>
    </row>
    <row r="9951" ht="15" customHeight="1">
      <c r="A9951" t="inlineStr">
        <is>
          <t>A 15470-2023</t>
        </is>
      </c>
      <c r="B9951" s="1" t="n">
        <v>45020</v>
      </c>
      <c r="C9951" s="1" t="n">
        <v>45212</v>
      </c>
      <c r="D9951" t="inlineStr">
        <is>
          <t>VÄSTRA GÖTALANDS LÄN</t>
        </is>
      </c>
      <c r="E9951" t="inlineStr">
        <is>
          <t>ORUST</t>
        </is>
      </c>
      <c r="G9951" t="n">
        <v>27.7</v>
      </c>
      <c r="H9951" t="n">
        <v>0</v>
      </c>
      <c r="I9951" t="n">
        <v>0</v>
      </c>
      <c r="J9951" t="n">
        <v>0</v>
      </c>
      <c r="K9951" t="n">
        <v>0</v>
      </c>
      <c r="L9951" t="n">
        <v>0</v>
      </c>
      <c r="M9951" t="n">
        <v>0</v>
      </c>
      <c r="N9951" t="n">
        <v>0</v>
      </c>
      <c r="O9951" t="n">
        <v>0</v>
      </c>
      <c r="P9951" t="n">
        <v>0</v>
      </c>
      <c r="Q9951" t="n">
        <v>0</v>
      </c>
      <c r="R9951" s="2" t="inlineStr"/>
    </row>
    <row r="9952" ht="15" customHeight="1">
      <c r="A9952" t="inlineStr">
        <is>
          <t>A 15456-2023</t>
        </is>
      </c>
      <c r="B9952" s="1" t="n">
        <v>45020</v>
      </c>
      <c r="C9952" s="1" t="n">
        <v>45212</v>
      </c>
      <c r="D9952" t="inlineStr">
        <is>
          <t>VÄSTRA GÖTALANDS LÄN</t>
        </is>
      </c>
      <c r="E9952" t="inlineStr">
        <is>
          <t>ORUST</t>
        </is>
      </c>
      <c r="G9952" t="n">
        <v>1.5</v>
      </c>
      <c r="H9952" t="n">
        <v>0</v>
      </c>
      <c r="I9952" t="n">
        <v>0</v>
      </c>
      <c r="J9952" t="n">
        <v>0</v>
      </c>
      <c r="K9952" t="n">
        <v>0</v>
      </c>
      <c r="L9952" t="n">
        <v>0</v>
      </c>
      <c r="M9952" t="n">
        <v>0</v>
      </c>
      <c r="N9952" t="n">
        <v>0</v>
      </c>
      <c r="O9952" t="n">
        <v>0</v>
      </c>
      <c r="P9952" t="n">
        <v>0</v>
      </c>
      <c r="Q9952" t="n">
        <v>0</v>
      </c>
      <c r="R9952" s="2" t="inlineStr"/>
    </row>
    <row r="9953" ht="15" customHeight="1">
      <c r="A9953" t="inlineStr">
        <is>
          <t>A 15677-2023</t>
        </is>
      </c>
      <c r="B9953" s="1" t="n">
        <v>45020</v>
      </c>
      <c r="C9953" s="1" t="n">
        <v>45212</v>
      </c>
      <c r="D9953" t="inlineStr">
        <is>
          <t>VÄSTRA GÖTALANDS LÄN</t>
        </is>
      </c>
      <c r="E9953" t="inlineStr">
        <is>
          <t>UDDEVALLA</t>
        </is>
      </c>
      <c r="G9953" t="n">
        <v>16</v>
      </c>
      <c r="H9953" t="n">
        <v>0</v>
      </c>
      <c r="I9953" t="n">
        <v>0</v>
      </c>
      <c r="J9953" t="n">
        <v>0</v>
      </c>
      <c r="K9953" t="n">
        <v>0</v>
      </c>
      <c r="L9953" t="n">
        <v>0</v>
      </c>
      <c r="M9953" t="n">
        <v>0</v>
      </c>
      <c r="N9953" t="n">
        <v>0</v>
      </c>
      <c r="O9953" t="n">
        <v>0</v>
      </c>
      <c r="P9953" t="n">
        <v>0</v>
      </c>
      <c r="Q9953" t="n">
        <v>0</v>
      </c>
      <c r="R9953" s="2" t="inlineStr"/>
    </row>
    <row r="9954" ht="15" customHeight="1">
      <c r="A9954" t="inlineStr">
        <is>
          <t>A 15462-2023</t>
        </is>
      </c>
      <c r="B9954" s="1" t="n">
        <v>45020</v>
      </c>
      <c r="C9954" s="1" t="n">
        <v>45212</v>
      </c>
      <c r="D9954" t="inlineStr">
        <is>
          <t>VÄSTRA GÖTALANDS LÄN</t>
        </is>
      </c>
      <c r="E9954" t="inlineStr">
        <is>
          <t>ORUST</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15634-2023</t>
        </is>
      </c>
      <c r="B9955" s="1" t="n">
        <v>45021</v>
      </c>
      <c r="C9955" s="1" t="n">
        <v>45212</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15707-2023</t>
        </is>
      </c>
      <c r="B9956" s="1" t="n">
        <v>45021</v>
      </c>
      <c r="C9956" s="1" t="n">
        <v>45212</v>
      </c>
      <c r="D9956" t="inlineStr">
        <is>
          <t>VÄSTRA GÖTALANDS LÄN</t>
        </is>
      </c>
      <c r="E9956" t="inlineStr">
        <is>
          <t>SVENLJUNGA</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15801-2023</t>
        </is>
      </c>
      <c r="B9957" s="1" t="n">
        <v>45021</v>
      </c>
      <c r="C9957" s="1" t="n">
        <v>45212</v>
      </c>
      <c r="D9957" t="inlineStr">
        <is>
          <t>VÄSTRA GÖTALANDS LÄN</t>
        </is>
      </c>
      <c r="E9957" t="inlineStr">
        <is>
          <t>HERRLJUNGA</t>
        </is>
      </c>
      <c r="G9957" t="n">
        <v>0.6</v>
      </c>
      <c r="H9957" t="n">
        <v>0</v>
      </c>
      <c r="I9957" t="n">
        <v>0</v>
      </c>
      <c r="J9957" t="n">
        <v>0</v>
      </c>
      <c r="K9957" t="n">
        <v>0</v>
      </c>
      <c r="L9957" t="n">
        <v>0</v>
      </c>
      <c r="M9957" t="n">
        <v>0</v>
      </c>
      <c r="N9957" t="n">
        <v>0</v>
      </c>
      <c r="O9957" t="n">
        <v>0</v>
      </c>
      <c r="P9957" t="n">
        <v>0</v>
      </c>
      <c r="Q9957" t="n">
        <v>0</v>
      </c>
      <c r="R9957" s="2" t="inlineStr"/>
    </row>
    <row r="9958" ht="15" customHeight="1">
      <c r="A9958" t="inlineStr">
        <is>
          <t>A 15653-2023</t>
        </is>
      </c>
      <c r="B9958" s="1" t="n">
        <v>45021</v>
      </c>
      <c r="C9958" s="1" t="n">
        <v>45212</v>
      </c>
      <c r="D9958" t="inlineStr">
        <is>
          <t>VÄSTRA GÖTALANDS LÄN</t>
        </is>
      </c>
      <c r="E9958" t="inlineStr">
        <is>
          <t>BENGTSFORS</t>
        </is>
      </c>
      <c r="G9958" t="n">
        <v>0.8</v>
      </c>
      <c r="H9958" t="n">
        <v>0</v>
      </c>
      <c r="I9958" t="n">
        <v>0</v>
      </c>
      <c r="J9958" t="n">
        <v>0</v>
      </c>
      <c r="K9958" t="n">
        <v>0</v>
      </c>
      <c r="L9958" t="n">
        <v>0</v>
      </c>
      <c r="M9958" t="n">
        <v>0</v>
      </c>
      <c r="N9958" t="n">
        <v>0</v>
      </c>
      <c r="O9958" t="n">
        <v>0</v>
      </c>
      <c r="P9958" t="n">
        <v>0</v>
      </c>
      <c r="Q9958" t="n">
        <v>0</v>
      </c>
      <c r="R9958" s="2" t="inlineStr"/>
    </row>
    <row r="9959" ht="15" customHeight="1">
      <c r="A9959" t="inlineStr">
        <is>
          <t>A 15667-2023</t>
        </is>
      </c>
      <c r="B9959" s="1" t="n">
        <v>45021</v>
      </c>
      <c r="C9959" s="1" t="n">
        <v>45212</v>
      </c>
      <c r="D9959" t="inlineStr">
        <is>
          <t>VÄSTRA GÖTALANDS LÄN</t>
        </is>
      </c>
      <c r="E9959" t="inlineStr">
        <is>
          <t>MARK</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15704-2023</t>
        </is>
      </c>
      <c r="B9960" s="1" t="n">
        <v>45021</v>
      </c>
      <c r="C9960" s="1" t="n">
        <v>45212</v>
      </c>
      <c r="D9960" t="inlineStr">
        <is>
          <t>VÄSTRA GÖTALANDS LÄN</t>
        </is>
      </c>
      <c r="E9960" t="inlineStr">
        <is>
          <t>TROLLHÄTTAN</t>
        </is>
      </c>
      <c r="G9960" t="n">
        <v>5</v>
      </c>
      <c r="H9960" t="n">
        <v>0</v>
      </c>
      <c r="I9960" t="n">
        <v>0</v>
      </c>
      <c r="J9960" t="n">
        <v>0</v>
      </c>
      <c r="K9960" t="n">
        <v>0</v>
      </c>
      <c r="L9960" t="n">
        <v>0</v>
      </c>
      <c r="M9960" t="n">
        <v>0</v>
      </c>
      <c r="N9960" t="n">
        <v>0</v>
      </c>
      <c r="O9960" t="n">
        <v>0</v>
      </c>
      <c r="P9960" t="n">
        <v>0</v>
      </c>
      <c r="Q9960" t="n">
        <v>0</v>
      </c>
      <c r="R9960" s="2" t="inlineStr"/>
    </row>
    <row r="9961" ht="15" customHeight="1">
      <c r="A9961" t="inlineStr">
        <is>
          <t>A 15726-2023</t>
        </is>
      </c>
      <c r="B9961" s="1" t="n">
        <v>45021</v>
      </c>
      <c r="C9961" s="1" t="n">
        <v>45212</v>
      </c>
      <c r="D9961" t="inlineStr">
        <is>
          <t>VÄSTRA GÖTALANDS LÄN</t>
        </is>
      </c>
      <c r="E9961" t="inlineStr">
        <is>
          <t>MUNKEDAL</t>
        </is>
      </c>
      <c r="G9961" t="n">
        <v>3</v>
      </c>
      <c r="H9961" t="n">
        <v>0</v>
      </c>
      <c r="I9961" t="n">
        <v>0</v>
      </c>
      <c r="J9961" t="n">
        <v>0</v>
      </c>
      <c r="K9961" t="n">
        <v>0</v>
      </c>
      <c r="L9961" t="n">
        <v>0</v>
      </c>
      <c r="M9961" t="n">
        <v>0</v>
      </c>
      <c r="N9961" t="n">
        <v>0</v>
      </c>
      <c r="O9961" t="n">
        <v>0</v>
      </c>
      <c r="P9961" t="n">
        <v>0</v>
      </c>
      <c r="Q9961" t="n">
        <v>0</v>
      </c>
      <c r="R9961" s="2" t="inlineStr"/>
    </row>
    <row r="9962" ht="15" customHeight="1">
      <c r="A9962" t="inlineStr">
        <is>
          <t>A 15651-2023</t>
        </is>
      </c>
      <c r="B9962" s="1" t="n">
        <v>45021</v>
      </c>
      <c r="C9962" s="1" t="n">
        <v>45212</v>
      </c>
      <c r="D9962" t="inlineStr">
        <is>
          <t>VÄSTRA GÖTALANDS LÄN</t>
        </is>
      </c>
      <c r="E9962" t="inlineStr">
        <is>
          <t>BENGTSFORS</t>
        </is>
      </c>
      <c r="G9962" t="n">
        <v>11.6</v>
      </c>
      <c r="H9962" t="n">
        <v>0</v>
      </c>
      <c r="I9962" t="n">
        <v>0</v>
      </c>
      <c r="J9962" t="n">
        <v>0</v>
      </c>
      <c r="K9962" t="n">
        <v>0</v>
      </c>
      <c r="L9962" t="n">
        <v>0</v>
      </c>
      <c r="M9962" t="n">
        <v>0</v>
      </c>
      <c r="N9962" t="n">
        <v>0</v>
      </c>
      <c r="O9962" t="n">
        <v>0</v>
      </c>
      <c r="P9962" t="n">
        <v>0</v>
      </c>
      <c r="Q9962" t="n">
        <v>0</v>
      </c>
      <c r="R9962" s="2" t="inlineStr"/>
    </row>
    <row r="9963" ht="15" customHeight="1">
      <c r="A9963" t="inlineStr">
        <is>
          <t>A 15684-2023</t>
        </is>
      </c>
      <c r="B9963" s="1" t="n">
        <v>45021</v>
      </c>
      <c r="C9963" s="1" t="n">
        <v>45212</v>
      </c>
      <c r="D9963" t="inlineStr">
        <is>
          <t>VÄSTRA GÖTALANDS LÄN</t>
        </is>
      </c>
      <c r="E9963" t="inlineStr">
        <is>
          <t>TIBRO</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15643-2023</t>
        </is>
      </c>
      <c r="B9964" s="1" t="n">
        <v>45021</v>
      </c>
      <c r="C9964" s="1" t="n">
        <v>45212</v>
      </c>
      <c r="D9964" t="inlineStr">
        <is>
          <t>VÄSTRA GÖTALANDS LÄN</t>
        </is>
      </c>
      <c r="E9964" t="inlineStr">
        <is>
          <t>TROLLHÄTTAN</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15691-2023</t>
        </is>
      </c>
      <c r="B9965" s="1" t="n">
        <v>45021</v>
      </c>
      <c r="C9965" s="1" t="n">
        <v>45212</v>
      </c>
      <c r="D9965" t="inlineStr">
        <is>
          <t>VÄSTRA GÖTALANDS LÄN</t>
        </is>
      </c>
      <c r="E9965" t="inlineStr">
        <is>
          <t>MARK</t>
        </is>
      </c>
      <c r="G9965" t="n">
        <v>9.6</v>
      </c>
      <c r="H9965" t="n">
        <v>0</v>
      </c>
      <c r="I9965" t="n">
        <v>0</v>
      </c>
      <c r="J9965" t="n">
        <v>0</v>
      </c>
      <c r="K9965" t="n">
        <v>0</v>
      </c>
      <c r="L9965" t="n">
        <v>0</v>
      </c>
      <c r="M9965" t="n">
        <v>0</v>
      </c>
      <c r="N9965" t="n">
        <v>0</v>
      </c>
      <c r="O9965" t="n">
        <v>0</v>
      </c>
      <c r="P9965" t="n">
        <v>0</v>
      </c>
      <c r="Q9965" t="n">
        <v>0</v>
      </c>
      <c r="R9965" s="2" t="inlineStr"/>
    </row>
    <row r="9966" ht="15" customHeight="1">
      <c r="A9966" t="inlineStr">
        <is>
          <t>A 15705-2023</t>
        </is>
      </c>
      <c r="B9966" s="1" t="n">
        <v>45021</v>
      </c>
      <c r="C9966" s="1" t="n">
        <v>45212</v>
      </c>
      <c r="D9966" t="inlineStr">
        <is>
          <t>VÄSTRA GÖTALANDS LÄN</t>
        </is>
      </c>
      <c r="E9966" t="inlineStr">
        <is>
          <t>TROLLHÄTTAN</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15721-2023</t>
        </is>
      </c>
      <c r="B9967" s="1" t="n">
        <v>45021</v>
      </c>
      <c r="C9967" s="1" t="n">
        <v>45212</v>
      </c>
      <c r="D9967" t="inlineStr">
        <is>
          <t>VÄSTRA GÖTALANDS LÄN</t>
        </is>
      </c>
      <c r="E9967" t="inlineStr">
        <is>
          <t>MELLERUD</t>
        </is>
      </c>
      <c r="G9967" t="n">
        <v>1.3</v>
      </c>
      <c r="H9967" t="n">
        <v>0</v>
      </c>
      <c r="I9967" t="n">
        <v>0</v>
      </c>
      <c r="J9967" t="n">
        <v>0</v>
      </c>
      <c r="K9967" t="n">
        <v>0</v>
      </c>
      <c r="L9967" t="n">
        <v>0</v>
      </c>
      <c r="M9967" t="n">
        <v>0</v>
      </c>
      <c r="N9967" t="n">
        <v>0</v>
      </c>
      <c r="O9967" t="n">
        <v>0</v>
      </c>
      <c r="P9967" t="n">
        <v>0</v>
      </c>
      <c r="Q9967" t="n">
        <v>0</v>
      </c>
      <c r="R9967" s="2" t="inlineStr"/>
    </row>
    <row r="9968" ht="15" customHeight="1">
      <c r="A9968" t="inlineStr">
        <is>
          <t>A 15800-2023</t>
        </is>
      </c>
      <c r="B9968" s="1" t="n">
        <v>45021</v>
      </c>
      <c r="C9968" s="1" t="n">
        <v>45212</v>
      </c>
      <c r="D9968" t="inlineStr">
        <is>
          <t>VÄSTRA GÖTALANDS LÄN</t>
        </is>
      </c>
      <c r="E9968" t="inlineStr">
        <is>
          <t>HERRLJUNGA</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15848-2023</t>
        </is>
      </c>
      <c r="B9969" s="1" t="n">
        <v>45022</v>
      </c>
      <c r="C9969" s="1" t="n">
        <v>45212</v>
      </c>
      <c r="D9969" t="inlineStr">
        <is>
          <t>VÄSTRA GÖTALANDS LÄN</t>
        </is>
      </c>
      <c r="E9969" t="inlineStr">
        <is>
          <t>MUNKEDAL</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15856-2023</t>
        </is>
      </c>
      <c r="B9970" s="1" t="n">
        <v>45022</v>
      </c>
      <c r="C9970" s="1" t="n">
        <v>45212</v>
      </c>
      <c r="D9970" t="inlineStr">
        <is>
          <t>VÄSTRA GÖTALANDS LÄN</t>
        </is>
      </c>
      <c r="E9970" t="inlineStr">
        <is>
          <t>ULRICEHAMN</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15924-2023</t>
        </is>
      </c>
      <c r="B9971" s="1" t="n">
        <v>45022</v>
      </c>
      <c r="C9971" s="1" t="n">
        <v>45212</v>
      </c>
      <c r="D9971" t="inlineStr">
        <is>
          <t>VÄSTRA GÖTALANDS LÄN</t>
        </is>
      </c>
      <c r="E9971" t="inlineStr">
        <is>
          <t>FALKÖPING</t>
        </is>
      </c>
      <c r="G9971" t="n">
        <v>4.6</v>
      </c>
      <c r="H9971" t="n">
        <v>0</v>
      </c>
      <c r="I9971" t="n">
        <v>0</v>
      </c>
      <c r="J9971" t="n">
        <v>0</v>
      </c>
      <c r="K9971" t="n">
        <v>0</v>
      </c>
      <c r="L9971" t="n">
        <v>0</v>
      </c>
      <c r="M9971" t="n">
        <v>0</v>
      </c>
      <c r="N9971" t="n">
        <v>0</v>
      </c>
      <c r="O9971" t="n">
        <v>0</v>
      </c>
      <c r="P9971" t="n">
        <v>0</v>
      </c>
      <c r="Q9971" t="n">
        <v>0</v>
      </c>
      <c r="R9971" s="2" t="inlineStr"/>
    </row>
    <row r="9972" ht="15" customHeight="1">
      <c r="A9972" t="inlineStr">
        <is>
          <t>A 15975-2023</t>
        </is>
      </c>
      <c r="B9972" s="1" t="n">
        <v>45022</v>
      </c>
      <c r="C9972" s="1" t="n">
        <v>45212</v>
      </c>
      <c r="D9972" t="inlineStr">
        <is>
          <t>VÄSTRA GÖTALANDS LÄN</t>
        </is>
      </c>
      <c r="E9972" t="inlineStr">
        <is>
          <t>TANUM</t>
        </is>
      </c>
      <c r="G9972" t="n">
        <v>1.7</v>
      </c>
      <c r="H9972" t="n">
        <v>0</v>
      </c>
      <c r="I9972" t="n">
        <v>0</v>
      </c>
      <c r="J9972" t="n">
        <v>0</v>
      </c>
      <c r="K9972" t="n">
        <v>0</v>
      </c>
      <c r="L9972" t="n">
        <v>0</v>
      </c>
      <c r="M9972" t="n">
        <v>0</v>
      </c>
      <c r="N9972" t="n">
        <v>0</v>
      </c>
      <c r="O9972" t="n">
        <v>0</v>
      </c>
      <c r="P9972" t="n">
        <v>0</v>
      </c>
      <c r="Q9972" t="n">
        <v>0</v>
      </c>
      <c r="R9972" s="2" t="inlineStr"/>
    </row>
    <row r="9973" ht="15" customHeight="1">
      <c r="A9973" t="inlineStr">
        <is>
          <t>A 15861-2023</t>
        </is>
      </c>
      <c r="B9973" s="1" t="n">
        <v>45022</v>
      </c>
      <c r="C9973" s="1" t="n">
        <v>45212</v>
      </c>
      <c r="D9973" t="inlineStr">
        <is>
          <t>VÄSTRA GÖTALANDS LÄN</t>
        </is>
      </c>
      <c r="E9973" t="inlineStr">
        <is>
          <t>MARK</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15874-2023</t>
        </is>
      </c>
      <c r="B9974" s="1" t="n">
        <v>45022</v>
      </c>
      <c r="C9974" s="1" t="n">
        <v>45212</v>
      </c>
      <c r="D9974" t="inlineStr">
        <is>
          <t>VÄSTRA GÖTALANDS LÄN</t>
        </is>
      </c>
      <c r="E9974" t="inlineStr">
        <is>
          <t>MARK</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15928-2023</t>
        </is>
      </c>
      <c r="B9975" s="1" t="n">
        <v>45022</v>
      </c>
      <c r="C9975" s="1" t="n">
        <v>45212</v>
      </c>
      <c r="D9975" t="inlineStr">
        <is>
          <t>VÄSTRA GÖTALANDS LÄN</t>
        </is>
      </c>
      <c r="E9975" t="inlineStr">
        <is>
          <t>FALKÖPING</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15955-2023</t>
        </is>
      </c>
      <c r="B9976" s="1" t="n">
        <v>45022</v>
      </c>
      <c r="C9976" s="1" t="n">
        <v>45212</v>
      </c>
      <c r="D9976" t="inlineStr">
        <is>
          <t>VÄSTRA GÖTALANDS LÄN</t>
        </is>
      </c>
      <c r="E9976" t="inlineStr">
        <is>
          <t>ULRICEHAMN</t>
        </is>
      </c>
      <c r="G9976" t="n">
        <v>2.5</v>
      </c>
      <c r="H9976" t="n">
        <v>0</v>
      </c>
      <c r="I9976" t="n">
        <v>0</v>
      </c>
      <c r="J9976" t="n">
        <v>0</v>
      </c>
      <c r="K9976" t="n">
        <v>0</v>
      </c>
      <c r="L9976" t="n">
        <v>0</v>
      </c>
      <c r="M9976" t="n">
        <v>0</v>
      </c>
      <c r="N9976" t="n">
        <v>0</v>
      </c>
      <c r="O9976" t="n">
        <v>0</v>
      </c>
      <c r="P9976" t="n">
        <v>0</v>
      </c>
      <c r="Q9976" t="n">
        <v>0</v>
      </c>
      <c r="R9976" s="2" t="inlineStr"/>
    </row>
    <row r="9977" ht="15" customHeight="1">
      <c r="A9977" t="inlineStr">
        <is>
          <t>A 15991-2023</t>
        </is>
      </c>
      <c r="B9977" s="1" t="n">
        <v>45023</v>
      </c>
      <c r="C9977" s="1" t="n">
        <v>45212</v>
      </c>
      <c r="D9977" t="inlineStr">
        <is>
          <t>VÄSTRA GÖTALANDS LÄN</t>
        </is>
      </c>
      <c r="E9977" t="inlineStr">
        <is>
          <t>TANUM</t>
        </is>
      </c>
      <c r="G9977" t="n">
        <v>7.1</v>
      </c>
      <c r="H9977" t="n">
        <v>0</v>
      </c>
      <c r="I9977" t="n">
        <v>0</v>
      </c>
      <c r="J9977" t="n">
        <v>0</v>
      </c>
      <c r="K9977" t="n">
        <v>0</v>
      </c>
      <c r="L9977" t="n">
        <v>0</v>
      </c>
      <c r="M9977" t="n">
        <v>0</v>
      </c>
      <c r="N9977" t="n">
        <v>0</v>
      </c>
      <c r="O9977" t="n">
        <v>0</v>
      </c>
      <c r="P9977" t="n">
        <v>0</v>
      </c>
      <c r="Q9977" t="n">
        <v>0</v>
      </c>
      <c r="R9977" s="2" t="inlineStr"/>
    </row>
    <row r="9978" ht="15" customHeight="1">
      <c r="A9978" t="inlineStr">
        <is>
          <t>A 16011-2023</t>
        </is>
      </c>
      <c r="B9978" s="1" t="n">
        <v>45026</v>
      </c>
      <c r="C9978" s="1" t="n">
        <v>45212</v>
      </c>
      <c r="D9978" t="inlineStr">
        <is>
          <t>VÄSTRA GÖTALANDS LÄN</t>
        </is>
      </c>
      <c r="E9978" t="inlineStr">
        <is>
          <t>GRÄSTORP</t>
        </is>
      </c>
      <c r="G9978" t="n">
        <v>4</v>
      </c>
      <c r="H9978" t="n">
        <v>0</v>
      </c>
      <c r="I9978" t="n">
        <v>0</v>
      </c>
      <c r="J9978" t="n">
        <v>0</v>
      </c>
      <c r="K9978" t="n">
        <v>0</v>
      </c>
      <c r="L9978" t="n">
        <v>0</v>
      </c>
      <c r="M9978" t="n">
        <v>0</v>
      </c>
      <c r="N9978" t="n">
        <v>0</v>
      </c>
      <c r="O9978" t="n">
        <v>0</v>
      </c>
      <c r="P9978" t="n">
        <v>0</v>
      </c>
      <c r="Q9978" t="n">
        <v>0</v>
      </c>
      <c r="R9978" s="2" t="inlineStr"/>
    </row>
    <row r="9979" ht="15" customHeight="1">
      <c r="A9979" t="inlineStr">
        <is>
          <t>A 16480-2023</t>
        </is>
      </c>
      <c r="B9979" s="1" t="n">
        <v>45026</v>
      </c>
      <c r="C9979" s="1" t="n">
        <v>45212</v>
      </c>
      <c r="D9979" t="inlineStr">
        <is>
          <t>VÄSTRA GÖTALANDS LÄN</t>
        </is>
      </c>
      <c r="E9979" t="inlineStr">
        <is>
          <t>TANUM</t>
        </is>
      </c>
      <c r="G9979" t="n">
        <v>1</v>
      </c>
      <c r="H9979" t="n">
        <v>0</v>
      </c>
      <c r="I9979" t="n">
        <v>0</v>
      </c>
      <c r="J9979" t="n">
        <v>0</v>
      </c>
      <c r="K9979" t="n">
        <v>0</v>
      </c>
      <c r="L9979" t="n">
        <v>0</v>
      </c>
      <c r="M9979" t="n">
        <v>0</v>
      </c>
      <c r="N9979" t="n">
        <v>0</v>
      </c>
      <c r="O9979" t="n">
        <v>0</v>
      </c>
      <c r="P9979" t="n">
        <v>0</v>
      </c>
      <c r="Q9979" t="n">
        <v>0</v>
      </c>
      <c r="R9979" s="2" t="inlineStr"/>
    </row>
    <row r="9980" ht="15" customHeight="1">
      <c r="A9980" t="inlineStr">
        <is>
          <t>A 16019-2023</t>
        </is>
      </c>
      <c r="B9980" s="1" t="n">
        <v>45026</v>
      </c>
      <c r="C9980" s="1" t="n">
        <v>45212</v>
      </c>
      <c r="D9980" t="inlineStr">
        <is>
          <t>VÄSTRA GÖTALANDS LÄN</t>
        </is>
      </c>
      <c r="E9980" t="inlineStr">
        <is>
          <t>HERRLJUNGA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16471-2023</t>
        </is>
      </c>
      <c r="B9981" s="1" t="n">
        <v>45026</v>
      </c>
      <c r="C9981" s="1" t="n">
        <v>45212</v>
      </c>
      <c r="D9981" t="inlineStr">
        <is>
          <t>VÄSTRA GÖTALANDS LÄN</t>
        </is>
      </c>
      <c r="E9981" t="inlineStr">
        <is>
          <t>TANUM</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16036-2023</t>
        </is>
      </c>
      <c r="B9982" s="1" t="n">
        <v>45027</v>
      </c>
      <c r="C9982" s="1" t="n">
        <v>45212</v>
      </c>
      <c r="D9982" t="inlineStr">
        <is>
          <t>VÄSTRA GÖTALANDS LÄN</t>
        </is>
      </c>
      <c r="E9982" t="inlineStr">
        <is>
          <t>MARK</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16091-2023</t>
        </is>
      </c>
      <c r="B9983" s="1" t="n">
        <v>45027</v>
      </c>
      <c r="C9983" s="1" t="n">
        <v>45212</v>
      </c>
      <c r="D9983" t="inlineStr">
        <is>
          <t>VÄSTRA GÖTALANDS LÄN</t>
        </is>
      </c>
      <c r="E9983" t="inlineStr">
        <is>
          <t>TROLLHÄTTAN</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16177-2023</t>
        </is>
      </c>
      <c r="B9984" s="1" t="n">
        <v>45027</v>
      </c>
      <c r="C9984" s="1" t="n">
        <v>45212</v>
      </c>
      <c r="D9984" t="inlineStr">
        <is>
          <t>VÄSTRA GÖTALANDS LÄN</t>
        </is>
      </c>
      <c r="E9984" t="inlineStr">
        <is>
          <t>FALKÖPING</t>
        </is>
      </c>
      <c r="G9984" t="n">
        <v>1.7</v>
      </c>
      <c r="H9984" t="n">
        <v>0</v>
      </c>
      <c r="I9984" t="n">
        <v>0</v>
      </c>
      <c r="J9984" t="n">
        <v>0</v>
      </c>
      <c r="K9984" t="n">
        <v>0</v>
      </c>
      <c r="L9984" t="n">
        <v>0</v>
      </c>
      <c r="M9984" t="n">
        <v>0</v>
      </c>
      <c r="N9984" t="n">
        <v>0</v>
      </c>
      <c r="O9984" t="n">
        <v>0</v>
      </c>
      <c r="P9984" t="n">
        <v>0</v>
      </c>
      <c r="Q9984" t="n">
        <v>0</v>
      </c>
      <c r="R9984" s="2" t="inlineStr"/>
    </row>
    <row r="9985" ht="15" customHeight="1">
      <c r="A9985" t="inlineStr">
        <is>
          <t>A 16535-2023</t>
        </is>
      </c>
      <c r="B9985" s="1" t="n">
        <v>45027</v>
      </c>
      <c r="C9985" s="1" t="n">
        <v>45212</v>
      </c>
      <c r="D9985" t="inlineStr">
        <is>
          <t>VÄSTRA GÖTALANDS LÄN</t>
        </is>
      </c>
      <c r="E9985" t="inlineStr">
        <is>
          <t>ÅMÅL</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16648-2023</t>
        </is>
      </c>
      <c r="B9986" s="1" t="n">
        <v>45028</v>
      </c>
      <c r="C9986" s="1" t="n">
        <v>45212</v>
      </c>
      <c r="D9986" t="inlineStr">
        <is>
          <t>VÄSTRA GÖTALANDS LÄN</t>
        </is>
      </c>
      <c r="E9986" t="inlineStr">
        <is>
          <t>LERUM</t>
        </is>
      </c>
      <c r="F9986" t="inlineStr">
        <is>
          <t>Kyrkan</t>
        </is>
      </c>
      <c r="G9986" t="n">
        <v>4.5</v>
      </c>
      <c r="H9986" t="n">
        <v>0</v>
      </c>
      <c r="I9986" t="n">
        <v>0</v>
      </c>
      <c r="J9986" t="n">
        <v>0</v>
      </c>
      <c r="K9986" t="n">
        <v>0</v>
      </c>
      <c r="L9986" t="n">
        <v>0</v>
      </c>
      <c r="M9986" t="n">
        <v>0</v>
      </c>
      <c r="N9986" t="n">
        <v>0</v>
      </c>
      <c r="O9986" t="n">
        <v>0</v>
      </c>
      <c r="P9986" t="n">
        <v>0</v>
      </c>
      <c r="Q9986" t="n">
        <v>0</v>
      </c>
      <c r="R9986" s="2" t="inlineStr"/>
    </row>
    <row r="9987" ht="15" customHeight="1">
      <c r="A9987" t="inlineStr">
        <is>
          <t>A 16343-2023</t>
        </is>
      </c>
      <c r="B9987" s="1" t="n">
        <v>45028</v>
      </c>
      <c r="C9987" s="1" t="n">
        <v>45212</v>
      </c>
      <c r="D9987" t="inlineStr">
        <is>
          <t>VÄSTRA GÖTALANDS LÄN</t>
        </is>
      </c>
      <c r="E9987" t="inlineStr">
        <is>
          <t>SKARA</t>
        </is>
      </c>
      <c r="G9987" t="n">
        <v>3.6</v>
      </c>
      <c r="H9987" t="n">
        <v>0</v>
      </c>
      <c r="I9987" t="n">
        <v>0</v>
      </c>
      <c r="J9987" t="n">
        <v>0</v>
      </c>
      <c r="K9987" t="n">
        <v>0</v>
      </c>
      <c r="L9987" t="n">
        <v>0</v>
      </c>
      <c r="M9987" t="n">
        <v>0</v>
      </c>
      <c r="N9987" t="n">
        <v>0</v>
      </c>
      <c r="O9987" t="n">
        <v>0</v>
      </c>
      <c r="P9987" t="n">
        <v>0</v>
      </c>
      <c r="Q9987" t="n">
        <v>0</v>
      </c>
      <c r="R9987" s="2" t="inlineStr"/>
    </row>
    <row r="9988" ht="15" customHeight="1">
      <c r="A9988" t="inlineStr">
        <is>
          <t>A 16379-2023</t>
        </is>
      </c>
      <c r="B9988" s="1" t="n">
        <v>45028</v>
      </c>
      <c r="C9988" s="1" t="n">
        <v>45212</v>
      </c>
      <c r="D9988" t="inlineStr">
        <is>
          <t>VÄSTRA GÖTALANDS LÄN</t>
        </is>
      </c>
      <c r="E9988" t="inlineStr">
        <is>
          <t>ÅMÅL</t>
        </is>
      </c>
      <c r="G9988" t="n">
        <v>3.4</v>
      </c>
      <c r="H9988" t="n">
        <v>0</v>
      </c>
      <c r="I9988" t="n">
        <v>0</v>
      </c>
      <c r="J9988" t="n">
        <v>0</v>
      </c>
      <c r="K9988" t="n">
        <v>0</v>
      </c>
      <c r="L9988" t="n">
        <v>0</v>
      </c>
      <c r="M9988" t="n">
        <v>0</v>
      </c>
      <c r="N9988" t="n">
        <v>0</v>
      </c>
      <c r="O9988" t="n">
        <v>0</v>
      </c>
      <c r="P9988" t="n">
        <v>0</v>
      </c>
      <c r="Q9988" t="n">
        <v>0</v>
      </c>
      <c r="R9988" s="2" t="inlineStr"/>
    </row>
    <row r="9989" ht="15" customHeight="1">
      <c r="A9989" t="inlineStr">
        <is>
          <t>A 16207-2023</t>
        </is>
      </c>
      <c r="B9989" s="1" t="n">
        <v>45028</v>
      </c>
      <c r="C9989" s="1" t="n">
        <v>45212</v>
      </c>
      <c r="D9989" t="inlineStr">
        <is>
          <t>VÄSTRA GÖTALANDS LÄN</t>
        </is>
      </c>
      <c r="E9989" t="inlineStr">
        <is>
          <t>ÅMÅL</t>
        </is>
      </c>
      <c r="G9989" t="n">
        <v>1.8</v>
      </c>
      <c r="H9989" t="n">
        <v>0</v>
      </c>
      <c r="I9989" t="n">
        <v>0</v>
      </c>
      <c r="J9989" t="n">
        <v>0</v>
      </c>
      <c r="K9989" t="n">
        <v>0</v>
      </c>
      <c r="L9989" t="n">
        <v>0</v>
      </c>
      <c r="M9989" t="n">
        <v>0</v>
      </c>
      <c r="N9989" t="n">
        <v>0</v>
      </c>
      <c r="O9989" t="n">
        <v>0</v>
      </c>
      <c r="P9989" t="n">
        <v>0</v>
      </c>
      <c r="Q9989" t="n">
        <v>0</v>
      </c>
      <c r="R9989" s="2" t="inlineStr"/>
    </row>
    <row r="9990" ht="15" customHeight="1">
      <c r="A9990" t="inlineStr">
        <is>
          <t>A 16344-2023</t>
        </is>
      </c>
      <c r="B9990" s="1" t="n">
        <v>45028</v>
      </c>
      <c r="C9990" s="1" t="n">
        <v>45212</v>
      </c>
      <c r="D9990" t="inlineStr">
        <is>
          <t>VÄSTRA GÖTALANDS LÄN</t>
        </is>
      </c>
      <c r="E9990" t="inlineStr">
        <is>
          <t>ALE</t>
        </is>
      </c>
      <c r="G9990" t="n">
        <v>6.6</v>
      </c>
      <c r="H9990" t="n">
        <v>0</v>
      </c>
      <c r="I9990" t="n">
        <v>0</v>
      </c>
      <c r="J9990" t="n">
        <v>0</v>
      </c>
      <c r="K9990" t="n">
        <v>0</v>
      </c>
      <c r="L9990" t="n">
        <v>0</v>
      </c>
      <c r="M9990" t="n">
        <v>0</v>
      </c>
      <c r="N9990" t="n">
        <v>0</v>
      </c>
      <c r="O9990" t="n">
        <v>0</v>
      </c>
      <c r="P9990" t="n">
        <v>0</v>
      </c>
      <c r="Q9990" t="n">
        <v>0</v>
      </c>
      <c r="R9990" s="2" t="inlineStr"/>
    </row>
    <row r="9991" ht="15" customHeight="1">
      <c r="A9991" t="inlineStr">
        <is>
          <t>A 16353-2023</t>
        </is>
      </c>
      <c r="B9991" s="1" t="n">
        <v>45028</v>
      </c>
      <c r="C9991" s="1" t="n">
        <v>45212</v>
      </c>
      <c r="D9991" t="inlineStr">
        <is>
          <t>VÄSTRA GÖTALANDS LÄN</t>
        </is>
      </c>
      <c r="E9991" t="inlineStr">
        <is>
          <t>MARK</t>
        </is>
      </c>
      <c r="G9991" t="n">
        <v>0.6</v>
      </c>
      <c r="H9991" t="n">
        <v>0</v>
      </c>
      <c r="I9991" t="n">
        <v>0</v>
      </c>
      <c r="J9991" t="n">
        <v>0</v>
      </c>
      <c r="K9991" t="n">
        <v>0</v>
      </c>
      <c r="L9991" t="n">
        <v>0</v>
      </c>
      <c r="M9991" t="n">
        <v>0</v>
      </c>
      <c r="N9991" t="n">
        <v>0</v>
      </c>
      <c r="O9991" t="n">
        <v>0</v>
      </c>
      <c r="P9991" t="n">
        <v>0</v>
      </c>
      <c r="Q9991" t="n">
        <v>0</v>
      </c>
      <c r="R9991" s="2" t="inlineStr"/>
    </row>
    <row r="9992" ht="15" customHeight="1">
      <c r="A9992" t="inlineStr">
        <is>
          <t>A 16382-2023</t>
        </is>
      </c>
      <c r="B9992" s="1" t="n">
        <v>45029</v>
      </c>
      <c r="C9992" s="1" t="n">
        <v>45212</v>
      </c>
      <c r="D9992" t="inlineStr">
        <is>
          <t>VÄSTRA GÖTALANDS LÄN</t>
        </is>
      </c>
      <c r="E9992" t="inlineStr">
        <is>
          <t>TIDAHOLM</t>
        </is>
      </c>
      <c r="G9992" t="n">
        <v>3</v>
      </c>
      <c r="H9992" t="n">
        <v>0</v>
      </c>
      <c r="I9992" t="n">
        <v>0</v>
      </c>
      <c r="J9992" t="n">
        <v>0</v>
      </c>
      <c r="K9992" t="n">
        <v>0</v>
      </c>
      <c r="L9992" t="n">
        <v>0</v>
      </c>
      <c r="M9992" t="n">
        <v>0</v>
      </c>
      <c r="N9992" t="n">
        <v>0</v>
      </c>
      <c r="O9992" t="n">
        <v>0</v>
      </c>
      <c r="P9992" t="n">
        <v>0</v>
      </c>
      <c r="Q9992" t="n">
        <v>0</v>
      </c>
      <c r="R9992" s="2" t="inlineStr"/>
    </row>
    <row r="9993" ht="15" customHeight="1">
      <c r="A9993" t="inlineStr">
        <is>
          <t>A 16400-2023</t>
        </is>
      </c>
      <c r="B9993" s="1" t="n">
        <v>45029</v>
      </c>
      <c r="C9993" s="1" t="n">
        <v>45212</v>
      </c>
      <c r="D9993" t="inlineStr">
        <is>
          <t>VÄSTRA GÖTALANDS LÄN</t>
        </is>
      </c>
      <c r="E9993" t="inlineStr">
        <is>
          <t>TANUM</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16411-2023</t>
        </is>
      </c>
      <c r="B9994" s="1" t="n">
        <v>45029</v>
      </c>
      <c r="C9994" s="1" t="n">
        <v>45212</v>
      </c>
      <c r="D9994" t="inlineStr">
        <is>
          <t>VÄSTRA GÖTALANDS LÄN</t>
        </is>
      </c>
      <c r="E9994" t="inlineStr">
        <is>
          <t>BOLLEBYGD</t>
        </is>
      </c>
      <c r="G9994" t="n">
        <v>1.7</v>
      </c>
      <c r="H9994" t="n">
        <v>0</v>
      </c>
      <c r="I9994" t="n">
        <v>0</v>
      </c>
      <c r="J9994" t="n">
        <v>0</v>
      </c>
      <c r="K9994" t="n">
        <v>0</v>
      </c>
      <c r="L9994" t="n">
        <v>0</v>
      </c>
      <c r="M9994" t="n">
        <v>0</v>
      </c>
      <c r="N9994" t="n">
        <v>0</v>
      </c>
      <c r="O9994" t="n">
        <v>0</v>
      </c>
      <c r="P9994" t="n">
        <v>0</v>
      </c>
      <c r="Q9994" t="n">
        <v>0</v>
      </c>
      <c r="R9994" s="2" t="inlineStr"/>
    </row>
    <row r="9995" ht="15" customHeight="1">
      <c r="A9995" t="inlineStr">
        <is>
          <t>A 16539-2023</t>
        </is>
      </c>
      <c r="B9995" s="1" t="n">
        <v>45029</v>
      </c>
      <c r="C9995" s="1" t="n">
        <v>45212</v>
      </c>
      <c r="D9995" t="inlineStr">
        <is>
          <t>VÄSTRA GÖTALANDS LÄN</t>
        </is>
      </c>
      <c r="E9995" t="inlineStr">
        <is>
          <t>MARK</t>
        </is>
      </c>
      <c r="G9995" t="n">
        <v>2</v>
      </c>
      <c r="H9995" t="n">
        <v>0</v>
      </c>
      <c r="I9995" t="n">
        <v>0</v>
      </c>
      <c r="J9995" t="n">
        <v>0</v>
      </c>
      <c r="K9995" t="n">
        <v>0</v>
      </c>
      <c r="L9995" t="n">
        <v>0</v>
      </c>
      <c r="M9995" t="n">
        <v>0</v>
      </c>
      <c r="N9995" t="n">
        <v>0</v>
      </c>
      <c r="O9995" t="n">
        <v>0</v>
      </c>
      <c r="P9995" t="n">
        <v>0</v>
      </c>
      <c r="Q9995" t="n">
        <v>0</v>
      </c>
      <c r="R9995" s="2" t="inlineStr"/>
    </row>
    <row r="9996" ht="15" customHeight="1">
      <c r="A9996" t="inlineStr">
        <is>
          <t>A 16830-2023</t>
        </is>
      </c>
      <c r="B9996" s="1" t="n">
        <v>45029</v>
      </c>
      <c r="C9996" s="1" t="n">
        <v>45212</v>
      </c>
      <c r="D9996" t="inlineStr">
        <is>
          <t>VÄSTRA GÖTALANDS LÄN</t>
        </is>
      </c>
      <c r="E9996" t="inlineStr">
        <is>
          <t>ÅMÅL</t>
        </is>
      </c>
      <c r="F9996" t="inlineStr">
        <is>
          <t>Bergvik skog väst AB</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16389-2023</t>
        </is>
      </c>
      <c r="B9997" s="1" t="n">
        <v>45029</v>
      </c>
      <c r="C9997" s="1" t="n">
        <v>45212</v>
      </c>
      <c r="D9997" t="inlineStr">
        <is>
          <t>VÄSTRA GÖTALANDS LÄN</t>
        </is>
      </c>
      <c r="E9997" t="inlineStr">
        <is>
          <t>ALE</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16381-2023</t>
        </is>
      </c>
      <c r="B9998" s="1" t="n">
        <v>45029</v>
      </c>
      <c r="C9998" s="1" t="n">
        <v>45212</v>
      </c>
      <c r="D9998" t="inlineStr">
        <is>
          <t>VÄSTRA GÖTALANDS LÄN</t>
        </is>
      </c>
      <c r="E9998" t="inlineStr">
        <is>
          <t>SVENLJUNGA</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16418-2023</t>
        </is>
      </c>
      <c r="B9999" s="1" t="n">
        <v>45029</v>
      </c>
      <c r="C9999" s="1" t="n">
        <v>45212</v>
      </c>
      <c r="D9999" t="inlineStr">
        <is>
          <t>VÄSTRA GÖTALANDS LÄN</t>
        </is>
      </c>
      <c r="E9999" t="inlineStr">
        <is>
          <t>VÄNERSBORG</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16475-2023</t>
        </is>
      </c>
      <c r="B10000" s="1" t="n">
        <v>45029</v>
      </c>
      <c r="C10000" s="1" t="n">
        <v>45212</v>
      </c>
      <c r="D10000" t="inlineStr">
        <is>
          <t>VÄSTRA GÖTALANDS LÄN</t>
        </is>
      </c>
      <c r="E10000" t="inlineStr">
        <is>
          <t>TROLLHÄTTAN</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16538-2023</t>
        </is>
      </c>
      <c r="B10001" s="1" t="n">
        <v>45029</v>
      </c>
      <c r="C10001" s="1" t="n">
        <v>45212</v>
      </c>
      <c r="D10001" t="inlineStr">
        <is>
          <t>VÄSTRA GÖTALANDS LÄN</t>
        </is>
      </c>
      <c r="E10001" t="inlineStr">
        <is>
          <t>MARK</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16551-2023</t>
        </is>
      </c>
      <c r="B10002" s="1" t="n">
        <v>45029</v>
      </c>
      <c r="C10002" s="1" t="n">
        <v>45212</v>
      </c>
      <c r="D10002" t="inlineStr">
        <is>
          <t>VÄSTRA GÖTALANDS LÄN</t>
        </is>
      </c>
      <c r="E10002" t="inlineStr">
        <is>
          <t>TÖREBODA</t>
        </is>
      </c>
      <c r="F10002" t="inlineStr">
        <is>
          <t>Övriga Aktiebolag</t>
        </is>
      </c>
      <c r="G10002" t="n">
        <v>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16417-2023</t>
        </is>
      </c>
      <c r="B10003" s="1" t="n">
        <v>45029</v>
      </c>
      <c r="C10003" s="1" t="n">
        <v>45212</v>
      </c>
      <c r="D10003" t="inlineStr">
        <is>
          <t>VÄSTRA GÖTALANDS LÄN</t>
        </is>
      </c>
      <c r="E10003" t="inlineStr">
        <is>
          <t>MUNKEDAL</t>
        </is>
      </c>
      <c r="G10003" t="n">
        <v>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16447-2023</t>
        </is>
      </c>
      <c r="B10004" s="1" t="n">
        <v>45029</v>
      </c>
      <c r="C10004" s="1" t="n">
        <v>45212</v>
      </c>
      <c r="D10004" t="inlineStr">
        <is>
          <t>VÄSTRA GÖTALANDS LÄN</t>
        </is>
      </c>
      <c r="E10004" t="inlineStr">
        <is>
          <t>MÖLNDAL</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16473-2023</t>
        </is>
      </c>
      <c r="B10005" s="1" t="n">
        <v>45029</v>
      </c>
      <c r="C10005" s="1" t="n">
        <v>45212</v>
      </c>
      <c r="D10005" t="inlineStr">
        <is>
          <t>VÄSTRA GÖTALANDS LÄN</t>
        </is>
      </c>
      <c r="E10005" t="inlineStr">
        <is>
          <t>TROLLHÄTTAN</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16716-2023</t>
        </is>
      </c>
      <c r="B10006" s="1" t="n">
        <v>45030</v>
      </c>
      <c r="C10006" s="1" t="n">
        <v>45212</v>
      </c>
      <c r="D10006" t="inlineStr">
        <is>
          <t>VÄSTRA GÖTALANDS LÄN</t>
        </is>
      </c>
      <c r="E10006" t="inlineStr">
        <is>
          <t>MARK</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16614-2023</t>
        </is>
      </c>
      <c r="B10007" s="1" t="n">
        <v>45030</v>
      </c>
      <c r="C10007" s="1" t="n">
        <v>45212</v>
      </c>
      <c r="D10007" t="inlineStr">
        <is>
          <t>VÄSTRA GÖTALANDS LÄN</t>
        </is>
      </c>
      <c r="E10007" t="inlineStr">
        <is>
          <t>MARK</t>
        </is>
      </c>
      <c r="F10007" t="inlineStr">
        <is>
          <t>Sveaskog</t>
        </is>
      </c>
      <c r="G10007" t="n">
        <v>1.2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16747-2023</t>
        </is>
      </c>
      <c r="B10008" s="1" t="n">
        <v>45030</v>
      </c>
      <c r="C10008" s="1" t="n">
        <v>45212</v>
      </c>
      <c r="D10008" t="inlineStr">
        <is>
          <t>VÄSTRA GÖTALANDS LÄN</t>
        </is>
      </c>
      <c r="E10008" t="inlineStr">
        <is>
          <t>VÄNERSBORG</t>
        </is>
      </c>
      <c r="G10008" t="n">
        <v>0.2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16615-2023</t>
        </is>
      </c>
      <c r="B10009" s="1" t="n">
        <v>45030</v>
      </c>
      <c r="C10009" s="1" t="n">
        <v>45212</v>
      </c>
      <c r="D10009" t="inlineStr">
        <is>
          <t>VÄSTRA GÖTALANDS LÄN</t>
        </is>
      </c>
      <c r="E10009" t="inlineStr">
        <is>
          <t>MARK</t>
        </is>
      </c>
      <c r="F10009" t="inlineStr">
        <is>
          <t>Sveaskog</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16662-2023</t>
        </is>
      </c>
      <c r="B10010" s="1" t="n">
        <v>45030</v>
      </c>
      <c r="C10010" s="1" t="n">
        <v>45212</v>
      </c>
      <c r="D10010" t="inlineStr">
        <is>
          <t>VÄSTRA GÖTALANDS LÄN</t>
        </is>
      </c>
      <c r="E10010" t="inlineStr">
        <is>
          <t>TANUM</t>
        </is>
      </c>
      <c r="G10010" t="n">
        <v>5.9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16683-2023</t>
        </is>
      </c>
      <c r="B10011" s="1" t="n">
        <v>45030</v>
      </c>
      <c r="C10011" s="1" t="n">
        <v>45212</v>
      </c>
      <c r="D10011" t="inlineStr">
        <is>
          <t>VÄSTRA GÖTALANDS LÄN</t>
        </is>
      </c>
      <c r="E10011" t="inlineStr">
        <is>
          <t>TÖREBODA</t>
        </is>
      </c>
      <c r="F10011" t="inlineStr">
        <is>
          <t>Sveaskog</t>
        </is>
      </c>
      <c r="G10011" t="n">
        <v>6.9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16723-2023</t>
        </is>
      </c>
      <c r="B10012" s="1" t="n">
        <v>45030</v>
      </c>
      <c r="C10012" s="1" t="n">
        <v>45212</v>
      </c>
      <c r="D10012" t="inlineStr">
        <is>
          <t>VÄSTRA GÖTALANDS LÄN</t>
        </is>
      </c>
      <c r="E10012" t="inlineStr">
        <is>
          <t>HÄRRYDA</t>
        </is>
      </c>
      <c r="G10012" t="n">
        <v>2.3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16627-2023</t>
        </is>
      </c>
      <c r="B10013" s="1" t="n">
        <v>45030</v>
      </c>
      <c r="C10013" s="1" t="n">
        <v>45212</v>
      </c>
      <c r="D10013" t="inlineStr">
        <is>
          <t>VÄSTRA GÖTALANDS LÄN</t>
        </is>
      </c>
      <c r="E10013" t="inlineStr">
        <is>
          <t>BORÅS</t>
        </is>
      </c>
      <c r="G10013" t="n">
        <v>3.9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16686-2023</t>
        </is>
      </c>
      <c r="B10014" s="1" t="n">
        <v>45030</v>
      </c>
      <c r="C10014" s="1" t="n">
        <v>45212</v>
      </c>
      <c r="D10014" t="inlineStr">
        <is>
          <t>VÄSTRA GÖTALANDS LÄN</t>
        </is>
      </c>
      <c r="E10014" t="inlineStr">
        <is>
          <t>TÖREBODA</t>
        </is>
      </c>
      <c r="F10014" t="inlineStr">
        <is>
          <t>Sveaskog</t>
        </is>
      </c>
      <c r="G10014" t="n">
        <v>5.1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16744-2023</t>
        </is>
      </c>
      <c r="B10015" s="1" t="n">
        <v>45030</v>
      </c>
      <c r="C10015" s="1" t="n">
        <v>45212</v>
      </c>
      <c r="D10015" t="inlineStr">
        <is>
          <t>VÄSTRA GÖTALANDS LÄN</t>
        </is>
      </c>
      <c r="E10015" t="inlineStr">
        <is>
          <t>MELLERUD</t>
        </is>
      </c>
      <c r="G10015" t="n">
        <v>2.6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16867-2023</t>
        </is>
      </c>
      <c r="B10016" s="1" t="n">
        <v>45033</v>
      </c>
      <c r="C10016" s="1" t="n">
        <v>45212</v>
      </c>
      <c r="D10016" t="inlineStr">
        <is>
          <t>VÄSTRA GÖTALANDS LÄN</t>
        </is>
      </c>
      <c r="E10016" t="inlineStr">
        <is>
          <t>MARIESTAD</t>
        </is>
      </c>
      <c r="G10016" t="n">
        <v>0.6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16937-2023</t>
        </is>
      </c>
      <c r="B10017" s="1" t="n">
        <v>45033</v>
      </c>
      <c r="C10017" s="1" t="n">
        <v>45212</v>
      </c>
      <c r="D10017" t="inlineStr">
        <is>
          <t>VÄSTRA GÖTALANDS LÄN</t>
        </is>
      </c>
      <c r="E10017" t="inlineStr">
        <is>
          <t>FALKÖPING</t>
        </is>
      </c>
      <c r="G10017" t="n">
        <v>4.9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16942-2023</t>
        </is>
      </c>
      <c r="B10018" s="1" t="n">
        <v>45033</v>
      </c>
      <c r="C10018" s="1" t="n">
        <v>45212</v>
      </c>
      <c r="D10018" t="inlineStr">
        <is>
          <t>VÄSTRA GÖTALANDS LÄN</t>
        </is>
      </c>
      <c r="E10018" t="inlineStr">
        <is>
          <t>FALKÖPING</t>
        </is>
      </c>
      <c r="G10018" t="n">
        <v>5.1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16985-2023</t>
        </is>
      </c>
      <c r="B10019" s="1" t="n">
        <v>45033</v>
      </c>
      <c r="C10019" s="1" t="n">
        <v>45212</v>
      </c>
      <c r="D10019" t="inlineStr">
        <is>
          <t>VÄSTRA GÖTALANDS LÄN</t>
        </is>
      </c>
      <c r="E10019" t="inlineStr">
        <is>
          <t>STRÖMSTAD</t>
        </is>
      </c>
      <c r="F10019" t="inlineStr">
        <is>
          <t>Kommuner</t>
        </is>
      </c>
      <c r="G10019" t="n">
        <v>5.3</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16841-2023</t>
        </is>
      </c>
      <c r="B10020" s="1" t="n">
        <v>45033</v>
      </c>
      <c r="C10020" s="1" t="n">
        <v>45212</v>
      </c>
      <c r="D10020" t="inlineStr">
        <is>
          <t>VÄSTRA GÖTALANDS LÄN</t>
        </is>
      </c>
      <c r="E10020" t="inlineStr">
        <is>
          <t>VÄNERSBORG</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16876-2023</t>
        </is>
      </c>
      <c r="B10021" s="1" t="n">
        <v>45033</v>
      </c>
      <c r="C10021" s="1" t="n">
        <v>45212</v>
      </c>
      <c r="D10021" t="inlineStr">
        <is>
          <t>VÄSTRA GÖTALANDS LÄN</t>
        </is>
      </c>
      <c r="E10021" t="inlineStr">
        <is>
          <t>ALE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16884-2023</t>
        </is>
      </c>
      <c r="B10022" s="1" t="n">
        <v>45033</v>
      </c>
      <c r="C10022" s="1" t="n">
        <v>45212</v>
      </c>
      <c r="D10022" t="inlineStr">
        <is>
          <t>VÄSTRA GÖTALANDS LÄN</t>
        </is>
      </c>
      <c r="E10022" t="inlineStr">
        <is>
          <t>VÅRGÅRDA</t>
        </is>
      </c>
      <c r="G10022" t="n">
        <v>3.5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16940-2023</t>
        </is>
      </c>
      <c r="B10023" s="1" t="n">
        <v>45033</v>
      </c>
      <c r="C10023" s="1" t="n">
        <v>45212</v>
      </c>
      <c r="D10023" t="inlineStr">
        <is>
          <t>VÄSTRA GÖTALANDS LÄN</t>
        </is>
      </c>
      <c r="E10023" t="inlineStr">
        <is>
          <t>ESSUNGA</t>
        </is>
      </c>
      <c r="G10023" t="n">
        <v>4.5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16989-2023</t>
        </is>
      </c>
      <c r="B10024" s="1" t="n">
        <v>45033</v>
      </c>
      <c r="C10024" s="1" t="n">
        <v>45212</v>
      </c>
      <c r="D10024" t="inlineStr">
        <is>
          <t>VÄSTRA GÖTALANDS LÄN</t>
        </is>
      </c>
      <c r="E10024" t="inlineStr">
        <is>
          <t>STRÖMSTAD</t>
        </is>
      </c>
      <c r="F10024" t="inlineStr">
        <is>
          <t>Kommuner</t>
        </is>
      </c>
      <c r="G10024" t="n">
        <v>2.6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16828-2023</t>
        </is>
      </c>
      <c r="B10025" s="1" t="n">
        <v>45033</v>
      </c>
      <c r="C10025" s="1" t="n">
        <v>45212</v>
      </c>
      <c r="D10025" t="inlineStr">
        <is>
          <t>VÄSTRA GÖTALANDS LÄN</t>
        </is>
      </c>
      <c r="E10025" t="inlineStr">
        <is>
          <t>FÄRGELANDA</t>
        </is>
      </c>
      <c r="G10025" t="n">
        <v>1.6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16840-2023</t>
        </is>
      </c>
      <c r="B10026" s="1" t="n">
        <v>45033</v>
      </c>
      <c r="C10026" s="1" t="n">
        <v>45212</v>
      </c>
      <c r="D10026" t="inlineStr">
        <is>
          <t>VÄSTRA GÖTALANDS LÄN</t>
        </is>
      </c>
      <c r="E10026" t="inlineStr">
        <is>
          <t>FÄRGELANDA</t>
        </is>
      </c>
      <c r="G10026" t="n">
        <v>15.8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16930-2023</t>
        </is>
      </c>
      <c r="B10027" s="1" t="n">
        <v>45033</v>
      </c>
      <c r="C10027" s="1" t="n">
        <v>45212</v>
      </c>
      <c r="D10027" t="inlineStr">
        <is>
          <t>VÄSTRA GÖTALANDS LÄN</t>
        </is>
      </c>
      <c r="E10027" t="inlineStr">
        <is>
          <t>BORÅS</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16938-2023</t>
        </is>
      </c>
      <c r="B10028" s="1" t="n">
        <v>45033</v>
      </c>
      <c r="C10028" s="1" t="n">
        <v>45212</v>
      </c>
      <c r="D10028" t="inlineStr">
        <is>
          <t>VÄSTRA GÖTALANDS LÄN</t>
        </is>
      </c>
      <c r="E10028" t="inlineStr">
        <is>
          <t>FALKÖPING</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16986-2023</t>
        </is>
      </c>
      <c r="B10029" s="1" t="n">
        <v>45033</v>
      </c>
      <c r="C10029" s="1" t="n">
        <v>45212</v>
      </c>
      <c r="D10029" t="inlineStr">
        <is>
          <t>VÄSTRA GÖTALANDS LÄN</t>
        </is>
      </c>
      <c r="E10029" t="inlineStr">
        <is>
          <t>STRÖMSTAD</t>
        </is>
      </c>
      <c r="F10029" t="inlineStr">
        <is>
          <t>Kommuner</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17034-2023</t>
        </is>
      </c>
      <c r="B10030" s="1" t="n">
        <v>45034</v>
      </c>
      <c r="C10030" s="1" t="n">
        <v>45212</v>
      </c>
      <c r="D10030" t="inlineStr">
        <is>
          <t>VÄSTRA GÖTALANDS LÄN</t>
        </is>
      </c>
      <c r="E10030" t="inlineStr">
        <is>
          <t>HJO</t>
        </is>
      </c>
      <c r="G10030" t="n">
        <v>2.4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17124-2023</t>
        </is>
      </c>
      <c r="B10031" s="1" t="n">
        <v>45034</v>
      </c>
      <c r="C10031" s="1" t="n">
        <v>45212</v>
      </c>
      <c r="D10031" t="inlineStr">
        <is>
          <t>VÄSTRA GÖTALANDS LÄN</t>
        </is>
      </c>
      <c r="E10031" t="inlineStr">
        <is>
          <t>TRANEMO</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17147-2023</t>
        </is>
      </c>
      <c r="B10032" s="1" t="n">
        <v>45034</v>
      </c>
      <c r="C10032" s="1" t="n">
        <v>45212</v>
      </c>
      <c r="D10032" t="inlineStr">
        <is>
          <t>VÄSTRA GÖTALANDS LÄN</t>
        </is>
      </c>
      <c r="E10032" t="inlineStr">
        <is>
          <t>DALS-ED</t>
        </is>
      </c>
      <c r="G10032" t="n">
        <v>1.9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17163-2023</t>
        </is>
      </c>
      <c r="B10033" s="1" t="n">
        <v>45034</v>
      </c>
      <c r="C10033" s="1" t="n">
        <v>45212</v>
      </c>
      <c r="D10033" t="inlineStr">
        <is>
          <t>VÄSTRA GÖTALANDS LÄN</t>
        </is>
      </c>
      <c r="E10033" t="inlineStr">
        <is>
          <t>BOLLEBYGD</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17066-2023</t>
        </is>
      </c>
      <c r="B10034" s="1" t="n">
        <v>45034</v>
      </c>
      <c r="C10034" s="1" t="n">
        <v>45212</v>
      </c>
      <c r="D10034" t="inlineStr">
        <is>
          <t>VÄSTRA GÖTALANDS LÄN</t>
        </is>
      </c>
      <c r="E10034" t="inlineStr">
        <is>
          <t>BENGTSFORS</t>
        </is>
      </c>
      <c r="G10034" t="n">
        <v>3.3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17126-2023</t>
        </is>
      </c>
      <c r="B10035" s="1" t="n">
        <v>45034</v>
      </c>
      <c r="C10035" s="1" t="n">
        <v>45212</v>
      </c>
      <c r="D10035" t="inlineStr">
        <is>
          <t>VÄSTRA GÖTALANDS LÄN</t>
        </is>
      </c>
      <c r="E10035" t="inlineStr">
        <is>
          <t>FÄRGELANDA</t>
        </is>
      </c>
      <c r="G10035" t="n">
        <v>7.7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17150-2023</t>
        </is>
      </c>
      <c r="B10036" s="1" t="n">
        <v>45034</v>
      </c>
      <c r="C10036" s="1" t="n">
        <v>45212</v>
      </c>
      <c r="D10036" t="inlineStr">
        <is>
          <t>VÄSTRA GÖTALANDS LÄN</t>
        </is>
      </c>
      <c r="E10036" t="inlineStr">
        <is>
          <t>TIBRO</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17180-2023</t>
        </is>
      </c>
      <c r="B10037" s="1" t="n">
        <v>45034</v>
      </c>
      <c r="C10037" s="1" t="n">
        <v>45212</v>
      </c>
      <c r="D10037" t="inlineStr">
        <is>
          <t>VÄSTRA GÖTALANDS LÄN</t>
        </is>
      </c>
      <c r="E10037" t="inlineStr">
        <is>
          <t>FÄRGELANDA</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17586-2023</t>
        </is>
      </c>
      <c r="B10038" s="1" t="n">
        <v>45034</v>
      </c>
      <c r="C10038" s="1" t="n">
        <v>45212</v>
      </c>
      <c r="D10038" t="inlineStr">
        <is>
          <t>VÄSTRA GÖTALANDS LÄN</t>
        </is>
      </c>
      <c r="E10038" t="inlineStr">
        <is>
          <t>FÄRGELANDA</t>
        </is>
      </c>
      <c r="G10038" t="n">
        <v>5.9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17069-2023</t>
        </is>
      </c>
      <c r="B10039" s="1" t="n">
        <v>45034</v>
      </c>
      <c r="C10039" s="1" t="n">
        <v>45212</v>
      </c>
      <c r="D10039" t="inlineStr">
        <is>
          <t>VÄSTRA GÖTALANDS LÄN</t>
        </is>
      </c>
      <c r="E10039" t="inlineStr">
        <is>
          <t>GÖTENE</t>
        </is>
      </c>
      <c r="G10039" t="n">
        <v>0.8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17129-2023</t>
        </is>
      </c>
      <c r="B10040" s="1" t="n">
        <v>45034</v>
      </c>
      <c r="C10040" s="1" t="n">
        <v>45212</v>
      </c>
      <c r="D10040" t="inlineStr">
        <is>
          <t>VÄSTRA GÖTALANDS LÄN</t>
        </is>
      </c>
      <c r="E10040" t="inlineStr">
        <is>
          <t>FÄRGELANDA</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17141-2023</t>
        </is>
      </c>
      <c r="B10041" s="1" t="n">
        <v>45034</v>
      </c>
      <c r="C10041" s="1" t="n">
        <v>45212</v>
      </c>
      <c r="D10041" t="inlineStr">
        <is>
          <t>VÄSTRA GÖTALANDS LÄN</t>
        </is>
      </c>
      <c r="E10041" t="inlineStr">
        <is>
          <t>MUNKEDAL</t>
        </is>
      </c>
      <c r="G10041" t="n">
        <v>2.6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17161-2023</t>
        </is>
      </c>
      <c r="B10042" s="1" t="n">
        <v>45034</v>
      </c>
      <c r="C10042" s="1" t="n">
        <v>45212</v>
      </c>
      <c r="D10042" t="inlineStr">
        <is>
          <t>VÄSTRA GÖTALANDS LÄN</t>
        </is>
      </c>
      <c r="E10042" t="inlineStr">
        <is>
          <t>BOLLEBYGD</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17019-2023</t>
        </is>
      </c>
      <c r="B10043" s="1" t="n">
        <v>45034</v>
      </c>
      <c r="C10043" s="1" t="n">
        <v>45212</v>
      </c>
      <c r="D10043" t="inlineStr">
        <is>
          <t>VÄSTRA GÖTALANDS LÄN</t>
        </is>
      </c>
      <c r="E10043" t="inlineStr">
        <is>
          <t>SVENLJUNGA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17077-2023</t>
        </is>
      </c>
      <c r="B10044" s="1" t="n">
        <v>45034</v>
      </c>
      <c r="C10044" s="1" t="n">
        <v>45212</v>
      </c>
      <c r="D10044" t="inlineStr">
        <is>
          <t>VÄSTRA GÖTALANDS LÄN</t>
        </is>
      </c>
      <c r="E10044" t="inlineStr">
        <is>
          <t>VÄNERSBORG</t>
        </is>
      </c>
      <c r="G10044" t="n">
        <v>5.2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17095-2023</t>
        </is>
      </c>
      <c r="B10045" s="1" t="n">
        <v>45034</v>
      </c>
      <c r="C10045" s="1" t="n">
        <v>45212</v>
      </c>
      <c r="D10045" t="inlineStr">
        <is>
          <t>VÄSTRA GÖTALANDS LÄN</t>
        </is>
      </c>
      <c r="E10045" t="inlineStr">
        <is>
          <t>BORÅS</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17187-2023</t>
        </is>
      </c>
      <c r="B10046" s="1" t="n">
        <v>45034</v>
      </c>
      <c r="C10046" s="1" t="n">
        <v>45212</v>
      </c>
      <c r="D10046" t="inlineStr">
        <is>
          <t>VÄSTRA GÖTALANDS LÄN</t>
        </is>
      </c>
      <c r="E10046" t="inlineStr">
        <is>
          <t>FÄRGELANDA</t>
        </is>
      </c>
      <c r="G10046" t="n">
        <v>0.9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17236-2023</t>
        </is>
      </c>
      <c r="B10047" s="1" t="n">
        <v>45035</v>
      </c>
      <c r="C10047" s="1" t="n">
        <v>45212</v>
      </c>
      <c r="D10047" t="inlineStr">
        <is>
          <t>VÄSTRA GÖTALANDS LÄN</t>
        </is>
      </c>
      <c r="E10047" t="inlineStr">
        <is>
          <t>ULRICEHAMN</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17279-2023</t>
        </is>
      </c>
      <c r="B10048" s="1" t="n">
        <v>45035</v>
      </c>
      <c r="C10048" s="1" t="n">
        <v>45212</v>
      </c>
      <c r="D10048" t="inlineStr">
        <is>
          <t>VÄSTRA GÖTALANDS LÄN</t>
        </is>
      </c>
      <c r="E10048" t="inlineStr">
        <is>
          <t>MARK</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17308-2023</t>
        </is>
      </c>
      <c r="B10049" s="1" t="n">
        <v>45035</v>
      </c>
      <c r="C10049" s="1" t="n">
        <v>45212</v>
      </c>
      <c r="D10049" t="inlineStr">
        <is>
          <t>VÄSTRA GÖTALANDS LÄN</t>
        </is>
      </c>
      <c r="E10049" t="inlineStr">
        <is>
          <t>ALINGSÅS</t>
        </is>
      </c>
      <c r="G10049" t="n">
        <v>3.3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17319-2023</t>
        </is>
      </c>
      <c r="B10050" s="1" t="n">
        <v>45035</v>
      </c>
      <c r="C10050" s="1" t="n">
        <v>45212</v>
      </c>
      <c r="D10050" t="inlineStr">
        <is>
          <t>VÄSTRA GÖTALANDS LÄN</t>
        </is>
      </c>
      <c r="E10050" t="inlineStr">
        <is>
          <t>TRANEMO</t>
        </is>
      </c>
      <c r="G10050" t="n">
        <v>0.7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17353-2023</t>
        </is>
      </c>
      <c r="B10051" s="1" t="n">
        <v>45035</v>
      </c>
      <c r="C10051" s="1" t="n">
        <v>45212</v>
      </c>
      <c r="D10051" t="inlineStr">
        <is>
          <t>VÄSTRA GÖTALANDS LÄN</t>
        </is>
      </c>
      <c r="E10051" t="inlineStr">
        <is>
          <t>LIDKÖPING</t>
        </is>
      </c>
      <c r="G10051" t="n">
        <v>1.1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17268-2023</t>
        </is>
      </c>
      <c r="B10052" s="1" t="n">
        <v>45035</v>
      </c>
      <c r="C10052" s="1" t="n">
        <v>45212</v>
      </c>
      <c r="D10052" t="inlineStr">
        <is>
          <t>VÄSTRA GÖTALANDS LÄN</t>
        </is>
      </c>
      <c r="E10052" t="inlineStr">
        <is>
          <t>MARIESTAD</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17404-2023</t>
        </is>
      </c>
      <c r="B10053" s="1" t="n">
        <v>45035</v>
      </c>
      <c r="C10053" s="1" t="n">
        <v>45212</v>
      </c>
      <c r="D10053" t="inlineStr">
        <is>
          <t>VÄSTRA GÖTALANDS LÄN</t>
        </is>
      </c>
      <c r="E10053" t="inlineStr">
        <is>
          <t>ALE</t>
        </is>
      </c>
      <c r="G10053" t="n">
        <v>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17316-2023</t>
        </is>
      </c>
      <c r="B10054" s="1" t="n">
        <v>45035</v>
      </c>
      <c r="C10054" s="1" t="n">
        <v>45212</v>
      </c>
      <c r="D10054" t="inlineStr">
        <is>
          <t>VÄSTRA GÖTALANDS LÄN</t>
        </is>
      </c>
      <c r="E10054" t="inlineStr">
        <is>
          <t>TRANEMO</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17695-2023</t>
        </is>
      </c>
      <c r="B10055" s="1" t="n">
        <v>45035</v>
      </c>
      <c r="C10055" s="1" t="n">
        <v>45212</v>
      </c>
      <c r="D10055" t="inlineStr">
        <is>
          <t>VÄSTRA GÖTALANDS LÄN</t>
        </is>
      </c>
      <c r="E10055" t="inlineStr">
        <is>
          <t>VÄNERSBORG</t>
        </is>
      </c>
      <c r="F10055" t="inlineStr">
        <is>
          <t>Kommuner</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17235-2023</t>
        </is>
      </c>
      <c r="B10056" s="1" t="n">
        <v>45035</v>
      </c>
      <c r="C10056" s="1" t="n">
        <v>45212</v>
      </c>
      <c r="D10056" t="inlineStr">
        <is>
          <t>VÄSTRA GÖTALANDS LÄN</t>
        </is>
      </c>
      <c r="E10056" t="inlineStr">
        <is>
          <t>ULRICEHAMN</t>
        </is>
      </c>
      <c r="G10056" t="n">
        <v>14.6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17388-2023</t>
        </is>
      </c>
      <c r="B10057" s="1" t="n">
        <v>45035</v>
      </c>
      <c r="C10057" s="1" t="n">
        <v>45212</v>
      </c>
      <c r="D10057" t="inlineStr">
        <is>
          <t>VÄSTRA GÖTALANDS LÄN</t>
        </is>
      </c>
      <c r="E10057" t="inlineStr">
        <is>
          <t>GULLSPÅNG</t>
        </is>
      </c>
      <c r="G10057" t="n">
        <v>0.6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17647-2023</t>
        </is>
      </c>
      <c r="B10058" s="1" t="n">
        <v>45035</v>
      </c>
      <c r="C10058" s="1" t="n">
        <v>45212</v>
      </c>
      <c r="D10058" t="inlineStr">
        <is>
          <t>VÄSTRA GÖTALANDS LÄN</t>
        </is>
      </c>
      <c r="E10058" t="inlineStr">
        <is>
          <t>VÄNERSBORG</t>
        </is>
      </c>
      <c r="G10058" t="n">
        <v>5.4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17680-2023</t>
        </is>
      </c>
      <c r="B10059" s="1" t="n">
        <v>45035</v>
      </c>
      <c r="C10059" s="1" t="n">
        <v>45212</v>
      </c>
      <c r="D10059" t="inlineStr">
        <is>
          <t>VÄSTRA GÖTALANDS LÄN</t>
        </is>
      </c>
      <c r="E10059" t="inlineStr">
        <is>
          <t>TANUM</t>
        </is>
      </c>
      <c r="F10059" t="inlineStr">
        <is>
          <t>Kyrkan</t>
        </is>
      </c>
      <c r="G10059" t="n">
        <v>6.2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17451-2023</t>
        </is>
      </c>
      <c r="B10060" s="1" t="n">
        <v>45036</v>
      </c>
      <c r="C10060" s="1" t="n">
        <v>45212</v>
      </c>
      <c r="D10060" t="inlineStr">
        <is>
          <t>VÄSTRA GÖTALANDS LÄN</t>
        </is>
      </c>
      <c r="E10060" t="inlineStr">
        <is>
          <t>GÖTENE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17600-2023</t>
        </is>
      </c>
      <c r="B10061" s="1" t="n">
        <v>45036</v>
      </c>
      <c r="C10061" s="1" t="n">
        <v>45212</v>
      </c>
      <c r="D10061" t="inlineStr">
        <is>
          <t>VÄSTRA GÖTALANDS LÄN</t>
        </is>
      </c>
      <c r="E10061" t="inlineStr">
        <is>
          <t>SVENLJUNGA</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17495-2023</t>
        </is>
      </c>
      <c r="B10062" s="1" t="n">
        <v>45036</v>
      </c>
      <c r="C10062" s="1" t="n">
        <v>45212</v>
      </c>
      <c r="D10062" t="inlineStr">
        <is>
          <t>VÄSTRA GÖTALANDS LÄN</t>
        </is>
      </c>
      <c r="E10062" t="inlineStr">
        <is>
          <t>FALKÖPING</t>
        </is>
      </c>
      <c r="G10062" t="n">
        <v>3.3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17452-2023</t>
        </is>
      </c>
      <c r="B10063" s="1" t="n">
        <v>45036</v>
      </c>
      <c r="C10063" s="1" t="n">
        <v>45212</v>
      </c>
      <c r="D10063" t="inlineStr">
        <is>
          <t>VÄSTRA GÖTALANDS LÄN</t>
        </is>
      </c>
      <c r="E10063" t="inlineStr">
        <is>
          <t>SKÖVDE</t>
        </is>
      </c>
      <c r="G10063" t="n">
        <v>1.1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17475-2023</t>
        </is>
      </c>
      <c r="B10064" s="1" t="n">
        <v>45036</v>
      </c>
      <c r="C10064" s="1" t="n">
        <v>45212</v>
      </c>
      <c r="D10064" t="inlineStr">
        <is>
          <t>VÄSTRA GÖTALANDS LÄN</t>
        </is>
      </c>
      <c r="E10064" t="inlineStr">
        <is>
          <t>TANUM</t>
        </is>
      </c>
      <c r="G10064" t="n">
        <v>0.6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17538-2023</t>
        </is>
      </c>
      <c r="B10065" s="1" t="n">
        <v>45036</v>
      </c>
      <c r="C10065" s="1" t="n">
        <v>45212</v>
      </c>
      <c r="D10065" t="inlineStr">
        <is>
          <t>VÄSTRA GÖTALANDS LÄN</t>
        </is>
      </c>
      <c r="E10065" t="inlineStr">
        <is>
          <t>MELLERUD</t>
        </is>
      </c>
      <c r="G10065" t="n">
        <v>2.3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17589-2023</t>
        </is>
      </c>
      <c r="B10066" s="1" t="n">
        <v>45036</v>
      </c>
      <c r="C10066" s="1" t="n">
        <v>45212</v>
      </c>
      <c r="D10066" t="inlineStr">
        <is>
          <t>VÄSTRA GÖTALANDS LÄN</t>
        </is>
      </c>
      <c r="E10066" t="inlineStr">
        <is>
          <t>FÄRGELANDA</t>
        </is>
      </c>
      <c r="G10066" t="n">
        <v>4.2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17534-2023</t>
        </is>
      </c>
      <c r="B10067" s="1" t="n">
        <v>45036</v>
      </c>
      <c r="C10067" s="1" t="n">
        <v>45212</v>
      </c>
      <c r="D10067" t="inlineStr">
        <is>
          <t>VÄSTRA GÖTALANDS LÄN</t>
        </is>
      </c>
      <c r="E10067" t="inlineStr">
        <is>
          <t>ALE</t>
        </is>
      </c>
      <c r="G10067" t="n">
        <v>3.1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17610-2023</t>
        </is>
      </c>
      <c r="B10068" s="1" t="n">
        <v>45036</v>
      </c>
      <c r="C10068" s="1" t="n">
        <v>45212</v>
      </c>
      <c r="D10068" t="inlineStr">
        <is>
          <t>VÄSTRA GÖTALANDS LÄN</t>
        </is>
      </c>
      <c r="E10068" t="inlineStr">
        <is>
          <t>FÄRGELANDA</t>
        </is>
      </c>
      <c r="G10068" t="n">
        <v>3.5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17831-2023</t>
        </is>
      </c>
      <c r="B10069" s="1" t="n">
        <v>45037</v>
      </c>
      <c r="C10069" s="1" t="n">
        <v>45212</v>
      </c>
      <c r="D10069" t="inlineStr">
        <is>
          <t>VÄSTRA GÖTALANDS LÄN</t>
        </is>
      </c>
      <c r="E10069" t="inlineStr">
        <is>
          <t>ULRICEHAMN</t>
        </is>
      </c>
      <c r="F10069" t="inlineStr">
        <is>
          <t>Kyrkan</t>
        </is>
      </c>
      <c r="G10069" t="n">
        <v>2.8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17682-2023</t>
        </is>
      </c>
      <c r="B10070" s="1" t="n">
        <v>45037</v>
      </c>
      <c r="C10070" s="1" t="n">
        <v>45212</v>
      </c>
      <c r="D10070" t="inlineStr">
        <is>
          <t>VÄSTRA GÖTALANDS LÄN</t>
        </is>
      </c>
      <c r="E10070" t="inlineStr">
        <is>
          <t>VÅRGÅRDA</t>
        </is>
      </c>
      <c r="G10070" t="n">
        <v>2.6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17827-2023</t>
        </is>
      </c>
      <c r="B10071" s="1" t="n">
        <v>45037</v>
      </c>
      <c r="C10071" s="1" t="n">
        <v>45212</v>
      </c>
      <c r="D10071" t="inlineStr">
        <is>
          <t>VÄSTRA GÖTALANDS LÄN</t>
        </is>
      </c>
      <c r="E10071" t="inlineStr">
        <is>
          <t>HÄRRYDA</t>
        </is>
      </c>
      <c r="G10071" t="n">
        <v>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17733-2023</t>
        </is>
      </c>
      <c r="B10072" s="1" t="n">
        <v>45037</v>
      </c>
      <c r="C10072" s="1" t="n">
        <v>45212</v>
      </c>
      <c r="D10072" t="inlineStr">
        <is>
          <t>VÄSTRA GÖTALANDS LÄN</t>
        </is>
      </c>
      <c r="E10072" t="inlineStr">
        <is>
          <t>BOLLEBYGD</t>
        </is>
      </c>
      <c r="F10072" t="inlineStr">
        <is>
          <t>Sveaskog</t>
        </is>
      </c>
      <c r="G10072" t="n">
        <v>7.3</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17794-2023</t>
        </is>
      </c>
      <c r="B10073" s="1" t="n">
        <v>45037</v>
      </c>
      <c r="C10073" s="1" t="n">
        <v>45212</v>
      </c>
      <c r="D10073" t="inlineStr">
        <is>
          <t>VÄSTRA GÖTALANDS LÄN</t>
        </is>
      </c>
      <c r="E10073" t="inlineStr">
        <is>
          <t>HÄRRYDA</t>
        </is>
      </c>
      <c r="G10073" t="n">
        <v>5.2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17825-2023</t>
        </is>
      </c>
      <c r="B10074" s="1" t="n">
        <v>45037</v>
      </c>
      <c r="C10074" s="1" t="n">
        <v>45212</v>
      </c>
      <c r="D10074" t="inlineStr">
        <is>
          <t>VÄSTRA GÖTALANDS LÄN</t>
        </is>
      </c>
      <c r="E10074" t="inlineStr">
        <is>
          <t>HÄRRYDA</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17763-2023</t>
        </is>
      </c>
      <c r="B10075" s="1" t="n">
        <v>45037</v>
      </c>
      <c r="C10075" s="1" t="n">
        <v>45212</v>
      </c>
      <c r="D10075" t="inlineStr">
        <is>
          <t>VÄSTRA GÖTALANDS LÄN</t>
        </is>
      </c>
      <c r="E10075" t="inlineStr">
        <is>
          <t>SVENLJUNGA</t>
        </is>
      </c>
      <c r="G10075" t="n">
        <v>2.7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17869-2023</t>
        </is>
      </c>
      <c r="B10076" s="1" t="n">
        <v>45038</v>
      </c>
      <c r="C10076" s="1" t="n">
        <v>45212</v>
      </c>
      <c r="D10076" t="inlineStr">
        <is>
          <t>VÄSTRA GÖTALANDS LÄN</t>
        </is>
      </c>
      <c r="E10076" t="inlineStr">
        <is>
          <t>ULRICEHAMN</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17868-2023</t>
        </is>
      </c>
      <c r="B10077" s="1" t="n">
        <v>45038</v>
      </c>
      <c r="C10077" s="1" t="n">
        <v>45212</v>
      </c>
      <c r="D10077" t="inlineStr">
        <is>
          <t>VÄSTRA GÖTALANDS LÄN</t>
        </is>
      </c>
      <c r="E10077" t="inlineStr">
        <is>
          <t>ULRICEHAMN</t>
        </is>
      </c>
      <c r="G10077" t="n">
        <v>9.4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18026-2023</t>
        </is>
      </c>
      <c r="B10078" s="1" t="n">
        <v>45040</v>
      </c>
      <c r="C10078" s="1" t="n">
        <v>45212</v>
      </c>
      <c r="D10078" t="inlineStr">
        <is>
          <t>VÄSTRA GÖTALANDS LÄN</t>
        </is>
      </c>
      <c r="E10078" t="inlineStr">
        <is>
          <t>ULRICEHAMN</t>
        </is>
      </c>
      <c r="G10078" t="n">
        <v>19.7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18101-2023</t>
        </is>
      </c>
      <c r="B10079" s="1" t="n">
        <v>45040</v>
      </c>
      <c r="C10079" s="1" t="n">
        <v>45212</v>
      </c>
      <c r="D10079" t="inlineStr">
        <is>
          <t>VÄSTRA GÖTALANDS LÄN</t>
        </is>
      </c>
      <c r="E10079" t="inlineStr">
        <is>
          <t>BENGTSFORS</t>
        </is>
      </c>
      <c r="G10079" t="n">
        <v>2.3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17972-2023</t>
        </is>
      </c>
      <c r="B10080" s="1" t="n">
        <v>45040</v>
      </c>
      <c r="C10080" s="1" t="n">
        <v>45212</v>
      </c>
      <c r="D10080" t="inlineStr">
        <is>
          <t>VÄSTRA GÖTALANDS LÄN</t>
        </is>
      </c>
      <c r="E10080" t="inlineStr">
        <is>
          <t>VÅRGÅRDA</t>
        </is>
      </c>
      <c r="G10080" t="n">
        <v>2.4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18120-2023</t>
        </is>
      </c>
      <c r="B10081" s="1" t="n">
        <v>45040</v>
      </c>
      <c r="C10081" s="1" t="n">
        <v>45212</v>
      </c>
      <c r="D10081" t="inlineStr">
        <is>
          <t>VÄSTRA GÖTALANDS LÄN</t>
        </is>
      </c>
      <c r="E10081" t="inlineStr">
        <is>
          <t>ALE</t>
        </is>
      </c>
      <c r="G10081" t="n">
        <v>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17951-2023</t>
        </is>
      </c>
      <c r="B10082" s="1" t="n">
        <v>45040</v>
      </c>
      <c r="C10082" s="1" t="n">
        <v>45212</v>
      </c>
      <c r="D10082" t="inlineStr">
        <is>
          <t>VÄSTRA GÖTALANDS LÄN</t>
        </is>
      </c>
      <c r="E10082" t="inlineStr">
        <is>
          <t>VÅRGÅRDA</t>
        </is>
      </c>
      <c r="G10082" t="n">
        <v>1.8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18132-2023</t>
        </is>
      </c>
      <c r="B10083" s="1" t="n">
        <v>45040</v>
      </c>
      <c r="C10083" s="1" t="n">
        <v>45212</v>
      </c>
      <c r="D10083" t="inlineStr">
        <is>
          <t>VÄSTRA GÖTALANDS LÄN</t>
        </is>
      </c>
      <c r="E10083" t="inlineStr">
        <is>
          <t>SKÖVDE</t>
        </is>
      </c>
      <c r="G10083" t="n">
        <v>0.9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17932-2023</t>
        </is>
      </c>
      <c r="B10084" s="1" t="n">
        <v>45040</v>
      </c>
      <c r="C10084" s="1" t="n">
        <v>45212</v>
      </c>
      <c r="D10084" t="inlineStr">
        <is>
          <t>VÄSTRA GÖTALANDS LÄN</t>
        </is>
      </c>
      <c r="E10084" t="inlineStr">
        <is>
          <t>VÄNERSBORG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18003-2023</t>
        </is>
      </c>
      <c r="B10085" s="1" t="n">
        <v>45040</v>
      </c>
      <c r="C10085" s="1" t="n">
        <v>45212</v>
      </c>
      <c r="D10085" t="inlineStr">
        <is>
          <t>VÄSTRA GÖTALANDS LÄN</t>
        </is>
      </c>
      <c r="E10085" t="inlineStr">
        <is>
          <t>FÄRGELANDA</t>
        </is>
      </c>
      <c r="G10085" t="n">
        <v>18.5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18040-2023</t>
        </is>
      </c>
      <c r="B10086" s="1" t="n">
        <v>45040</v>
      </c>
      <c r="C10086" s="1" t="n">
        <v>45212</v>
      </c>
      <c r="D10086" t="inlineStr">
        <is>
          <t>VÄSTRA GÖTALANDS LÄN</t>
        </is>
      </c>
      <c r="E10086" t="inlineStr">
        <is>
          <t>TRANEMO</t>
        </is>
      </c>
      <c r="G10086" t="n">
        <v>1.8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18348-2023</t>
        </is>
      </c>
      <c r="B10087" s="1" t="n">
        <v>45040</v>
      </c>
      <c r="C10087" s="1" t="n">
        <v>45212</v>
      </c>
      <c r="D10087" t="inlineStr">
        <is>
          <t>VÄSTRA GÖTALANDS LÄN</t>
        </is>
      </c>
      <c r="E10087" t="inlineStr">
        <is>
          <t>TANUM</t>
        </is>
      </c>
      <c r="G10087" t="n">
        <v>1.6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18257-2023</t>
        </is>
      </c>
      <c r="B10088" s="1" t="n">
        <v>45041</v>
      </c>
      <c r="C10088" s="1" t="n">
        <v>45212</v>
      </c>
      <c r="D10088" t="inlineStr">
        <is>
          <t>VÄSTRA GÖTALANDS LÄN</t>
        </is>
      </c>
      <c r="E10088" t="inlineStr">
        <is>
          <t>TIDAHOLM</t>
        </is>
      </c>
      <c r="G10088" t="n">
        <v>4.5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18437-2023</t>
        </is>
      </c>
      <c r="B10089" s="1" t="n">
        <v>45041</v>
      </c>
      <c r="C10089" s="1" t="n">
        <v>45212</v>
      </c>
      <c r="D10089" t="inlineStr">
        <is>
          <t>VÄSTRA GÖTALANDS LÄN</t>
        </is>
      </c>
      <c r="E10089" t="inlineStr">
        <is>
          <t>VÅRGÅRDA</t>
        </is>
      </c>
      <c r="G10089" t="n">
        <v>3.5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18201-2023</t>
        </is>
      </c>
      <c r="B10090" s="1" t="n">
        <v>45041</v>
      </c>
      <c r="C10090" s="1" t="n">
        <v>45212</v>
      </c>
      <c r="D10090" t="inlineStr">
        <is>
          <t>VÄSTRA GÖTALANDS LÄN</t>
        </is>
      </c>
      <c r="E10090" t="inlineStr">
        <is>
          <t>ULRICEHAMN</t>
        </is>
      </c>
      <c r="G10090" t="n">
        <v>2.2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18426-2023</t>
        </is>
      </c>
      <c r="B10091" s="1" t="n">
        <v>45041</v>
      </c>
      <c r="C10091" s="1" t="n">
        <v>45212</v>
      </c>
      <c r="D10091" t="inlineStr">
        <is>
          <t>VÄSTRA GÖTALANDS LÄN</t>
        </is>
      </c>
      <c r="E10091" t="inlineStr">
        <is>
          <t>MUNKEDAL</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18337-2023</t>
        </is>
      </c>
      <c r="B10092" s="1" t="n">
        <v>45041</v>
      </c>
      <c r="C10092" s="1" t="n">
        <v>45212</v>
      </c>
      <c r="D10092" t="inlineStr">
        <is>
          <t>VÄSTRA GÖTALANDS LÄN</t>
        </is>
      </c>
      <c r="E10092" t="inlineStr">
        <is>
          <t>BOLLEBYGD</t>
        </is>
      </c>
      <c r="G10092" t="n">
        <v>1.7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18543-2023</t>
        </is>
      </c>
      <c r="B10093" s="1" t="n">
        <v>45041</v>
      </c>
      <c r="C10093" s="1" t="n">
        <v>45212</v>
      </c>
      <c r="D10093" t="inlineStr">
        <is>
          <t>VÄSTRA GÖTALANDS LÄN</t>
        </is>
      </c>
      <c r="E10093" t="inlineStr">
        <is>
          <t>UDDEVALLA</t>
        </is>
      </c>
      <c r="G10093" t="n">
        <v>1.4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18499-2023</t>
        </is>
      </c>
      <c r="B10094" s="1" t="n">
        <v>45042</v>
      </c>
      <c r="C10094" s="1" t="n">
        <v>45212</v>
      </c>
      <c r="D10094" t="inlineStr">
        <is>
          <t>VÄSTRA GÖTALANDS LÄN</t>
        </is>
      </c>
      <c r="E10094" t="inlineStr">
        <is>
          <t>ULRICEHAMN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18441-2023</t>
        </is>
      </c>
      <c r="B10095" s="1" t="n">
        <v>45042</v>
      </c>
      <c r="C10095" s="1" t="n">
        <v>45212</v>
      </c>
      <c r="D10095" t="inlineStr">
        <is>
          <t>VÄSTRA GÖTALANDS LÄN</t>
        </is>
      </c>
      <c r="E10095" t="inlineStr">
        <is>
          <t>BENGTSFORS</t>
        </is>
      </c>
      <c r="G10095" t="n">
        <v>5.4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18854-2023</t>
        </is>
      </c>
      <c r="B10096" s="1" t="n">
        <v>45042</v>
      </c>
      <c r="C10096" s="1" t="n">
        <v>45212</v>
      </c>
      <c r="D10096" t="inlineStr">
        <is>
          <t>VÄSTRA GÖTALANDS LÄN</t>
        </is>
      </c>
      <c r="E10096" t="inlineStr">
        <is>
          <t>MELLERUD</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18635-2023</t>
        </is>
      </c>
      <c r="B10097" s="1" t="n">
        <v>45043</v>
      </c>
      <c r="C10097" s="1" t="n">
        <v>45212</v>
      </c>
      <c r="D10097" t="inlineStr">
        <is>
          <t>VÄSTRA GÖTALANDS LÄN</t>
        </is>
      </c>
      <c r="E10097" t="inlineStr">
        <is>
          <t>SVENLJUNGA</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18656-2023</t>
        </is>
      </c>
      <c r="B10098" s="1" t="n">
        <v>45043</v>
      </c>
      <c r="C10098" s="1" t="n">
        <v>45212</v>
      </c>
      <c r="D10098" t="inlineStr">
        <is>
          <t>VÄSTRA GÖTALANDS LÄN</t>
        </is>
      </c>
      <c r="E10098" t="inlineStr">
        <is>
          <t>ULRICEHAMN</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18712-2023</t>
        </is>
      </c>
      <c r="B10099" s="1" t="n">
        <v>45043</v>
      </c>
      <c r="C10099" s="1" t="n">
        <v>45212</v>
      </c>
      <c r="D10099" t="inlineStr">
        <is>
          <t>VÄSTRA GÖTALANDS LÄN</t>
        </is>
      </c>
      <c r="E10099" t="inlineStr">
        <is>
          <t>VÄNERSBORG</t>
        </is>
      </c>
      <c r="G10099" t="n">
        <v>3.1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18734-2023</t>
        </is>
      </c>
      <c r="B10100" s="1" t="n">
        <v>45043</v>
      </c>
      <c r="C10100" s="1" t="n">
        <v>45212</v>
      </c>
      <c r="D10100" t="inlineStr">
        <is>
          <t>VÄSTRA GÖTALANDS LÄN</t>
        </is>
      </c>
      <c r="E10100" t="inlineStr">
        <is>
          <t>SKARA</t>
        </is>
      </c>
      <c r="G10100" t="n">
        <v>2.1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18573-2023</t>
        </is>
      </c>
      <c r="B10101" s="1" t="n">
        <v>45043</v>
      </c>
      <c r="C10101" s="1" t="n">
        <v>45212</v>
      </c>
      <c r="D10101" t="inlineStr">
        <is>
          <t>VÄSTRA GÖTALANDS LÄN</t>
        </is>
      </c>
      <c r="E10101" t="inlineStr">
        <is>
          <t>ULRICEHAMN</t>
        </is>
      </c>
      <c r="G10101" t="n">
        <v>0.4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18739-2023</t>
        </is>
      </c>
      <c r="B10102" s="1" t="n">
        <v>45043</v>
      </c>
      <c r="C10102" s="1" t="n">
        <v>45212</v>
      </c>
      <c r="D10102" t="inlineStr">
        <is>
          <t>VÄSTRA GÖTALANDS LÄN</t>
        </is>
      </c>
      <c r="E10102" t="inlineStr">
        <is>
          <t>SKARA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19075-2023</t>
        </is>
      </c>
      <c r="B10103" s="1" t="n">
        <v>45043</v>
      </c>
      <c r="C10103" s="1" t="n">
        <v>45212</v>
      </c>
      <c r="D10103" t="inlineStr">
        <is>
          <t>VÄSTRA GÖTALANDS LÄN</t>
        </is>
      </c>
      <c r="E10103" t="inlineStr">
        <is>
          <t>TIDAHOLM</t>
        </is>
      </c>
      <c r="G10103" t="n">
        <v>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18655-2023</t>
        </is>
      </c>
      <c r="B10104" s="1" t="n">
        <v>45043</v>
      </c>
      <c r="C10104" s="1" t="n">
        <v>45212</v>
      </c>
      <c r="D10104" t="inlineStr">
        <is>
          <t>VÄSTRA GÖTALANDS LÄN</t>
        </is>
      </c>
      <c r="E10104" t="inlineStr">
        <is>
          <t>SVENLJUNGA</t>
        </is>
      </c>
      <c r="G10104" t="n">
        <v>1.2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18637-2023</t>
        </is>
      </c>
      <c r="B10105" s="1" t="n">
        <v>45043</v>
      </c>
      <c r="C10105" s="1" t="n">
        <v>45212</v>
      </c>
      <c r="D10105" t="inlineStr">
        <is>
          <t>VÄSTRA GÖTALANDS LÄN</t>
        </is>
      </c>
      <c r="E10105" t="inlineStr">
        <is>
          <t>ALE</t>
        </is>
      </c>
      <c r="G10105" t="n">
        <v>3.6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18736-2023</t>
        </is>
      </c>
      <c r="B10106" s="1" t="n">
        <v>45043</v>
      </c>
      <c r="C10106" s="1" t="n">
        <v>45212</v>
      </c>
      <c r="D10106" t="inlineStr">
        <is>
          <t>VÄSTRA GÖTALANDS LÄN</t>
        </is>
      </c>
      <c r="E10106" t="inlineStr">
        <is>
          <t>SKARA</t>
        </is>
      </c>
      <c r="G10106" t="n">
        <v>5.7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19070-2023</t>
        </is>
      </c>
      <c r="B10107" s="1" t="n">
        <v>45043</v>
      </c>
      <c r="C10107" s="1" t="n">
        <v>45212</v>
      </c>
      <c r="D10107" t="inlineStr">
        <is>
          <t>VÄSTRA GÖTALANDS LÄN</t>
        </is>
      </c>
      <c r="E10107" t="inlineStr">
        <is>
          <t>TIDAHOLM</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18878-2023</t>
        </is>
      </c>
      <c r="B10108" s="1" t="n">
        <v>45044</v>
      </c>
      <c r="C10108" s="1" t="n">
        <v>45212</v>
      </c>
      <c r="D10108" t="inlineStr">
        <is>
          <t>VÄSTRA GÖTALANDS LÄN</t>
        </is>
      </c>
      <c r="E10108" t="inlineStr">
        <is>
          <t>TRANEMO</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18905-2023</t>
        </is>
      </c>
      <c r="B10109" s="1" t="n">
        <v>45044</v>
      </c>
      <c r="C10109" s="1" t="n">
        <v>45212</v>
      </c>
      <c r="D10109" t="inlineStr">
        <is>
          <t>VÄSTRA GÖTALANDS LÄN</t>
        </is>
      </c>
      <c r="E10109" t="inlineStr">
        <is>
          <t>TROLLHÄTTAN</t>
        </is>
      </c>
      <c r="G10109" t="n">
        <v>2.5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18932-2023</t>
        </is>
      </c>
      <c r="B10110" s="1" t="n">
        <v>45044</v>
      </c>
      <c r="C10110" s="1" t="n">
        <v>45212</v>
      </c>
      <c r="D10110" t="inlineStr">
        <is>
          <t>VÄSTRA GÖTALANDS LÄN</t>
        </is>
      </c>
      <c r="E10110" t="inlineStr">
        <is>
          <t>TRANEMO</t>
        </is>
      </c>
      <c r="G10110" t="n">
        <v>1.5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18970-2023</t>
        </is>
      </c>
      <c r="B10111" s="1" t="n">
        <v>45044</v>
      </c>
      <c r="C10111" s="1" t="n">
        <v>45212</v>
      </c>
      <c r="D10111" t="inlineStr">
        <is>
          <t>VÄSTRA GÖTALANDS LÄN</t>
        </is>
      </c>
      <c r="E10111" t="inlineStr">
        <is>
          <t>ÅMÅL</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18792-2023</t>
        </is>
      </c>
      <c r="B10112" s="1" t="n">
        <v>45044</v>
      </c>
      <c r="C10112" s="1" t="n">
        <v>45212</v>
      </c>
      <c r="D10112" t="inlineStr">
        <is>
          <t>VÄSTRA GÖTALANDS LÄN</t>
        </is>
      </c>
      <c r="E10112" t="inlineStr">
        <is>
          <t>LILLA EDET</t>
        </is>
      </c>
      <c r="G10112" t="n">
        <v>6.1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19163-2023</t>
        </is>
      </c>
      <c r="B10113" s="1" t="n">
        <v>45044</v>
      </c>
      <c r="C10113" s="1" t="n">
        <v>45212</v>
      </c>
      <c r="D10113" t="inlineStr">
        <is>
          <t>VÄSTRA GÖTALANDS LÄN</t>
        </is>
      </c>
      <c r="E10113" t="inlineStr">
        <is>
          <t>MUNKEDAL</t>
        </is>
      </c>
      <c r="F10113" t="inlineStr">
        <is>
          <t>Kyrkan</t>
        </is>
      </c>
      <c r="G10113" t="n">
        <v>12.2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18791-2023</t>
        </is>
      </c>
      <c r="B10114" s="1" t="n">
        <v>45044</v>
      </c>
      <c r="C10114" s="1" t="n">
        <v>45212</v>
      </c>
      <c r="D10114" t="inlineStr">
        <is>
          <t>VÄSTRA GÖTALANDS LÄN</t>
        </is>
      </c>
      <c r="E10114" t="inlineStr">
        <is>
          <t>ORUST</t>
        </is>
      </c>
      <c r="G10114" t="n">
        <v>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18914-2023</t>
        </is>
      </c>
      <c r="B10115" s="1" t="n">
        <v>45044</v>
      </c>
      <c r="C10115" s="1" t="n">
        <v>45212</v>
      </c>
      <c r="D10115" t="inlineStr">
        <is>
          <t>VÄSTRA GÖTALANDS LÄN</t>
        </is>
      </c>
      <c r="E10115" t="inlineStr">
        <is>
          <t>TROLLHÄTTAN</t>
        </is>
      </c>
      <c r="G10115" t="n">
        <v>7.3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19002-2023</t>
        </is>
      </c>
      <c r="B10116" s="1" t="n">
        <v>45045</v>
      </c>
      <c r="C10116" s="1" t="n">
        <v>45212</v>
      </c>
      <c r="D10116" t="inlineStr">
        <is>
          <t>VÄSTRA GÖTALANDS LÄN</t>
        </is>
      </c>
      <c r="E10116" t="inlineStr">
        <is>
          <t>ÅMÅL</t>
        </is>
      </c>
      <c r="G10116" t="n">
        <v>11.3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19008-2023</t>
        </is>
      </c>
      <c r="B10117" s="1" t="n">
        <v>45045</v>
      </c>
      <c r="C10117" s="1" t="n">
        <v>45212</v>
      </c>
      <c r="D10117" t="inlineStr">
        <is>
          <t>VÄSTRA GÖTALANDS LÄN</t>
        </is>
      </c>
      <c r="E10117" t="inlineStr">
        <is>
          <t>ORUST</t>
        </is>
      </c>
      <c r="G10117" t="n">
        <v>2.5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19001-2023</t>
        </is>
      </c>
      <c r="B10118" s="1" t="n">
        <v>45045</v>
      </c>
      <c r="C10118" s="1" t="n">
        <v>45212</v>
      </c>
      <c r="D10118" t="inlineStr">
        <is>
          <t>VÄSTRA GÖTALANDS LÄN</t>
        </is>
      </c>
      <c r="E10118" t="inlineStr">
        <is>
          <t>BENGTSFORS</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19024-2023</t>
        </is>
      </c>
      <c r="B10119" s="1" t="n">
        <v>45047</v>
      </c>
      <c r="C10119" s="1" t="n">
        <v>45212</v>
      </c>
      <c r="D10119" t="inlineStr">
        <is>
          <t>VÄSTRA GÖTALANDS LÄN</t>
        </is>
      </c>
      <c r="E10119" t="inlineStr">
        <is>
          <t>DALS-ED</t>
        </is>
      </c>
      <c r="G10119" t="n">
        <v>5.2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19039-2023</t>
        </is>
      </c>
      <c r="B10120" s="1" t="n">
        <v>45047</v>
      </c>
      <c r="C10120" s="1" t="n">
        <v>45212</v>
      </c>
      <c r="D10120" t="inlineStr">
        <is>
          <t>VÄSTRA GÖTALANDS LÄN</t>
        </is>
      </c>
      <c r="E10120" t="inlineStr">
        <is>
          <t>MUNKEDAL</t>
        </is>
      </c>
      <c r="G10120" t="n">
        <v>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19051-2023</t>
        </is>
      </c>
      <c r="B10121" s="1" t="n">
        <v>45047</v>
      </c>
      <c r="C10121" s="1" t="n">
        <v>45212</v>
      </c>
      <c r="D10121" t="inlineStr">
        <is>
          <t>VÄSTRA GÖTALANDS LÄN</t>
        </is>
      </c>
      <c r="E10121" t="inlineStr">
        <is>
          <t>VÄNERSBORG</t>
        </is>
      </c>
      <c r="G10121" t="n">
        <v>6.6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19048-2023</t>
        </is>
      </c>
      <c r="B10122" s="1" t="n">
        <v>45047</v>
      </c>
      <c r="C10122" s="1" t="n">
        <v>45212</v>
      </c>
      <c r="D10122" t="inlineStr">
        <is>
          <t>VÄSTRA GÖTALANDS LÄN</t>
        </is>
      </c>
      <c r="E10122" t="inlineStr">
        <is>
          <t>TROLLHÄTTAN</t>
        </is>
      </c>
      <c r="G10122" t="n">
        <v>12.5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19023-2023</t>
        </is>
      </c>
      <c r="B10123" s="1" t="n">
        <v>45047</v>
      </c>
      <c r="C10123" s="1" t="n">
        <v>45212</v>
      </c>
      <c r="D10123" t="inlineStr">
        <is>
          <t>VÄSTRA GÖTALANDS LÄN</t>
        </is>
      </c>
      <c r="E10123" t="inlineStr">
        <is>
          <t>DALS-ED</t>
        </is>
      </c>
      <c r="G10123" t="n">
        <v>2.2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19028-2023</t>
        </is>
      </c>
      <c r="B10124" s="1" t="n">
        <v>45047</v>
      </c>
      <c r="C10124" s="1" t="n">
        <v>45212</v>
      </c>
      <c r="D10124" t="inlineStr">
        <is>
          <t>VÄSTRA GÖTALANDS LÄN</t>
        </is>
      </c>
      <c r="E10124" t="inlineStr">
        <is>
          <t>ÅMÅL</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19038-2023</t>
        </is>
      </c>
      <c r="B10125" s="1" t="n">
        <v>45047</v>
      </c>
      <c r="C10125" s="1" t="n">
        <v>45212</v>
      </c>
      <c r="D10125" t="inlineStr">
        <is>
          <t>VÄSTRA GÖTALANDS LÄN</t>
        </is>
      </c>
      <c r="E10125" t="inlineStr">
        <is>
          <t>TIDAHOLM</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19049-2023</t>
        </is>
      </c>
      <c r="B10126" s="1" t="n">
        <v>45047</v>
      </c>
      <c r="C10126" s="1" t="n">
        <v>45212</v>
      </c>
      <c r="D10126" t="inlineStr">
        <is>
          <t>VÄSTRA GÖTALANDS LÄN</t>
        </is>
      </c>
      <c r="E10126" t="inlineStr">
        <is>
          <t>DALS-ED</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19125-2023</t>
        </is>
      </c>
      <c r="B10127" s="1" t="n">
        <v>45048</v>
      </c>
      <c r="C10127" s="1" t="n">
        <v>45212</v>
      </c>
      <c r="D10127" t="inlineStr">
        <is>
          <t>VÄSTRA GÖTALANDS LÄN</t>
        </is>
      </c>
      <c r="E10127" t="inlineStr">
        <is>
          <t>TANUM</t>
        </is>
      </c>
      <c r="G10127" t="n">
        <v>5.7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19144-2023</t>
        </is>
      </c>
      <c r="B10128" s="1" t="n">
        <v>45048</v>
      </c>
      <c r="C10128" s="1" t="n">
        <v>45212</v>
      </c>
      <c r="D10128" t="inlineStr">
        <is>
          <t>VÄSTRA GÖTALANDS LÄN</t>
        </is>
      </c>
      <c r="E10128" t="inlineStr">
        <is>
          <t>TIDAHOLM</t>
        </is>
      </c>
      <c r="G10128" t="n">
        <v>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19290-2023</t>
        </is>
      </c>
      <c r="B10129" s="1" t="n">
        <v>45048</v>
      </c>
      <c r="C10129" s="1" t="n">
        <v>45212</v>
      </c>
      <c r="D10129" t="inlineStr">
        <is>
          <t>VÄSTRA GÖTALANDS LÄN</t>
        </is>
      </c>
      <c r="E10129" t="inlineStr">
        <is>
          <t>ULRICEHAMN</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19059-2023</t>
        </is>
      </c>
      <c r="B10130" s="1" t="n">
        <v>45048</v>
      </c>
      <c r="C10130" s="1" t="n">
        <v>45212</v>
      </c>
      <c r="D10130" t="inlineStr">
        <is>
          <t>VÄSTRA GÖTALANDS LÄN</t>
        </is>
      </c>
      <c r="E10130" t="inlineStr">
        <is>
          <t>STENUNGSUND</t>
        </is>
      </c>
      <c r="G10130" t="n">
        <v>0.7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19122-2023</t>
        </is>
      </c>
      <c r="B10131" s="1" t="n">
        <v>45048</v>
      </c>
      <c r="C10131" s="1" t="n">
        <v>45212</v>
      </c>
      <c r="D10131" t="inlineStr">
        <is>
          <t>VÄSTRA GÖTALANDS LÄN</t>
        </is>
      </c>
      <c r="E10131" t="inlineStr">
        <is>
          <t>BORÅS</t>
        </is>
      </c>
      <c r="G10131" t="n">
        <v>11.3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19402-2023</t>
        </is>
      </c>
      <c r="B10132" s="1" t="n">
        <v>45048</v>
      </c>
      <c r="C10132" s="1" t="n">
        <v>45212</v>
      </c>
      <c r="D10132" t="inlineStr">
        <is>
          <t>VÄSTRA GÖTALANDS LÄN</t>
        </is>
      </c>
      <c r="E10132" t="inlineStr">
        <is>
          <t>MELLERUD</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19134-2023</t>
        </is>
      </c>
      <c r="B10133" s="1" t="n">
        <v>45048</v>
      </c>
      <c r="C10133" s="1" t="n">
        <v>45212</v>
      </c>
      <c r="D10133" t="inlineStr">
        <is>
          <t>VÄSTRA GÖTALANDS LÄN</t>
        </is>
      </c>
      <c r="E10133" t="inlineStr">
        <is>
          <t>ALINGSÅS</t>
        </is>
      </c>
      <c r="G10133" t="n">
        <v>5.3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19319-2023</t>
        </is>
      </c>
      <c r="B10134" s="1" t="n">
        <v>45048</v>
      </c>
      <c r="C10134" s="1" t="n">
        <v>45212</v>
      </c>
      <c r="D10134" t="inlineStr">
        <is>
          <t>VÄSTRA GÖTALANDS LÄN</t>
        </is>
      </c>
      <c r="E10134" t="inlineStr">
        <is>
          <t>SVENLJUNGA</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19383-2023</t>
        </is>
      </c>
      <c r="B10135" s="1" t="n">
        <v>45049</v>
      </c>
      <c r="C10135" s="1" t="n">
        <v>45212</v>
      </c>
      <c r="D10135" t="inlineStr">
        <is>
          <t>VÄSTRA GÖTALANDS LÄN</t>
        </is>
      </c>
      <c r="E10135" t="inlineStr">
        <is>
          <t>DALS-ED</t>
        </is>
      </c>
      <c r="G10135" t="n">
        <v>7.5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19256-2023</t>
        </is>
      </c>
      <c r="B10136" s="1" t="n">
        <v>45049</v>
      </c>
      <c r="C10136" s="1" t="n">
        <v>45212</v>
      </c>
      <c r="D10136" t="inlineStr">
        <is>
          <t>VÄSTRA GÖTALANDS LÄN</t>
        </is>
      </c>
      <c r="E10136" t="inlineStr">
        <is>
          <t>TÖREBODA</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19322-2023</t>
        </is>
      </c>
      <c r="B10137" s="1" t="n">
        <v>45049</v>
      </c>
      <c r="C10137" s="1" t="n">
        <v>45212</v>
      </c>
      <c r="D10137" t="inlineStr">
        <is>
          <t>VÄSTRA GÖTALANDS LÄN</t>
        </is>
      </c>
      <c r="E10137" t="inlineStr">
        <is>
          <t>BENGTSFORS</t>
        </is>
      </c>
      <c r="G10137" t="n">
        <v>0.6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19391-2023</t>
        </is>
      </c>
      <c r="B10138" s="1" t="n">
        <v>45049</v>
      </c>
      <c r="C10138" s="1" t="n">
        <v>45212</v>
      </c>
      <c r="D10138" t="inlineStr">
        <is>
          <t>VÄSTRA GÖTALANDS LÄN</t>
        </is>
      </c>
      <c r="E10138" t="inlineStr">
        <is>
          <t>FÄRGELANDA</t>
        </is>
      </c>
      <c r="G10138" t="n">
        <v>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19332-2023</t>
        </is>
      </c>
      <c r="B10139" s="1" t="n">
        <v>45049</v>
      </c>
      <c r="C10139" s="1" t="n">
        <v>45212</v>
      </c>
      <c r="D10139" t="inlineStr">
        <is>
          <t>VÄSTRA GÖTALANDS LÄN</t>
        </is>
      </c>
      <c r="E10139" t="inlineStr">
        <is>
          <t>FÄRGELANDA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19382-2023</t>
        </is>
      </c>
      <c r="B10140" s="1" t="n">
        <v>45049</v>
      </c>
      <c r="C10140" s="1" t="n">
        <v>45212</v>
      </c>
      <c r="D10140" t="inlineStr">
        <is>
          <t>VÄSTRA GÖTALANDS LÄN</t>
        </is>
      </c>
      <c r="E10140" t="inlineStr">
        <is>
          <t>DALS-ED</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19386-2023</t>
        </is>
      </c>
      <c r="B10141" s="1" t="n">
        <v>45049</v>
      </c>
      <c r="C10141" s="1" t="n">
        <v>45212</v>
      </c>
      <c r="D10141" t="inlineStr">
        <is>
          <t>VÄSTRA GÖTALANDS LÄN</t>
        </is>
      </c>
      <c r="E10141" t="inlineStr">
        <is>
          <t>FÄRGELANDA</t>
        </is>
      </c>
      <c r="G10141" t="n">
        <v>5.7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19342-2023</t>
        </is>
      </c>
      <c r="B10142" s="1" t="n">
        <v>45049</v>
      </c>
      <c r="C10142" s="1" t="n">
        <v>45212</v>
      </c>
      <c r="D10142" t="inlineStr">
        <is>
          <t>VÄSTRA GÖTALANDS LÄN</t>
        </is>
      </c>
      <c r="E10142" t="inlineStr">
        <is>
          <t>BENGTSFORS</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19361-2023</t>
        </is>
      </c>
      <c r="B10143" s="1" t="n">
        <v>45049</v>
      </c>
      <c r="C10143" s="1" t="n">
        <v>45212</v>
      </c>
      <c r="D10143" t="inlineStr">
        <is>
          <t>VÄSTRA GÖTALANDS LÄN</t>
        </is>
      </c>
      <c r="E10143" t="inlineStr">
        <is>
          <t>MUNKEDAL</t>
        </is>
      </c>
      <c r="G10143" t="n">
        <v>4.1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19370-2023</t>
        </is>
      </c>
      <c r="B10144" s="1" t="n">
        <v>45049</v>
      </c>
      <c r="C10144" s="1" t="n">
        <v>45212</v>
      </c>
      <c r="D10144" t="inlineStr">
        <is>
          <t>VÄSTRA GÖTALANDS LÄN</t>
        </is>
      </c>
      <c r="E10144" t="inlineStr">
        <is>
          <t>DALS-ED</t>
        </is>
      </c>
      <c r="G10144" t="n">
        <v>1.9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19384-2023</t>
        </is>
      </c>
      <c r="B10145" s="1" t="n">
        <v>45049</v>
      </c>
      <c r="C10145" s="1" t="n">
        <v>45212</v>
      </c>
      <c r="D10145" t="inlineStr">
        <is>
          <t>VÄSTRA GÖTALANDS LÄN</t>
        </is>
      </c>
      <c r="E10145" t="inlineStr">
        <is>
          <t>TIBRO</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19389-2023</t>
        </is>
      </c>
      <c r="B10146" s="1" t="n">
        <v>45049</v>
      </c>
      <c r="C10146" s="1" t="n">
        <v>45212</v>
      </c>
      <c r="D10146" t="inlineStr">
        <is>
          <t>VÄSTRA GÖTALANDS LÄN</t>
        </is>
      </c>
      <c r="E10146" t="inlineStr">
        <is>
          <t>FÄRGELANDA</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19399-2023</t>
        </is>
      </c>
      <c r="B10147" s="1" t="n">
        <v>45049</v>
      </c>
      <c r="C10147" s="1" t="n">
        <v>45212</v>
      </c>
      <c r="D10147" t="inlineStr">
        <is>
          <t>VÄSTRA GÖTALANDS LÄN</t>
        </is>
      </c>
      <c r="E10147" t="inlineStr">
        <is>
          <t>MUNKEDAL</t>
        </is>
      </c>
      <c r="G10147" t="n">
        <v>3.9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19470-2023</t>
        </is>
      </c>
      <c r="B10148" s="1" t="n">
        <v>45050</v>
      </c>
      <c r="C10148" s="1" t="n">
        <v>45212</v>
      </c>
      <c r="D10148" t="inlineStr">
        <is>
          <t>VÄSTRA GÖTALANDS LÄN</t>
        </is>
      </c>
      <c r="E10148" t="inlineStr">
        <is>
          <t>FALKÖPING</t>
        </is>
      </c>
      <c r="G10148" t="n">
        <v>1.4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19556-2023</t>
        </is>
      </c>
      <c r="B10149" s="1" t="n">
        <v>45050</v>
      </c>
      <c r="C10149" s="1" t="n">
        <v>45212</v>
      </c>
      <c r="D10149" t="inlineStr">
        <is>
          <t>VÄSTRA GÖTALANDS LÄN</t>
        </is>
      </c>
      <c r="E10149" t="inlineStr">
        <is>
          <t>BENGTSFORS</t>
        </is>
      </c>
      <c r="G10149" t="n">
        <v>4.4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19474-2023</t>
        </is>
      </c>
      <c r="B10150" s="1" t="n">
        <v>45050</v>
      </c>
      <c r="C10150" s="1" t="n">
        <v>45212</v>
      </c>
      <c r="D10150" t="inlineStr">
        <is>
          <t>VÄSTRA GÖTALANDS LÄN</t>
        </is>
      </c>
      <c r="E10150" t="inlineStr">
        <is>
          <t>FALKÖPING</t>
        </is>
      </c>
      <c r="G10150" t="n">
        <v>0.4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19458-2023</t>
        </is>
      </c>
      <c r="B10151" s="1" t="n">
        <v>45050</v>
      </c>
      <c r="C10151" s="1" t="n">
        <v>45212</v>
      </c>
      <c r="D10151" t="inlineStr">
        <is>
          <t>VÄSTRA GÖTALANDS LÄN</t>
        </is>
      </c>
      <c r="E10151" t="inlineStr">
        <is>
          <t>VÅRGÅRDA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19471-2023</t>
        </is>
      </c>
      <c r="B10152" s="1" t="n">
        <v>45050</v>
      </c>
      <c r="C10152" s="1" t="n">
        <v>45212</v>
      </c>
      <c r="D10152" t="inlineStr">
        <is>
          <t>VÄSTRA GÖTALANDS LÄN</t>
        </is>
      </c>
      <c r="E10152" t="inlineStr">
        <is>
          <t>ÅMÅL</t>
        </is>
      </c>
      <c r="G10152" t="n">
        <v>1.1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19557-2023</t>
        </is>
      </c>
      <c r="B10153" s="1" t="n">
        <v>45050</v>
      </c>
      <c r="C10153" s="1" t="n">
        <v>45212</v>
      </c>
      <c r="D10153" t="inlineStr">
        <is>
          <t>VÄSTRA GÖTALANDS LÄN</t>
        </is>
      </c>
      <c r="E10153" t="inlineStr">
        <is>
          <t>BENGTSFORS</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19725-2023</t>
        </is>
      </c>
      <c r="B10154" s="1" t="n">
        <v>45051</v>
      </c>
      <c r="C10154" s="1" t="n">
        <v>45212</v>
      </c>
      <c r="D10154" t="inlineStr">
        <is>
          <t>VÄSTRA GÖTALANDS LÄN</t>
        </is>
      </c>
      <c r="E10154" t="inlineStr">
        <is>
          <t>TÖREBODA</t>
        </is>
      </c>
      <c r="F10154" t="inlineStr">
        <is>
          <t>Sveaskog</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19770-2023</t>
        </is>
      </c>
      <c r="B10155" s="1" t="n">
        <v>45051</v>
      </c>
      <c r="C10155" s="1" t="n">
        <v>45212</v>
      </c>
      <c r="D10155" t="inlineStr">
        <is>
          <t>VÄSTRA GÖTALANDS LÄN</t>
        </is>
      </c>
      <c r="E10155" t="inlineStr">
        <is>
          <t>ALINGSÅS</t>
        </is>
      </c>
      <c r="G10155" t="n">
        <v>1.7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20134-2023</t>
        </is>
      </c>
      <c r="B10156" s="1" t="n">
        <v>45051</v>
      </c>
      <c r="C10156" s="1" t="n">
        <v>45212</v>
      </c>
      <c r="D10156" t="inlineStr">
        <is>
          <t>VÄSTRA GÖTALANDS LÄN</t>
        </is>
      </c>
      <c r="E10156" t="inlineStr">
        <is>
          <t>TIDAHOLM</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19723-2023</t>
        </is>
      </c>
      <c r="B10157" s="1" t="n">
        <v>45051</v>
      </c>
      <c r="C10157" s="1" t="n">
        <v>45212</v>
      </c>
      <c r="D10157" t="inlineStr">
        <is>
          <t>VÄSTRA GÖTALANDS LÄN</t>
        </is>
      </c>
      <c r="E10157" t="inlineStr">
        <is>
          <t>TÖREBODA</t>
        </is>
      </c>
      <c r="F10157" t="inlineStr">
        <is>
          <t>Sveaskog</t>
        </is>
      </c>
      <c r="G10157" t="n">
        <v>0.7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19758-2023</t>
        </is>
      </c>
      <c r="B10158" s="1" t="n">
        <v>45051</v>
      </c>
      <c r="C10158" s="1" t="n">
        <v>45212</v>
      </c>
      <c r="D10158" t="inlineStr">
        <is>
          <t>VÄSTRA GÖTALANDS LÄN</t>
        </is>
      </c>
      <c r="E10158" t="inlineStr">
        <is>
          <t>BOLLEBYGD</t>
        </is>
      </c>
      <c r="G10158" t="n">
        <v>4.2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19794-2023</t>
        </is>
      </c>
      <c r="B10159" s="1" t="n">
        <v>45051</v>
      </c>
      <c r="C10159" s="1" t="n">
        <v>45212</v>
      </c>
      <c r="D10159" t="inlineStr">
        <is>
          <t>VÄSTRA GÖTALANDS LÄN</t>
        </is>
      </c>
      <c r="E10159" t="inlineStr">
        <is>
          <t>LYSEKIL</t>
        </is>
      </c>
      <c r="G10159" t="n">
        <v>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19663-2023</t>
        </is>
      </c>
      <c r="B10160" s="1" t="n">
        <v>45051</v>
      </c>
      <c r="C10160" s="1" t="n">
        <v>45212</v>
      </c>
      <c r="D10160" t="inlineStr">
        <is>
          <t>VÄSTRA GÖTALANDS LÄN</t>
        </is>
      </c>
      <c r="E10160" t="inlineStr">
        <is>
          <t>ALINGSÅS</t>
        </is>
      </c>
      <c r="G10160" t="n">
        <v>12.2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20045-2023</t>
        </is>
      </c>
      <c r="B10161" s="1" t="n">
        <v>45051</v>
      </c>
      <c r="C10161" s="1" t="n">
        <v>45212</v>
      </c>
      <c r="D10161" t="inlineStr">
        <is>
          <t>VÄSTRA GÖTALANDS LÄN</t>
        </is>
      </c>
      <c r="E10161" t="inlineStr">
        <is>
          <t>MUNKEDAL</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20122-2023</t>
        </is>
      </c>
      <c r="B10162" s="1" t="n">
        <v>45051</v>
      </c>
      <c r="C10162" s="1" t="n">
        <v>45212</v>
      </c>
      <c r="D10162" t="inlineStr">
        <is>
          <t>VÄSTRA GÖTALANDS LÄN</t>
        </is>
      </c>
      <c r="E10162" t="inlineStr">
        <is>
          <t>TIDAHOLM</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19769-2023</t>
        </is>
      </c>
      <c r="B10163" s="1" t="n">
        <v>45051</v>
      </c>
      <c r="C10163" s="1" t="n">
        <v>45212</v>
      </c>
      <c r="D10163" t="inlineStr">
        <is>
          <t>VÄSTRA GÖTALANDS LÄN</t>
        </is>
      </c>
      <c r="E10163" t="inlineStr">
        <is>
          <t>ALINGSÅS</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19863-2023</t>
        </is>
      </c>
      <c r="B10164" s="1" t="n">
        <v>45053</v>
      </c>
      <c r="C10164" s="1" t="n">
        <v>45212</v>
      </c>
      <c r="D10164" t="inlineStr">
        <is>
          <t>VÄSTRA GÖTALANDS LÄN</t>
        </is>
      </c>
      <c r="E10164" t="inlineStr">
        <is>
          <t>SVENLJUNGA</t>
        </is>
      </c>
      <c r="G10164" t="n">
        <v>0.9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19849-2023</t>
        </is>
      </c>
      <c r="B10165" s="1" t="n">
        <v>45053</v>
      </c>
      <c r="C10165" s="1" t="n">
        <v>45212</v>
      </c>
      <c r="D10165" t="inlineStr">
        <is>
          <t>VÄSTRA GÖTALANDS LÄN</t>
        </is>
      </c>
      <c r="E10165" t="inlineStr">
        <is>
          <t>ULRICEHAMN</t>
        </is>
      </c>
      <c r="G10165" t="n">
        <v>1.4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19872-2023</t>
        </is>
      </c>
      <c r="B10166" s="1" t="n">
        <v>45054</v>
      </c>
      <c r="C10166" s="1" t="n">
        <v>45212</v>
      </c>
      <c r="D10166" t="inlineStr">
        <is>
          <t>VÄSTRA GÖTALANDS LÄN</t>
        </is>
      </c>
      <c r="E10166" t="inlineStr">
        <is>
          <t>MELLERUD</t>
        </is>
      </c>
      <c r="G10166" t="n">
        <v>8.4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19911-2023</t>
        </is>
      </c>
      <c r="B10167" s="1" t="n">
        <v>45054</v>
      </c>
      <c r="C10167" s="1" t="n">
        <v>45212</v>
      </c>
      <c r="D10167" t="inlineStr">
        <is>
          <t>VÄSTRA GÖTALANDS LÄN</t>
        </is>
      </c>
      <c r="E10167" t="inlineStr">
        <is>
          <t>BORÅS</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20066-2023</t>
        </is>
      </c>
      <c r="B10168" s="1" t="n">
        <v>45054</v>
      </c>
      <c r="C10168" s="1" t="n">
        <v>45212</v>
      </c>
      <c r="D10168" t="inlineStr">
        <is>
          <t>VÄSTRA GÖTALANDS LÄN</t>
        </is>
      </c>
      <c r="E10168" t="inlineStr">
        <is>
          <t>ALE</t>
        </is>
      </c>
      <c r="G10168" t="n">
        <v>1.6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20086-2023</t>
        </is>
      </c>
      <c r="B10169" s="1" t="n">
        <v>45054</v>
      </c>
      <c r="C10169" s="1" t="n">
        <v>45212</v>
      </c>
      <c r="D10169" t="inlineStr">
        <is>
          <t>VÄSTRA GÖTALANDS LÄN</t>
        </is>
      </c>
      <c r="E10169" t="inlineStr">
        <is>
          <t>ORUST</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19870-2023</t>
        </is>
      </c>
      <c r="B10170" s="1" t="n">
        <v>45054</v>
      </c>
      <c r="C10170" s="1" t="n">
        <v>45212</v>
      </c>
      <c r="D10170" t="inlineStr">
        <is>
          <t>VÄSTRA GÖTALANDS LÄN</t>
        </is>
      </c>
      <c r="E10170" t="inlineStr">
        <is>
          <t>BENGTSFORS</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20486-2023</t>
        </is>
      </c>
      <c r="B10171" s="1" t="n">
        <v>45054</v>
      </c>
      <c r="C10171" s="1" t="n">
        <v>45212</v>
      </c>
      <c r="D10171" t="inlineStr">
        <is>
          <t>VÄSTRA GÖTALANDS LÄN</t>
        </is>
      </c>
      <c r="E10171" t="inlineStr">
        <is>
          <t>DALS-ED</t>
        </is>
      </c>
      <c r="F10171" t="inlineStr">
        <is>
          <t>Kyrkan</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19869-2023</t>
        </is>
      </c>
      <c r="B10172" s="1" t="n">
        <v>45054</v>
      </c>
      <c r="C10172" s="1" t="n">
        <v>45212</v>
      </c>
      <c r="D10172" t="inlineStr">
        <is>
          <t>VÄSTRA GÖTALANDS LÄN</t>
        </is>
      </c>
      <c r="E10172" t="inlineStr">
        <is>
          <t>BENGTSFORS</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19936-2023</t>
        </is>
      </c>
      <c r="B10173" s="1" t="n">
        <v>45054</v>
      </c>
      <c r="C10173" s="1" t="n">
        <v>45212</v>
      </c>
      <c r="D10173" t="inlineStr">
        <is>
          <t>VÄSTRA GÖTALANDS LÄN</t>
        </is>
      </c>
      <c r="E10173" t="inlineStr">
        <is>
          <t>BORÅS</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20012-2023</t>
        </is>
      </c>
      <c r="B10174" s="1" t="n">
        <v>45054</v>
      </c>
      <c r="C10174" s="1" t="n">
        <v>45212</v>
      </c>
      <c r="D10174" t="inlineStr">
        <is>
          <t>VÄSTRA GÖTALANDS LÄN</t>
        </is>
      </c>
      <c r="E10174" t="inlineStr">
        <is>
          <t>TROLLHÄTTAN</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19868-2023</t>
        </is>
      </c>
      <c r="B10175" s="1" t="n">
        <v>45054</v>
      </c>
      <c r="C10175" s="1" t="n">
        <v>45212</v>
      </c>
      <c r="D10175" t="inlineStr">
        <is>
          <t>VÄSTRA GÖTALANDS LÄN</t>
        </is>
      </c>
      <c r="E10175" t="inlineStr">
        <is>
          <t>BENGTSFORS</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19912-2023</t>
        </is>
      </c>
      <c r="B10176" s="1" t="n">
        <v>45054</v>
      </c>
      <c r="C10176" s="1" t="n">
        <v>45212</v>
      </c>
      <c r="D10176" t="inlineStr">
        <is>
          <t>VÄSTRA GÖTALANDS LÄN</t>
        </is>
      </c>
      <c r="E10176" t="inlineStr">
        <is>
          <t>BORÅS</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19963-2023</t>
        </is>
      </c>
      <c r="B10177" s="1" t="n">
        <v>45054</v>
      </c>
      <c r="C10177" s="1" t="n">
        <v>45212</v>
      </c>
      <c r="D10177" t="inlineStr">
        <is>
          <t>VÄSTRA GÖTALANDS LÄN</t>
        </is>
      </c>
      <c r="E10177" t="inlineStr">
        <is>
          <t>ESSUNGA</t>
        </is>
      </c>
      <c r="F10177" t="inlineStr">
        <is>
          <t>Allmännings- och besparingsskogar</t>
        </is>
      </c>
      <c r="G10177" t="n">
        <v>7.8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20067-2023</t>
        </is>
      </c>
      <c r="B10178" s="1" t="n">
        <v>45054</v>
      </c>
      <c r="C10178" s="1" t="n">
        <v>45212</v>
      </c>
      <c r="D10178" t="inlineStr">
        <is>
          <t>VÄSTRA GÖTALANDS LÄN</t>
        </is>
      </c>
      <c r="E10178" t="inlineStr">
        <is>
          <t>ALE</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20077-2023</t>
        </is>
      </c>
      <c r="B10179" s="1" t="n">
        <v>45054</v>
      </c>
      <c r="C10179" s="1" t="n">
        <v>45212</v>
      </c>
      <c r="D10179" t="inlineStr">
        <is>
          <t>VÄSTRA GÖTALANDS LÄN</t>
        </is>
      </c>
      <c r="E10179" t="inlineStr">
        <is>
          <t>ORUST</t>
        </is>
      </c>
      <c r="G10179" t="n">
        <v>4.4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20163-2023</t>
        </is>
      </c>
      <c r="B10180" s="1" t="n">
        <v>45055</v>
      </c>
      <c r="C10180" s="1" t="n">
        <v>45212</v>
      </c>
      <c r="D10180" t="inlineStr">
        <is>
          <t>VÄSTRA GÖTALANDS LÄN</t>
        </is>
      </c>
      <c r="E10180" t="inlineStr">
        <is>
          <t>DALS-ED</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20131-2023</t>
        </is>
      </c>
      <c r="B10181" s="1" t="n">
        <v>45055</v>
      </c>
      <c r="C10181" s="1" t="n">
        <v>45212</v>
      </c>
      <c r="D10181" t="inlineStr">
        <is>
          <t>VÄSTRA GÖTALANDS LÄN</t>
        </is>
      </c>
      <c r="E10181" t="inlineStr">
        <is>
          <t>BORÅS</t>
        </is>
      </c>
      <c r="F10181" t="inlineStr">
        <is>
          <t>Sveaskog</t>
        </is>
      </c>
      <c r="G10181" t="n">
        <v>5.6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20142-2023</t>
        </is>
      </c>
      <c r="B10182" s="1" t="n">
        <v>45055</v>
      </c>
      <c r="C10182" s="1" t="n">
        <v>45212</v>
      </c>
      <c r="D10182" t="inlineStr">
        <is>
          <t>VÄSTRA GÖTALANDS LÄN</t>
        </is>
      </c>
      <c r="E10182" t="inlineStr">
        <is>
          <t>ÅMÅL</t>
        </is>
      </c>
      <c r="G10182" t="n">
        <v>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20129-2023</t>
        </is>
      </c>
      <c r="B10183" s="1" t="n">
        <v>45055</v>
      </c>
      <c r="C10183" s="1" t="n">
        <v>45212</v>
      </c>
      <c r="D10183" t="inlineStr">
        <is>
          <t>VÄSTRA GÖTALANDS LÄN</t>
        </is>
      </c>
      <c r="E10183" t="inlineStr">
        <is>
          <t>BORÅS</t>
        </is>
      </c>
      <c r="F10183" t="inlineStr">
        <is>
          <t>Sveaskog</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20220-2023</t>
        </is>
      </c>
      <c r="B10184" s="1" t="n">
        <v>45055</v>
      </c>
      <c r="C10184" s="1" t="n">
        <v>45212</v>
      </c>
      <c r="D10184" t="inlineStr">
        <is>
          <t>VÄSTRA GÖTALANDS LÄN</t>
        </is>
      </c>
      <c r="E10184" t="inlineStr">
        <is>
          <t>MUNKEDAL</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20280-2023</t>
        </is>
      </c>
      <c r="B10185" s="1" t="n">
        <v>45056</v>
      </c>
      <c r="C10185" s="1" t="n">
        <v>45212</v>
      </c>
      <c r="D10185" t="inlineStr">
        <is>
          <t>VÄSTRA GÖTALANDS LÄN</t>
        </is>
      </c>
      <c r="E10185" t="inlineStr">
        <is>
          <t>VÄNERSBORG</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20336-2023</t>
        </is>
      </c>
      <c r="B10186" s="1" t="n">
        <v>45056</v>
      </c>
      <c r="C10186" s="1" t="n">
        <v>45212</v>
      </c>
      <c r="D10186" t="inlineStr">
        <is>
          <t>VÄSTRA GÖTALANDS LÄN</t>
        </is>
      </c>
      <c r="E10186" t="inlineStr">
        <is>
          <t>MARK</t>
        </is>
      </c>
      <c r="G10186" t="n">
        <v>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20277-2023</t>
        </is>
      </c>
      <c r="B10187" s="1" t="n">
        <v>45056</v>
      </c>
      <c r="C10187" s="1" t="n">
        <v>45212</v>
      </c>
      <c r="D10187" t="inlineStr">
        <is>
          <t>VÄSTRA GÖTALANDS LÄN</t>
        </is>
      </c>
      <c r="E10187" t="inlineStr">
        <is>
          <t>BORÅS</t>
        </is>
      </c>
      <c r="G10187" t="n">
        <v>1.4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20279-2023</t>
        </is>
      </c>
      <c r="B10188" s="1" t="n">
        <v>45056</v>
      </c>
      <c r="C10188" s="1" t="n">
        <v>45212</v>
      </c>
      <c r="D10188" t="inlineStr">
        <is>
          <t>VÄSTRA GÖTALANDS LÄN</t>
        </is>
      </c>
      <c r="E10188" t="inlineStr">
        <is>
          <t>VÄNERSBORG</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20353-2023</t>
        </is>
      </c>
      <c r="B10189" s="1" t="n">
        <v>45056</v>
      </c>
      <c r="C10189" s="1" t="n">
        <v>45212</v>
      </c>
      <c r="D10189" t="inlineStr">
        <is>
          <t>VÄSTRA GÖTALANDS LÄN</t>
        </is>
      </c>
      <c r="E10189" t="inlineStr">
        <is>
          <t>MARK</t>
        </is>
      </c>
      <c r="G10189" t="n">
        <v>0.6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20975-2023</t>
        </is>
      </c>
      <c r="B10190" s="1" t="n">
        <v>45056</v>
      </c>
      <c r="C10190" s="1" t="n">
        <v>45212</v>
      </c>
      <c r="D10190" t="inlineStr">
        <is>
          <t>VÄSTRA GÖTALANDS LÄN</t>
        </is>
      </c>
      <c r="E10190" t="inlineStr">
        <is>
          <t>SVENLJUNGA</t>
        </is>
      </c>
      <c r="G10190" t="n">
        <v>3.3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20283-2023</t>
        </is>
      </c>
      <c r="B10191" s="1" t="n">
        <v>45056</v>
      </c>
      <c r="C10191" s="1" t="n">
        <v>45212</v>
      </c>
      <c r="D10191" t="inlineStr">
        <is>
          <t>VÄSTRA GÖTALANDS LÄN</t>
        </is>
      </c>
      <c r="E10191" t="inlineStr">
        <is>
          <t>MELLERUD</t>
        </is>
      </c>
      <c r="G10191" t="n">
        <v>3.8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20584-2023</t>
        </is>
      </c>
      <c r="B10192" s="1" t="n">
        <v>45057</v>
      </c>
      <c r="C10192" s="1" t="n">
        <v>45212</v>
      </c>
      <c r="D10192" t="inlineStr">
        <is>
          <t>VÄSTRA GÖTALANDS LÄN</t>
        </is>
      </c>
      <c r="E10192" t="inlineStr">
        <is>
          <t>VÄNERSBORG</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20502-2023</t>
        </is>
      </c>
      <c r="B10193" s="1" t="n">
        <v>45057</v>
      </c>
      <c r="C10193" s="1" t="n">
        <v>45212</v>
      </c>
      <c r="D10193" t="inlineStr">
        <is>
          <t>VÄSTRA GÖTALANDS LÄN</t>
        </is>
      </c>
      <c r="E10193" t="inlineStr">
        <is>
          <t>MARK</t>
        </is>
      </c>
      <c r="G10193" t="n">
        <v>1.3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20536-2023</t>
        </is>
      </c>
      <c r="B10194" s="1" t="n">
        <v>45057</v>
      </c>
      <c r="C10194" s="1" t="n">
        <v>45212</v>
      </c>
      <c r="D10194" t="inlineStr">
        <is>
          <t>VÄSTRA GÖTALANDS LÄN</t>
        </is>
      </c>
      <c r="E10194" t="inlineStr">
        <is>
          <t>VÄNERSBORG</t>
        </is>
      </c>
      <c r="G10194" t="n">
        <v>0.6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20570-2023</t>
        </is>
      </c>
      <c r="B10195" s="1" t="n">
        <v>45057</v>
      </c>
      <c r="C10195" s="1" t="n">
        <v>45212</v>
      </c>
      <c r="D10195" t="inlineStr">
        <is>
          <t>VÄSTRA GÖTALANDS LÄN</t>
        </is>
      </c>
      <c r="E10195" t="inlineStr">
        <is>
          <t>LERUM</t>
        </is>
      </c>
      <c r="G10195" t="n">
        <v>5.6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20582-2023</t>
        </is>
      </c>
      <c r="B10196" s="1" t="n">
        <v>45057</v>
      </c>
      <c r="C10196" s="1" t="n">
        <v>45212</v>
      </c>
      <c r="D10196" t="inlineStr">
        <is>
          <t>VÄSTRA GÖTALANDS LÄN</t>
        </is>
      </c>
      <c r="E10196" t="inlineStr">
        <is>
          <t>GÖTENE</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20586-2023</t>
        </is>
      </c>
      <c r="B10197" s="1" t="n">
        <v>45057</v>
      </c>
      <c r="C10197" s="1" t="n">
        <v>45212</v>
      </c>
      <c r="D10197" t="inlineStr">
        <is>
          <t>VÄSTRA GÖTALANDS LÄN</t>
        </is>
      </c>
      <c r="E10197" t="inlineStr">
        <is>
          <t>ALE</t>
        </is>
      </c>
      <c r="G10197" t="n">
        <v>1.5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20475-2023</t>
        </is>
      </c>
      <c r="B10198" s="1" t="n">
        <v>45057</v>
      </c>
      <c r="C10198" s="1" t="n">
        <v>45212</v>
      </c>
      <c r="D10198" t="inlineStr">
        <is>
          <t>VÄSTRA GÖTALANDS LÄN</t>
        </is>
      </c>
      <c r="E10198" t="inlineStr">
        <is>
          <t>VÅRGÅRDA</t>
        </is>
      </c>
      <c r="G10198" t="n">
        <v>3.1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20503-2023</t>
        </is>
      </c>
      <c r="B10199" s="1" t="n">
        <v>45057</v>
      </c>
      <c r="C10199" s="1" t="n">
        <v>45212</v>
      </c>
      <c r="D10199" t="inlineStr">
        <is>
          <t>VÄSTRA GÖTALANDS LÄN</t>
        </is>
      </c>
      <c r="E10199" t="inlineStr">
        <is>
          <t>MARK</t>
        </is>
      </c>
      <c r="G10199" t="n">
        <v>1.2</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20472-2023</t>
        </is>
      </c>
      <c r="B10200" s="1" t="n">
        <v>45057</v>
      </c>
      <c r="C10200" s="1" t="n">
        <v>45212</v>
      </c>
      <c r="D10200" t="inlineStr">
        <is>
          <t>VÄSTRA GÖTALANDS LÄN</t>
        </is>
      </c>
      <c r="E10200" t="inlineStr">
        <is>
          <t>SKARA</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20482-2023</t>
        </is>
      </c>
      <c r="B10201" s="1" t="n">
        <v>45057</v>
      </c>
      <c r="C10201" s="1" t="n">
        <v>45212</v>
      </c>
      <c r="D10201" t="inlineStr">
        <is>
          <t>VÄSTRA GÖTALANDS LÄN</t>
        </is>
      </c>
      <c r="E10201" t="inlineStr">
        <is>
          <t>DALS-ED</t>
        </is>
      </c>
      <c r="G10201" t="n">
        <v>2.9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21077-2023</t>
        </is>
      </c>
      <c r="B10202" s="1" t="n">
        <v>45057</v>
      </c>
      <c r="C10202" s="1" t="n">
        <v>45212</v>
      </c>
      <c r="D10202" t="inlineStr">
        <is>
          <t>VÄSTRA GÖTALANDS LÄN</t>
        </is>
      </c>
      <c r="E10202" t="inlineStr">
        <is>
          <t>MELLERUD</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20703-2023</t>
        </is>
      </c>
      <c r="B10203" s="1" t="n">
        <v>45058</v>
      </c>
      <c r="C10203" s="1" t="n">
        <v>45212</v>
      </c>
      <c r="D10203" t="inlineStr">
        <is>
          <t>VÄSTRA GÖTALANDS LÄN</t>
        </is>
      </c>
      <c r="E10203" t="inlineStr">
        <is>
          <t>UDDEVALLA</t>
        </is>
      </c>
      <c r="G10203" t="n">
        <v>10.7</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20720-2023</t>
        </is>
      </c>
      <c r="B10204" s="1" t="n">
        <v>45058</v>
      </c>
      <c r="C10204" s="1" t="n">
        <v>45212</v>
      </c>
      <c r="D10204" t="inlineStr">
        <is>
          <t>VÄSTRA GÖTALANDS LÄN</t>
        </is>
      </c>
      <c r="E10204" t="inlineStr">
        <is>
          <t>BORÅS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20729-2023</t>
        </is>
      </c>
      <c r="B10205" s="1" t="n">
        <v>45058</v>
      </c>
      <c r="C10205" s="1" t="n">
        <v>45212</v>
      </c>
      <c r="D10205" t="inlineStr">
        <is>
          <t>VÄSTRA GÖTALANDS LÄN</t>
        </is>
      </c>
      <c r="E10205" t="inlineStr">
        <is>
          <t>BOLLEBYGD</t>
        </is>
      </c>
      <c r="G10205" t="n">
        <v>4.1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21220-2023</t>
        </is>
      </c>
      <c r="B10206" s="1" t="n">
        <v>45058</v>
      </c>
      <c r="C10206" s="1" t="n">
        <v>45212</v>
      </c>
      <c r="D10206" t="inlineStr">
        <is>
          <t>VÄSTRA GÖTALANDS LÄN</t>
        </is>
      </c>
      <c r="E10206" t="inlineStr">
        <is>
          <t>KUNGÄLV</t>
        </is>
      </c>
      <c r="G10206" t="n">
        <v>6.9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21240-2023</t>
        </is>
      </c>
      <c r="B10207" s="1" t="n">
        <v>45058</v>
      </c>
      <c r="C10207" s="1" t="n">
        <v>45212</v>
      </c>
      <c r="D10207" t="inlineStr">
        <is>
          <t>VÄSTRA GÖTALANDS LÄN</t>
        </is>
      </c>
      <c r="E10207" t="inlineStr">
        <is>
          <t>KUNGÄLV</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20722-2023</t>
        </is>
      </c>
      <c r="B10208" s="1" t="n">
        <v>45058</v>
      </c>
      <c r="C10208" s="1" t="n">
        <v>45212</v>
      </c>
      <c r="D10208" t="inlineStr">
        <is>
          <t>VÄSTRA GÖTALANDS LÄN</t>
        </is>
      </c>
      <c r="E10208" t="inlineStr">
        <is>
          <t>BORÅS</t>
        </is>
      </c>
      <c r="G10208" t="n">
        <v>1.3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20806-2023</t>
        </is>
      </c>
      <c r="B10209" s="1" t="n">
        <v>45058</v>
      </c>
      <c r="C10209" s="1" t="n">
        <v>45212</v>
      </c>
      <c r="D10209" t="inlineStr">
        <is>
          <t>VÄSTRA GÖTALANDS LÄN</t>
        </is>
      </c>
      <c r="E10209" t="inlineStr">
        <is>
          <t>VÅRGÅRDA</t>
        </is>
      </c>
      <c r="G10209" t="n">
        <v>4.2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20732-2023</t>
        </is>
      </c>
      <c r="B10210" s="1" t="n">
        <v>45058</v>
      </c>
      <c r="C10210" s="1" t="n">
        <v>45212</v>
      </c>
      <c r="D10210" t="inlineStr">
        <is>
          <t>VÄSTRA GÖTALANDS LÄN</t>
        </is>
      </c>
      <c r="E10210" t="inlineStr">
        <is>
          <t>BORÅS</t>
        </is>
      </c>
      <c r="G10210" t="n">
        <v>2.7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20762-2023</t>
        </is>
      </c>
      <c r="B10211" s="1" t="n">
        <v>45058</v>
      </c>
      <c r="C10211" s="1" t="n">
        <v>45212</v>
      </c>
      <c r="D10211" t="inlineStr">
        <is>
          <t>VÄSTRA GÖTALANDS LÄN</t>
        </is>
      </c>
      <c r="E10211" t="inlineStr">
        <is>
          <t>TROLLHÄTTAN</t>
        </is>
      </c>
      <c r="G10211" t="n">
        <v>3.5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20819-2023</t>
        </is>
      </c>
      <c r="B10212" s="1" t="n">
        <v>45058</v>
      </c>
      <c r="C10212" s="1" t="n">
        <v>45212</v>
      </c>
      <c r="D10212" t="inlineStr">
        <is>
          <t>VÄSTRA GÖTALANDS LÄN</t>
        </is>
      </c>
      <c r="E10212" t="inlineStr">
        <is>
          <t>ORUST</t>
        </is>
      </c>
      <c r="G10212" t="n">
        <v>0.7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21281-2023</t>
        </is>
      </c>
      <c r="B10213" s="1" t="n">
        <v>45058</v>
      </c>
      <c r="C10213" s="1" t="n">
        <v>45212</v>
      </c>
      <c r="D10213" t="inlineStr">
        <is>
          <t>VÄSTRA GÖTALANDS LÄN</t>
        </is>
      </c>
      <c r="E10213" t="inlineStr">
        <is>
          <t>KUNGÄLV</t>
        </is>
      </c>
      <c r="G10213" t="n">
        <v>3.8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20765-2023</t>
        </is>
      </c>
      <c r="B10214" s="1" t="n">
        <v>45058</v>
      </c>
      <c r="C10214" s="1" t="n">
        <v>45212</v>
      </c>
      <c r="D10214" t="inlineStr">
        <is>
          <t>VÄSTRA GÖTALANDS LÄN</t>
        </is>
      </c>
      <c r="E10214" t="inlineStr">
        <is>
          <t>DALS-ED</t>
        </is>
      </c>
      <c r="G10214" t="n">
        <v>0.6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20891-2023</t>
        </is>
      </c>
      <c r="B10215" s="1" t="n">
        <v>45059</v>
      </c>
      <c r="C10215" s="1" t="n">
        <v>45212</v>
      </c>
      <c r="D10215" t="inlineStr">
        <is>
          <t>VÄSTRA GÖTALANDS LÄN</t>
        </is>
      </c>
      <c r="E10215" t="inlineStr">
        <is>
          <t>ULRICEHAMN</t>
        </is>
      </c>
      <c r="G10215" t="n">
        <v>3.8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20908-2023</t>
        </is>
      </c>
      <c r="B10216" s="1" t="n">
        <v>45060</v>
      </c>
      <c r="C10216" s="1" t="n">
        <v>45212</v>
      </c>
      <c r="D10216" t="inlineStr">
        <is>
          <t>VÄSTRA GÖTALANDS LÄN</t>
        </is>
      </c>
      <c r="E10216" t="inlineStr">
        <is>
          <t>BENGTSFORS</t>
        </is>
      </c>
      <c r="G10216" t="n">
        <v>0.8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20958-2023</t>
        </is>
      </c>
      <c r="B10217" s="1" t="n">
        <v>45061</v>
      </c>
      <c r="C10217" s="1" t="n">
        <v>45212</v>
      </c>
      <c r="D10217" t="inlineStr">
        <is>
          <t>VÄSTRA GÖTALANDS LÄN</t>
        </is>
      </c>
      <c r="E10217" t="inlineStr">
        <is>
          <t>MUNKEDAL</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20968-2023</t>
        </is>
      </c>
      <c r="B10218" s="1" t="n">
        <v>45061</v>
      </c>
      <c r="C10218" s="1" t="n">
        <v>45212</v>
      </c>
      <c r="D10218" t="inlineStr">
        <is>
          <t>VÄSTRA GÖTALANDS LÄN</t>
        </is>
      </c>
      <c r="E10218" t="inlineStr">
        <is>
          <t>STRÖMSTAD</t>
        </is>
      </c>
      <c r="G10218" t="n">
        <v>5.1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21540-2023</t>
        </is>
      </c>
      <c r="B10219" s="1" t="n">
        <v>45061</v>
      </c>
      <c r="C10219" s="1" t="n">
        <v>45212</v>
      </c>
      <c r="D10219" t="inlineStr">
        <is>
          <t>VÄSTRA GÖTALANDS LÄN</t>
        </is>
      </c>
      <c r="E10219" t="inlineStr">
        <is>
          <t>MUNKEDAL</t>
        </is>
      </c>
      <c r="F10219" t="inlineStr">
        <is>
          <t>Övriga Aktiebolag</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20944-2023</t>
        </is>
      </c>
      <c r="B10220" s="1" t="n">
        <v>45061</v>
      </c>
      <c r="C10220" s="1" t="n">
        <v>45212</v>
      </c>
      <c r="D10220" t="inlineStr">
        <is>
          <t>VÄSTRA GÖTALANDS LÄN</t>
        </is>
      </c>
      <c r="E10220" t="inlineStr">
        <is>
          <t>STENUNGSUND</t>
        </is>
      </c>
      <c r="G10220" t="n">
        <v>1.3</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21100-2023</t>
        </is>
      </c>
      <c r="B10221" s="1" t="n">
        <v>45061</v>
      </c>
      <c r="C10221" s="1" t="n">
        <v>45212</v>
      </c>
      <c r="D10221" t="inlineStr">
        <is>
          <t>VÄSTRA GÖTALANDS LÄN</t>
        </is>
      </c>
      <c r="E10221" t="inlineStr">
        <is>
          <t>HÄRRYDA</t>
        </is>
      </c>
      <c r="G10221" t="n">
        <v>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20974-2023</t>
        </is>
      </c>
      <c r="B10222" s="1" t="n">
        <v>45061</v>
      </c>
      <c r="C10222" s="1" t="n">
        <v>45212</v>
      </c>
      <c r="D10222" t="inlineStr">
        <is>
          <t>VÄSTRA GÖTALANDS LÄN</t>
        </is>
      </c>
      <c r="E10222" t="inlineStr">
        <is>
          <t>TANUM</t>
        </is>
      </c>
      <c r="G10222" t="n">
        <v>1.5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20983-2023</t>
        </is>
      </c>
      <c r="B10223" s="1" t="n">
        <v>45061</v>
      </c>
      <c r="C10223" s="1" t="n">
        <v>45212</v>
      </c>
      <c r="D10223" t="inlineStr">
        <is>
          <t>VÄSTRA GÖTALANDS LÄN</t>
        </is>
      </c>
      <c r="E10223" t="inlineStr">
        <is>
          <t>TANUM</t>
        </is>
      </c>
      <c r="G10223" t="n">
        <v>6.1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21086-2023</t>
        </is>
      </c>
      <c r="B10224" s="1" t="n">
        <v>45061</v>
      </c>
      <c r="C10224" s="1" t="n">
        <v>45212</v>
      </c>
      <c r="D10224" t="inlineStr">
        <is>
          <t>VÄSTRA GÖTALANDS LÄN</t>
        </is>
      </c>
      <c r="E10224" t="inlineStr">
        <is>
          <t>TRANEMO</t>
        </is>
      </c>
      <c r="G10224" t="n">
        <v>2.5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21229-2023</t>
        </is>
      </c>
      <c r="B10225" s="1" t="n">
        <v>45062</v>
      </c>
      <c r="C10225" s="1" t="n">
        <v>45212</v>
      </c>
      <c r="D10225" t="inlineStr">
        <is>
          <t>VÄSTRA GÖTALANDS LÄN</t>
        </is>
      </c>
      <c r="E10225" t="inlineStr">
        <is>
          <t>BENGTSFORS</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21141-2023</t>
        </is>
      </c>
      <c r="B10226" s="1" t="n">
        <v>45062</v>
      </c>
      <c r="C10226" s="1" t="n">
        <v>45212</v>
      </c>
      <c r="D10226" t="inlineStr">
        <is>
          <t>VÄSTRA GÖTALANDS LÄN</t>
        </is>
      </c>
      <c r="E10226" t="inlineStr">
        <is>
          <t>TJÖRN</t>
        </is>
      </c>
      <c r="G10226" t="n">
        <v>3.4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21259-2023</t>
        </is>
      </c>
      <c r="B10227" s="1" t="n">
        <v>45062</v>
      </c>
      <c r="C10227" s="1" t="n">
        <v>45212</v>
      </c>
      <c r="D10227" t="inlineStr">
        <is>
          <t>VÄSTRA GÖTALANDS LÄN</t>
        </is>
      </c>
      <c r="E10227" t="inlineStr">
        <is>
          <t>SVENLJUNGA</t>
        </is>
      </c>
      <c r="G10227" t="n">
        <v>1.1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21314-2023</t>
        </is>
      </c>
      <c r="B10228" s="1" t="n">
        <v>45062</v>
      </c>
      <c r="C10228" s="1" t="n">
        <v>45212</v>
      </c>
      <c r="D10228" t="inlineStr">
        <is>
          <t>VÄSTRA GÖTALANDS LÄN</t>
        </is>
      </c>
      <c r="E10228" t="inlineStr">
        <is>
          <t>FÄRGELANDA</t>
        </is>
      </c>
      <c r="G10228" t="n">
        <v>4.3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21320-2023</t>
        </is>
      </c>
      <c r="B10229" s="1" t="n">
        <v>45062</v>
      </c>
      <c r="C10229" s="1" t="n">
        <v>45212</v>
      </c>
      <c r="D10229" t="inlineStr">
        <is>
          <t>VÄSTRA GÖTALANDS LÄN</t>
        </is>
      </c>
      <c r="E10229" t="inlineStr">
        <is>
          <t>FÄRGELANDA</t>
        </is>
      </c>
      <c r="G10229" t="n">
        <v>3.5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21594-2023</t>
        </is>
      </c>
      <c r="B10230" s="1" t="n">
        <v>45062</v>
      </c>
      <c r="C10230" s="1" t="n">
        <v>45212</v>
      </c>
      <c r="D10230" t="inlineStr">
        <is>
          <t>VÄSTRA GÖTALANDS LÄN</t>
        </is>
      </c>
      <c r="E10230" t="inlineStr">
        <is>
          <t>BENGTSFORS</t>
        </is>
      </c>
      <c r="G10230" t="n">
        <v>2.6</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21266-2023</t>
        </is>
      </c>
      <c r="B10231" s="1" t="n">
        <v>45062</v>
      </c>
      <c r="C10231" s="1" t="n">
        <v>45212</v>
      </c>
      <c r="D10231" t="inlineStr">
        <is>
          <t>VÄSTRA GÖTALANDS LÄN</t>
        </is>
      </c>
      <c r="E10231" t="inlineStr">
        <is>
          <t>FÄRGELANDA</t>
        </is>
      </c>
      <c r="G10231" t="n">
        <v>1.3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21311-2023</t>
        </is>
      </c>
      <c r="B10232" s="1" t="n">
        <v>45062</v>
      </c>
      <c r="C10232" s="1" t="n">
        <v>45212</v>
      </c>
      <c r="D10232" t="inlineStr">
        <is>
          <t>VÄSTRA GÖTALANDS LÄN</t>
        </is>
      </c>
      <c r="E10232" t="inlineStr">
        <is>
          <t>FÄRGELANDA</t>
        </is>
      </c>
      <c r="G10232" t="n">
        <v>1.4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21333-2023</t>
        </is>
      </c>
      <c r="B10233" s="1" t="n">
        <v>45062</v>
      </c>
      <c r="C10233" s="1" t="n">
        <v>45212</v>
      </c>
      <c r="D10233" t="inlineStr">
        <is>
          <t>VÄSTRA GÖTALANDS LÄN</t>
        </is>
      </c>
      <c r="E10233" t="inlineStr">
        <is>
          <t>BORÅS</t>
        </is>
      </c>
      <c r="G10233" t="n">
        <v>0.7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21331-2023</t>
        </is>
      </c>
      <c r="B10234" s="1" t="n">
        <v>45062</v>
      </c>
      <c r="C10234" s="1" t="n">
        <v>45212</v>
      </c>
      <c r="D10234" t="inlineStr">
        <is>
          <t>VÄSTRA GÖTALANDS LÄN</t>
        </is>
      </c>
      <c r="E10234" t="inlineStr">
        <is>
          <t>BORÅS</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21581-2023</t>
        </is>
      </c>
      <c r="B10235" s="1" t="n">
        <v>45063</v>
      </c>
      <c r="C10235" s="1" t="n">
        <v>45212</v>
      </c>
      <c r="D10235" t="inlineStr">
        <is>
          <t>VÄSTRA GÖTALANDS LÄN</t>
        </is>
      </c>
      <c r="E10235" t="inlineStr">
        <is>
          <t>UDDEVALLA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21652-2023</t>
        </is>
      </c>
      <c r="B10236" s="1" t="n">
        <v>45063</v>
      </c>
      <c r="C10236" s="1" t="n">
        <v>45212</v>
      </c>
      <c r="D10236" t="inlineStr">
        <is>
          <t>VÄSTRA GÖTALANDS LÄN</t>
        </is>
      </c>
      <c r="E10236" t="inlineStr">
        <is>
          <t>MELLERUD</t>
        </is>
      </c>
      <c r="G10236" t="n">
        <v>5.4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21738-2023</t>
        </is>
      </c>
      <c r="B10237" s="1" t="n">
        <v>45063</v>
      </c>
      <c r="C10237" s="1" t="n">
        <v>45212</v>
      </c>
      <c r="D10237" t="inlineStr">
        <is>
          <t>VÄSTRA GÖTALANDS LÄN</t>
        </is>
      </c>
      <c r="E10237" t="inlineStr">
        <is>
          <t>TIBRO</t>
        </is>
      </c>
      <c r="G10237" t="n">
        <v>1.4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21389-2023</t>
        </is>
      </c>
      <c r="B10238" s="1" t="n">
        <v>45063</v>
      </c>
      <c r="C10238" s="1" t="n">
        <v>45212</v>
      </c>
      <c r="D10238" t="inlineStr">
        <is>
          <t>VÄSTRA GÖTALANDS LÄN</t>
        </is>
      </c>
      <c r="E10238" t="inlineStr">
        <is>
          <t>KUNGÄLV</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21398-2023</t>
        </is>
      </c>
      <c r="B10239" s="1" t="n">
        <v>45063</v>
      </c>
      <c r="C10239" s="1" t="n">
        <v>45212</v>
      </c>
      <c r="D10239" t="inlineStr">
        <is>
          <t>VÄSTRA GÖTALANDS LÄN</t>
        </is>
      </c>
      <c r="E10239" t="inlineStr">
        <is>
          <t>HÄRRYDA</t>
        </is>
      </c>
      <c r="G10239" t="n">
        <v>6.6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21449-2023</t>
        </is>
      </c>
      <c r="B10240" s="1" t="n">
        <v>45063</v>
      </c>
      <c r="C10240" s="1" t="n">
        <v>45212</v>
      </c>
      <c r="D10240" t="inlineStr">
        <is>
          <t>VÄSTRA GÖTALANDS LÄN</t>
        </is>
      </c>
      <c r="E10240" t="inlineStr">
        <is>
          <t>FÄRGELANDA</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21458-2023</t>
        </is>
      </c>
      <c r="B10241" s="1" t="n">
        <v>45063</v>
      </c>
      <c r="C10241" s="1" t="n">
        <v>45212</v>
      </c>
      <c r="D10241" t="inlineStr">
        <is>
          <t>VÄSTRA GÖTALANDS LÄN</t>
        </is>
      </c>
      <c r="E10241" t="inlineStr">
        <is>
          <t>BORÅS</t>
        </is>
      </c>
      <c r="G10241" t="n">
        <v>1.4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21584-2023</t>
        </is>
      </c>
      <c r="B10242" s="1" t="n">
        <v>45063</v>
      </c>
      <c r="C10242" s="1" t="n">
        <v>45212</v>
      </c>
      <c r="D10242" t="inlineStr">
        <is>
          <t>VÄSTRA GÖTALANDS LÄN</t>
        </is>
      </c>
      <c r="E10242" t="inlineStr">
        <is>
          <t>UDDEVALLA</t>
        </is>
      </c>
      <c r="G10242" t="n">
        <v>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21761-2023</t>
        </is>
      </c>
      <c r="B10243" s="1" t="n">
        <v>45063</v>
      </c>
      <c r="C10243" s="1" t="n">
        <v>45212</v>
      </c>
      <c r="D10243" t="inlineStr">
        <is>
          <t>VÄSTRA GÖTALANDS LÄN</t>
        </is>
      </c>
      <c r="E10243" t="inlineStr">
        <is>
          <t>VÄNERSBORG</t>
        </is>
      </c>
      <c r="F10243" t="inlineStr">
        <is>
          <t>Kommuner</t>
        </is>
      </c>
      <c r="G10243" t="n">
        <v>4.6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21393-2023</t>
        </is>
      </c>
      <c r="B10244" s="1" t="n">
        <v>45063</v>
      </c>
      <c r="C10244" s="1" t="n">
        <v>45212</v>
      </c>
      <c r="D10244" t="inlineStr">
        <is>
          <t>VÄSTRA GÖTALANDS LÄN</t>
        </is>
      </c>
      <c r="E10244" t="inlineStr">
        <is>
          <t>KUNGÄLV</t>
        </is>
      </c>
      <c r="G10244" t="n">
        <v>1.7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21462-2023</t>
        </is>
      </c>
      <c r="B10245" s="1" t="n">
        <v>45063</v>
      </c>
      <c r="C10245" s="1" t="n">
        <v>45212</v>
      </c>
      <c r="D10245" t="inlineStr">
        <is>
          <t>VÄSTRA GÖTALANDS LÄN</t>
        </is>
      </c>
      <c r="E10245" t="inlineStr">
        <is>
          <t>TRANEMO</t>
        </is>
      </c>
      <c r="G10245" t="n">
        <v>6.7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21631-2023</t>
        </is>
      </c>
      <c r="B10246" s="1" t="n">
        <v>45063</v>
      </c>
      <c r="C10246" s="1" t="n">
        <v>45212</v>
      </c>
      <c r="D10246" t="inlineStr">
        <is>
          <t>VÄSTRA GÖTALANDS LÄN</t>
        </is>
      </c>
      <c r="E10246" t="inlineStr">
        <is>
          <t>SKARA</t>
        </is>
      </c>
      <c r="G10246" t="n">
        <v>0.9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21751-2023</t>
        </is>
      </c>
      <c r="B10247" s="1" t="n">
        <v>45063</v>
      </c>
      <c r="C10247" s="1" t="n">
        <v>45212</v>
      </c>
      <c r="D10247" t="inlineStr">
        <is>
          <t>VÄSTRA GÖTALANDS LÄN</t>
        </is>
      </c>
      <c r="E10247" t="inlineStr">
        <is>
          <t>TANUM</t>
        </is>
      </c>
      <c r="F10247" t="inlineStr">
        <is>
          <t>Kyrkan</t>
        </is>
      </c>
      <c r="G10247" t="n">
        <v>3.5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22168-2023</t>
        </is>
      </c>
      <c r="B10248" s="1" t="n">
        <v>45065</v>
      </c>
      <c r="C10248" s="1" t="n">
        <v>45212</v>
      </c>
      <c r="D10248" t="inlineStr">
        <is>
          <t>VÄSTRA GÖTALANDS LÄN</t>
        </is>
      </c>
      <c r="E10248" t="inlineStr">
        <is>
          <t>ÅMÅL</t>
        </is>
      </c>
      <c r="G10248" t="n">
        <v>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21728-2023</t>
        </is>
      </c>
      <c r="B10249" s="1" t="n">
        <v>45065</v>
      </c>
      <c r="C10249" s="1" t="n">
        <v>45212</v>
      </c>
      <c r="D10249" t="inlineStr">
        <is>
          <t>VÄSTRA GÖTALANDS LÄN</t>
        </is>
      </c>
      <c r="E10249" t="inlineStr">
        <is>
          <t>FALKÖPING</t>
        </is>
      </c>
      <c r="G10249" t="n">
        <v>1.4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21792-2023</t>
        </is>
      </c>
      <c r="B10250" s="1" t="n">
        <v>45067</v>
      </c>
      <c r="C10250" s="1" t="n">
        <v>45212</v>
      </c>
      <c r="D10250" t="inlineStr">
        <is>
          <t>VÄSTRA GÖTALANDS LÄN</t>
        </is>
      </c>
      <c r="E10250" t="inlineStr">
        <is>
          <t>TRANEMO</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22144-2023</t>
        </is>
      </c>
      <c r="B10251" s="1" t="n">
        <v>45068</v>
      </c>
      <c r="C10251" s="1" t="n">
        <v>45212</v>
      </c>
      <c r="D10251" t="inlineStr">
        <is>
          <t>VÄSTRA GÖTALANDS LÄN</t>
        </is>
      </c>
      <c r="E10251" t="inlineStr">
        <is>
          <t>TIDAHOLM</t>
        </is>
      </c>
      <c r="G10251" t="n">
        <v>1.2</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21853-2023</t>
        </is>
      </c>
      <c r="B10252" s="1" t="n">
        <v>45068</v>
      </c>
      <c r="C10252" s="1" t="n">
        <v>45212</v>
      </c>
      <c r="D10252" t="inlineStr">
        <is>
          <t>VÄSTRA GÖTALANDS LÄN</t>
        </is>
      </c>
      <c r="E10252" t="inlineStr">
        <is>
          <t>ESSUNGA</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22387-2023</t>
        </is>
      </c>
      <c r="B10253" s="1" t="n">
        <v>45069</v>
      </c>
      <c r="C10253" s="1" t="n">
        <v>45212</v>
      </c>
      <c r="D10253" t="inlineStr">
        <is>
          <t>VÄSTRA GÖTALANDS LÄN</t>
        </is>
      </c>
      <c r="E10253" t="inlineStr">
        <is>
          <t>ÅMÅL</t>
        </is>
      </c>
      <c r="G10253" t="n">
        <v>2.2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22050-2023</t>
        </is>
      </c>
      <c r="B10254" s="1" t="n">
        <v>45069</v>
      </c>
      <c r="C10254" s="1" t="n">
        <v>45212</v>
      </c>
      <c r="D10254" t="inlineStr">
        <is>
          <t>VÄSTRA GÖTALANDS LÄN</t>
        </is>
      </c>
      <c r="E10254" t="inlineStr">
        <is>
          <t>HJO</t>
        </is>
      </c>
      <c r="F10254" t="inlineStr">
        <is>
          <t>Sveaskog</t>
        </is>
      </c>
      <c r="G10254" t="n">
        <v>2.6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22183-2023</t>
        </is>
      </c>
      <c r="B10255" s="1" t="n">
        <v>45069</v>
      </c>
      <c r="C10255" s="1" t="n">
        <v>45212</v>
      </c>
      <c r="D10255" t="inlineStr">
        <is>
          <t>VÄSTRA GÖTALANDS LÄN</t>
        </is>
      </c>
      <c r="E10255" t="inlineStr">
        <is>
          <t>SVENLJUNGA</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22402-2023</t>
        </is>
      </c>
      <c r="B10256" s="1" t="n">
        <v>45069</v>
      </c>
      <c r="C10256" s="1" t="n">
        <v>45212</v>
      </c>
      <c r="D10256" t="inlineStr">
        <is>
          <t>VÄSTRA GÖTALANDS LÄN</t>
        </is>
      </c>
      <c r="E10256" t="inlineStr">
        <is>
          <t>DALS-ED</t>
        </is>
      </c>
      <c r="G10256" t="n">
        <v>4.2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22185-2023</t>
        </is>
      </c>
      <c r="B10257" s="1" t="n">
        <v>45069</v>
      </c>
      <c r="C10257" s="1" t="n">
        <v>45212</v>
      </c>
      <c r="D10257" t="inlineStr">
        <is>
          <t>VÄSTRA GÖTALANDS LÄN</t>
        </is>
      </c>
      <c r="E10257" t="inlineStr">
        <is>
          <t>SVENLJUNGA</t>
        </is>
      </c>
      <c r="G10257" t="n">
        <v>0.7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22381-2023</t>
        </is>
      </c>
      <c r="B10258" s="1" t="n">
        <v>45069</v>
      </c>
      <c r="C10258" s="1" t="n">
        <v>45212</v>
      </c>
      <c r="D10258" t="inlineStr">
        <is>
          <t>VÄSTRA GÖTALANDS LÄN</t>
        </is>
      </c>
      <c r="E10258" t="inlineStr">
        <is>
          <t>ÅMÅL</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22048-2023</t>
        </is>
      </c>
      <c r="B10259" s="1" t="n">
        <v>45069</v>
      </c>
      <c r="C10259" s="1" t="n">
        <v>45212</v>
      </c>
      <c r="D10259" t="inlineStr">
        <is>
          <t>VÄSTRA GÖTALANDS LÄN</t>
        </is>
      </c>
      <c r="E10259" t="inlineStr">
        <is>
          <t>SOTENÄS</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22182-2023</t>
        </is>
      </c>
      <c r="B10260" s="1" t="n">
        <v>45069</v>
      </c>
      <c r="C10260" s="1" t="n">
        <v>45212</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22187-2023</t>
        </is>
      </c>
      <c r="B10261" s="1" t="n">
        <v>45069</v>
      </c>
      <c r="C10261" s="1" t="n">
        <v>45212</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22240-2023</t>
        </is>
      </c>
      <c r="B10262" s="1" t="n">
        <v>45070</v>
      </c>
      <c r="C10262" s="1" t="n">
        <v>45212</v>
      </c>
      <c r="D10262" t="inlineStr">
        <is>
          <t>VÄSTRA GÖTALANDS LÄN</t>
        </is>
      </c>
      <c r="E10262" t="inlineStr">
        <is>
          <t>MARIESTAD</t>
        </is>
      </c>
      <c r="F10262" t="inlineStr">
        <is>
          <t>Sveaskog</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22352-2023</t>
        </is>
      </c>
      <c r="B10263" s="1" t="n">
        <v>45070</v>
      </c>
      <c r="C10263" s="1" t="n">
        <v>45212</v>
      </c>
      <c r="D10263" t="inlineStr">
        <is>
          <t>VÄSTRA GÖTALANDS LÄN</t>
        </is>
      </c>
      <c r="E10263" t="inlineStr">
        <is>
          <t>BOLLEBYGD</t>
        </is>
      </c>
      <c r="G10263" t="n">
        <v>4.2</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23058-2023</t>
        </is>
      </c>
      <c r="B10264" s="1" t="n">
        <v>45070</v>
      </c>
      <c r="C10264" s="1" t="n">
        <v>45212</v>
      </c>
      <c r="D10264" t="inlineStr">
        <is>
          <t>VÄSTRA GÖTALANDS LÄN</t>
        </is>
      </c>
      <c r="E10264" t="inlineStr">
        <is>
          <t>TANUM</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22236-2023</t>
        </is>
      </c>
      <c r="B10265" s="1" t="n">
        <v>45070</v>
      </c>
      <c r="C10265" s="1" t="n">
        <v>45212</v>
      </c>
      <c r="D10265" t="inlineStr">
        <is>
          <t>VÄSTRA GÖTALANDS LÄN</t>
        </is>
      </c>
      <c r="E10265" t="inlineStr">
        <is>
          <t>MARIESTAD</t>
        </is>
      </c>
      <c r="F10265" t="inlineStr">
        <is>
          <t>Sveaskog</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22328-2023</t>
        </is>
      </c>
      <c r="B10266" s="1" t="n">
        <v>45070</v>
      </c>
      <c r="C10266" s="1" t="n">
        <v>45212</v>
      </c>
      <c r="D10266" t="inlineStr">
        <is>
          <t>VÄSTRA GÖTALANDS LÄN</t>
        </is>
      </c>
      <c r="E10266" t="inlineStr">
        <is>
          <t>GULLSPÅNG</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22400-2023</t>
        </is>
      </c>
      <c r="B10267" s="1" t="n">
        <v>45070</v>
      </c>
      <c r="C10267" s="1" t="n">
        <v>45212</v>
      </c>
      <c r="D10267" t="inlineStr">
        <is>
          <t>VÄSTRA GÖTALANDS LÄN</t>
        </is>
      </c>
      <c r="E10267" t="inlineStr">
        <is>
          <t>ULRICEHAMN</t>
        </is>
      </c>
      <c r="G10267" t="n">
        <v>1.1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22416-2023</t>
        </is>
      </c>
      <c r="B10268" s="1" t="n">
        <v>45070</v>
      </c>
      <c r="C10268" s="1" t="n">
        <v>45212</v>
      </c>
      <c r="D10268" t="inlineStr">
        <is>
          <t>VÄSTRA GÖTALANDS LÄN</t>
        </is>
      </c>
      <c r="E10268" t="inlineStr">
        <is>
          <t>ULRICEHAMN</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22443-2023</t>
        </is>
      </c>
      <c r="B10269" s="1" t="n">
        <v>45070</v>
      </c>
      <c r="C10269" s="1" t="n">
        <v>45212</v>
      </c>
      <c r="D10269" t="inlineStr">
        <is>
          <t>VÄSTRA GÖTALANDS LÄN</t>
        </is>
      </c>
      <c r="E10269" t="inlineStr">
        <is>
          <t>BOLLEBYGD</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22243-2023</t>
        </is>
      </c>
      <c r="B10270" s="1" t="n">
        <v>45070</v>
      </c>
      <c r="C10270" s="1" t="n">
        <v>45212</v>
      </c>
      <c r="D10270" t="inlineStr">
        <is>
          <t>VÄSTRA GÖTALANDS LÄN</t>
        </is>
      </c>
      <c r="E10270" t="inlineStr">
        <is>
          <t>MARK</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23115-2023</t>
        </is>
      </c>
      <c r="B10271" s="1" t="n">
        <v>45070</v>
      </c>
      <c r="C10271" s="1" t="n">
        <v>45212</v>
      </c>
      <c r="D10271" t="inlineStr">
        <is>
          <t>VÄSTRA GÖTALANDS LÄN</t>
        </is>
      </c>
      <c r="E10271" t="inlineStr">
        <is>
          <t>DALS-ED</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22311-2023</t>
        </is>
      </c>
      <c r="B10272" s="1" t="n">
        <v>45070</v>
      </c>
      <c r="C10272" s="1" t="n">
        <v>45212</v>
      </c>
      <c r="D10272" t="inlineStr">
        <is>
          <t>VÄSTRA GÖTALANDS LÄN</t>
        </is>
      </c>
      <c r="E10272" t="inlineStr">
        <is>
          <t>TANUM</t>
        </is>
      </c>
      <c r="G10272" t="n">
        <v>0.7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22359-2023</t>
        </is>
      </c>
      <c r="B10273" s="1" t="n">
        <v>45070</v>
      </c>
      <c r="C10273" s="1" t="n">
        <v>45212</v>
      </c>
      <c r="D10273" t="inlineStr">
        <is>
          <t>VÄSTRA GÖTALANDS LÄN</t>
        </is>
      </c>
      <c r="E10273" t="inlineStr">
        <is>
          <t>BOLLEBYGD</t>
        </is>
      </c>
      <c r="G10273" t="n">
        <v>3.6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22407-2023</t>
        </is>
      </c>
      <c r="B10274" s="1" t="n">
        <v>45070</v>
      </c>
      <c r="C10274" s="1" t="n">
        <v>45212</v>
      </c>
      <c r="D10274" t="inlineStr">
        <is>
          <t>VÄSTRA GÖTALANDS LÄN</t>
        </is>
      </c>
      <c r="E10274" t="inlineStr">
        <is>
          <t>ULRICEHAMN</t>
        </is>
      </c>
      <c r="G10274" t="n">
        <v>0.7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22970-2023</t>
        </is>
      </c>
      <c r="B10275" s="1" t="n">
        <v>45070</v>
      </c>
      <c r="C10275" s="1" t="n">
        <v>45212</v>
      </c>
      <c r="D10275" t="inlineStr">
        <is>
          <t>VÄSTRA GÖTALANDS LÄN</t>
        </is>
      </c>
      <c r="E10275" t="inlineStr">
        <is>
          <t>SKÖVDE</t>
        </is>
      </c>
      <c r="G10275" t="n">
        <v>1.5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23132-2023</t>
        </is>
      </c>
      <c r="B10276" s="1" t="n">
        <v>45070</v>
      </c>
      <c r="C10276" s="1" t="n">
        <v>45212</v>
      </c>
      <c r="D10276" t="inlineStr">
        <is>
          <t>VÄSTRA GÖTALANDS LÄN</t>
        </is>
      </c>
      <c r="E10276" t="inlineStr">
        <is>
          <t>DALS-ED</t>
        </is>
      </c>
      <c r="G10276" t="n">
        <v>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22480-2023</t>
        </is>
      </c>
      <c r="B10277" s="1" t="n">
        <v>45071</v>
      </c>
      <c r="C10277" s="1" t="n">
        <v>45212</v>
      </c>
      <c r="D10277" t="inlineStr">
        <is>
          <t>VÄSTRA GÖTALANDS LÄN</t>
        </is>
      </c>
      <c r="E10277" t="inlineStr">
        <is>
          <t>ULRICEHAMN</t>
        </is>
      </c>
      <c r="G10277" t="n">
        <v>4.2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22714-2023</t>
        </is>
      </c>
      <c r="B10278" s="1" t="n">
        <v>45071</v>
      </c>
      <c r="C10278" s="1" t="n">
        <v>45212</v>
      </c>
      <c r="D10278" t="inlineStr">
        <is>
          <t>VÄSTRA GÖTALANDS LÄN</t>
        </is>
      </c>
      <c r="E10278" t="inlineStr">
        <is>
          <t>ULRICEHAMN</t>
        </is>
      </c>
      <c r="G10278" t="n">
        <v>1.1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22719-2023</t>
        </is>
      </c>
      <c r="B10279" s="1" t="n">
        <v>45071</v>
      </c>
      <c r="C10279" s="1" t="n">
        <v>45212</v>
      </c>
      <c r="D10279" t="inlineStr">
        <is>
          <t>VÄSTRA GÖTALANDS LÄN</t>
        </is>
      </c>
      <c r="E10279" t="inlineStr">
        <is>
          <t>FÄRGELANDA</t>
        </is>
      </c>
      <c r="G10279" t="n">
        <v>3.2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22518-2023</t>
        </is>
      </c>
      <c r="B10280" s="1" t="n">
        <v>45071</v>
      </c>
      <c r="C10280" s="1" t="n">
        <v>45212</v>
      </c>
      <c r="D10280" t="inlineStr">
        <is>
          <t>VÄSTRA GÖTALANDS LÄN</t>
        </is>
      </c>
      <c r="E10280" t="inlineStr">
        <is>
          <t>MUNKEDAL</t>
        </is>
      </c>
      <c r="F10280" t="inlineStr">
        <is>
          <t>Naturvårdsverket</t>
        </is>
      </c>
      <c r="G10280" t="n">
        <v>15.8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22562-2023</t>
        </is>
      </c>
      <c r="B10281" s="1" t="n">
        <v>45071</v>
      </c>
      <c r="C10281" s="1" t="n">
        <v>45212</v>
      </c>
      <c r="D10281" t="inlineStr">
        <is>
          <t>VÄSTRA GÖTALANDS LÄN</t>
        </is>
      </c>
      <c r="E10281" t="inlineStr">
        <is>
          <t>MÖLNDAL</t>
        </is>
      </c>
      <c r="G10281" t="n">
        <v>5.2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22603-2023</t>
        </is>
      </c>
      <c r="B10282" s="1" t="n">
        <v>45071</v>
      </c>
      <c r="C10282" s="1" t="n">
        <v>45212</v>
      </c>
      <c r="D10282" t="inlineStr">
        <is>
          <t>VÄSTRA GÖTALANDS LÄN</t>
        </is>
      </c>
      <c r="E10282" t="inlineStr">
        <is>
          <t>UDDEVALLA</t>
        </is>
      </c>
      <c r="G10282" t="n">
        <v>2.7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22614-2023</t>
        </is>
      </c>
      <c r="B10283" s="1" t="n">
        <v>45071</v>
      </c>
      <c r="C10283" s="1" t="n">
        <v>45212</v>
      </c>
      <c r="D10283" t="inlineStr">
        <is>
          <t>VÄSTRA GÖTALANDS LÄN</t>
        </is>
      </c>
      <c r="E10283" t="inlineStr">
        <is>
          <t>HÄRRYDA</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22577-2023</t>
        </is>
      </c>
      <c r="B10284" s="1" t="n">
        <v>45071</v>
      </c>
      <c r="C10284" s="1" t="n">
        <v>45212</v>
      </c>
      <c r="D10284" t="inlineStr">
        <is>
          <t>VÄSTRA GÖTALANDS LÄN</t>
        </is>
      </c>
      <c r="E10284" t="inlineStr">
        <is>
          <t>MARK</t>
        </is>
      </c>
      <c r="G10284" t="n">
        <v>5.1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22601-2023</t>
        </is>
      </c>
      <c r="B10285" s="1" t="n">
        <v>45071</v>
      </c>
      <c r="C10285" s="1" t="n">
        <v>45212</v>
      </c>
      <c r="D10285" t="inlineStr">
        <is>
          <t>VÄSTRA GÖTALANDS LÄN</t>
        </is>
      </c>
      <c r="E10285" t="inlineStr">
        <is>
          <t>BENGTSFORS</t>
        </is>
      </c>
      <c r="G10285" t="n">
        <v>3.3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22606-2023</t>
        </is>
      </c>
      <c r="B10286" s="1" t="n">
        <v>45071</v>
      </c>
      <c r="C10286" s="1" t="n">
        <v>45212</v>
      </c>
      <c r="D10286" t="inlineStr">
        <is>
          <t>VÄSTRA GÖTALANDS LÄN</t>
        </is>
      </c>
      <c r="E10286" t="inlineStr">
        <is>
          <t>HÄRRYDA</t>
        </is>
      </c>
      <c r="G10286" t="n">
        <v>0.9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22612-2023</t>
        </is>
      </c>
      <c r="B10287" s="1" t="n">
        <v>45071</v>
      </c>
      <c r="C10287" s="1" t="n">
        <v>45212</v>
      </c>
      <c r="D10287" t="inlineStr">
        <is>
          <t>VÄSTRA GÖTALANDS LÄN</t>
        </is>
      </c>
      <c r="E10287" t="inlineStr">
        <is>
          <t>LILLA EDET</t>
        </is>
      </c>
      <c r="G10287" t="n">
        <v>2.4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22715-2023</t>
        </is>
      </c>
      <c r="B10288" s="1" t="n">
        <v>45071</v>
      </c>
      <c r="C10288" s="1" t="n">
        <v>45212</v>
      </c>
      <c r="D10288" t="inlineStr">
        <is>
          <t>VÄSTRA GÖTALANDS LÄN</t>
        </is>
      </c>
      <c r="E10288" t="inlineStr">
        <is>
          <t>ULRICEHAMN</t>
        </is>
      </c>
      <c r="G10288" t="n">
        <v>7.4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23206-2023</t>
        </is>
      </c>
      <c r="B10289" s="1" t="n">
        <v>45071</v>
      </c>
      <c r="C10289" s="1" t="n">
        <v>45212</v>
      </c>
      <c r="D10289" t="inlineStr">
        <is>
          <t>VÄSTRA GÖTALANDS LÄN</t>
        </is>
      </c>
      <c r="E10289" t="inlineStr">
        <is>
          <t>UDDEVALLA</t>
        </is>
      </c>
      <c r="G10289" t="n">
        <v>6.6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22541-2023</t>
        </is>
      </c>
      <c r="B10290" s="1" t="n">
        <v>45071</v>
      </c>
      <c r="C10290" s="1" t="n">
        <v>45212</v>
      </c>
      <c r="D10290" t="inlineStr">
        <is>
          <t>VÄSTRA GÖTALANDS LÄN</t>
        </is>
      </c>
      <c r="E10290" t="inlineStr">
        <is>
          <t>BOLLEBYGD</t>
        </is>
      </c>
      <c r="G10290" t="n">
        <v>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22609-2023</t>
        </is>
      </c>
      <c r="B10291" s="1" t="n">
        <v>45071</v>
      </c>
      <c r="C10291" s="1" t="n">
        <v>45212</v>
      </c>
      <c r="D10291" t="inlineStr">
        <is>
          <t>VÄSTRA GÖTALANDS LÄN</t>
        </is>
      </c>
      <c r="E10291" t="inlineStr">
        <is>
          <t>ULRICEHAMN</t>
        </is>
      </c>
      <c r="G10291" t="n">
        <v>2.6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22649-2023</t>
        </is>
      </c>
      <c r="B10292" s="1" t="n">
        <v>45071</v>
      </c>
      <c r="C10292" s="1" t="n">
        <v>45212</v>
      </c>
      <c r="D10292" t="inlineStr">
        <is>
          <t>VÄSTRA GÖTALANDS LÄN</t>
        </is>
      </c>
      <c r="E10292" t="inlineStr">
        <is>
          <t>BENGTSFORS</t>
        </is>
      </c>
      <c r="G10292" t="n">
        <v>3.6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23198-2023</t>
        </is>
      </c>
      <c r="B10293" s="1" t="n">
        <v>45071</v>
      </c>
      <c r="C10293" s="1" t="n">
        <v>45212</v>
      </c>
      <c r="D10293" t="inlineStr">
        <is>
          <t>VÄSTRA GÖTALANDS LÄN</t>
        </is>
      </c>
      <c r="E10293" t="inlineStr">
        <is>
          <t>MELLERUD</t>
        </is>
      </c>
      <c r="G10293" t="n">
        <v>17.9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23210-2023</t>
        </is>
      </c>
      <c r="B10294" s="1" t="n">
        <v>45071</v>
      </c>
      <c r="C10294" s="1" t="n">
        <v>45212</v>
      </c>
      <c r="D10294" t="inlineStr">
        <is>
          <t>VÄSTRA GÖTALANDS LÄN</t>
        </is>
      </c>
      <c r="E10294" t="inlineStr">
        <is>
          <t>UDDEVALLA</t>
        </is>
      </c>
      <c r="G10294" t="n">
        <v>4.8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23497-2023</t>
        </is>
      </c>
      <c r="B10295" s="1" t="n">
        <v>45072</v>
      </c>
      <c r="C10295" s="1" t="n">
        <v>45212</v>
      </c>
      <c r="D10295" t="inlineStr">
        <is>
          <t>VÄSTRA GÖTALANDS LÄN</t>
        </is>
      </c>
      <c r="E10295" t="inlineStr">
        <is>
          <t>LILLA EDET</t>
        </is>
      </c>
      <c r="F10295" t="inlineStr">
        <is>
          <t>Kyrkan</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23610-2023</t>
        </is>
      </c>
      <c r="B10296" s="1" t="n">
        <v>45072</v>
      </c>
      <c r="C10296" s="1" t="n">
        <v>45212</v>
      </c>
      <c r="D10296" t="inlineStr">
        <is>
          <t>VÄSTRA GÖTALANDS LÄN</t>
        </is>
      </c>
      <c r="E10296" t="inlineStr">
        <is>
          <t>MUNKEDAL</t>
        </is>
      </c>
      <c r="F10296" t="inlineStr">
        <is>
          <t>Kommuner</t>
        </is>
      </c>
      <c r="G10296" t="n">
        <v>3.2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23598-2023</t>
        </is>
      </c>
      <c r="B10297" s="1" t="n">
        <v>45072</v>
      </c>
      <c r="C10297" s="1" t="n">
        <v>45212</v>
      </c>
      <c r="D10297" t="inlineStr">
        <is>
          <t>VÄSTRA GÖTALANDS LÄN</t>
        </is>
      </c>
      <c r="E10297" t="inlineStr">
        <is>
          <t>MUNKEDAL</t>
        </is>
      </c>
      <c r="F10297" t="inlineStr">
        <is>
          <t>Kommuner</t>
        </is>
      </c>
      <c r="G10297" t="n">
        <v>2.8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22820-2023</t>
        </is>
      </c>
      <c r="B10298" s="1" t="n">
        <v>45072</v>
      </c>
      <c r="C10298" s="1" t="n">
        <v>45212</v>
      </c>
      <c r="D10298" t="inlineStr">
        <is>
          <t>VÄSTRA GÖTALANDS LÄN</t>
        </is>
      </c>
      <c r="E10298" t="inlineStr">
        <is>
          <t>MARK</t>
        </is>
      </c>
      <c r="G10298" t="n">
        <v>3.8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22953-2023</t>
        </is>
      </c>
      <c r="B10299" s="1" t="n">
        <v>45072</v>
      </c>
      <c r="C10299" s="1" t="n">
        <v>45212</v>
      </c>
      <c r="D10299" t="inlineStr">
        <is>
          <t>VÄSTRA GÖTALANDS LÄN</t>
        </is>
      </c>
      <c r="E10299" t="inlineStr">
        <is>
          <t>MÖLNDAL</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23494-2023</t>
        </is>
      </c>
      <c r="B10300" s="1" t="n">
        <v>45072</v>
      </c>
      <c r="C10300" s="1" t="n">
        <v>45212</v>
      </c>
      <c r="D10300" t="inlineStr">
        <is>
          <t>VÄSTRA GÖTALANDS LÄN</t>
        </is>
      </c>
      <c r="E10300" t="inlineStr">
        <is>
          <t>LILLA EDET</t>
        </is>
      </c>
      <c r="F10300" t="inlineStr">
        <is>
          <t>Kyrkan</t>
        </is>
      </c>
      <c r="G10300" t="n">
        <v>1.3</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23563-2023</t>
        </is>
      </c>
      <c r="B10301" s="1" t="n">
        <v>45072</v>
      </c>
      <c r="C10301" s="1" t="n">
        <v>45212</v>
      </c>
      <c r="D10301" t="inlineStr">
        <is>
          <t>VÄSTRA GÖTALANDS LÄN</t>
        </is>
      </c>
      <c r="E10301" t="inlineStr">
        <is>
          <t>LILLA EDET</t>
        </is>
      </c>
      <c r="F10301" t="inlineStr">
        <is>
          <t>Kyrkan</t>
        </is>
      </c>
      <c r="G10301" t="n">
        <v>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23609-2023</t>
        </is>
      </c>
      <c r="B10302" s="1" t="n">
        <v>45072</v>
      </c>
      <c r="C10302" s="1" t="n">
        <v>45212</v>
      </c>
      <c r="D10302" t="inlineStr">
        <is>
          <t>VÄSTRA GÖTALANDS LÄN</t>
        </is>
      </c>
      <c r="E10302" t="inlineStr">
        <is>
          <t>TANUM</t>
        </is>
      </c>
      <c r="G10302" t="n">
        <v>1.9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23559-2023</t>
        </is>
      </c>
      <c r="B10303" s="1" t="n">
        <v>45072</v>
      </c>
      <c r="C10303" s="1" t="n">
        <v>45212</v>
      </c>
      <c r="D10303" t="inlineStr">
        <is>
          <t>VÄSTRA GÖTALANDS LÄN</t>
        </is>
      </c>
      <c r="E10303" t="inlineStr">
        <is>
          <t>LILLA EDET</t>
        </is>
      </c>
      <c r="F10303" t="inlineStr">
        <is>
          <t>Kyrkan</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23605-2023</t>
        </is>
      </c>
      <c r="B10304" s="1" t="n">
        <v>45072</v>
      </c>
      <c r="C10304" s="1" t="n">
        <v>45212</v>
      </c>
      <c r="D10304" t="inlineStr">
        <is>
          <t>VÄSTRA GÖTALANDS LÄN</t>
        </is>
      </c>
      <c r="E10304" t="inlineStr">
        <is>
          <t>MUNKEDAL</t>
        </is>
      </c>
      <c r="F10304" t="inlineStr">
        <is>
          <t>Kommuner</t>
        </is>
      </c>
      <c r="G10304" t="n">
        <v>1.8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22808-2023</t>
        </is>
      </c>
      <c r="B10305" s="1" t="n">
        <v>45072</v>
      </c>
      <c r="C10305" s="1" t="n">
        <v>45212</v>
      </c>
      <c r="D10305" t="inlineStr">
        <is>
          <t>VÄSTRA GÖTALANDS LÄN</t>
        </is>
      </c>
      <c r="E10305" t="inlineStr">
        <is>
          <t>FALKÖPING</t>
        </is>
      </c>
      <c r="G10305" t="n">
        <v>2.2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22874-2023</t>
        </is>
      </c>
      <c r="B10306" s="1" t="n">
        <v>45072</v>
      </c>
      <c r="C10306" s="1" t="n">
        <v>45212</v>
      </c>
      <c r="D10306" t="inlineStr">
        <is>
          <t>VÄSTRA GÖTALANDS LÄN</t>
        </is>
      </c>
      <c r="E10306" t="inlineStr">
        <is>
          <t>TANUM</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22880-2023</t>
        </is>
      </c>
      <c r="B10307" s="1" t="n">
        <v>45072</v>
      </c>
      <c r="C10307" s="1" t="n">
        <v>45212</v>
      </c>
      <c r="D10307" t="inlineStr">
        <is>
          <t>VÄSTRA GÖTALANDS LÄN</t>
        </is>
      </c>
      <c r="E10307" t="inlineStr">
        <is>
          <t>HERRLJUNGA</t>
        </is>
      </c>
      <c r="F10307" t="inlineStr">
        <is>
          <t>Sveaskog</t>
        </is>
      </c>
      <c r="G10307" t="n">
        <v>10.2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22884-2023</t>
        </is>
      </c>
      <c r="B10308" s="1" t="n">
        <v>45072</v>
      </c>
      <c r="C10308" s="1" t="n">
        <v>45212</v>
      </c>
      <c r="D10308" t="inlineStr">
        <is>
          <t>VÄSTRA GÖTALANDS LÄN</t>
        </is>
      </c>
      <c r="E10308" t="inlineStr">
        <is>
          <t>HERRLJUNGA</t>
        </is>
      </c>
      <c r="G10308" t="n">
        <v>9.300000000000001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22942-2023</t>
        </is>
      </c>
      <c r="B10309" s="1" t="n">
        <v>45072</v>
      </c>
      <c r="C10309" s="1" t="n">
        <v>45212</v>
      </c>
      <c r="D10309" t="inlineStr">
        <is>
          <t>VÄSTRA GÖTALANDS LÄN</t>
        </is>
      </c>
      <c r="E10309" t="inlineStr">
        <is>
          <t>ULRICEHAMN</t>
        </is>
      </c>
      <c r="G10309" t="n">
        <v>1.5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23014-2023</t>
        </is>
      </c>
      <c r="B10310" s="1" t="n">
        <v>45073</v>
      </c>
      <c r="C10310" s="1" t="n">
        <v>45212</v>
      </c>
      <c r="D10310" t="inlineStr">
        <is>
          <t>VÄSTRA GÖTALANDS LÄN</t>
        </is>
      </c>
      <c r="E10310" t="inlineStr">
        <is>
          <t>FALKÖPING</t>
        </is>
      </c>
      <c r="G10310" t="n">
        <v>0.3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23079-2023</t>
        </is>
      </c>
      <c r="B10311" s="1" t="n">
        <v>45075</v>
      </c>
      <c r="C10311" s="1" t="n">
        <v>45212</v>
      </c>
      <c r="D10311" t="inlineStr">
        <is>
          <t>VÄSTRA GÖTALANDS LÄN</t>
        </is>
      </c>
      <c r="E10311" t="inlineStr">
        <is>
          <t>STRÖMSTAD</t>
        </is>
      </c>
      <c r="G10311" t="n">
        <v>2.6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23177-2023</t>
        </is>
      </c>
      <c r="B10312" s="1" t="n">
        <v>45075</v>
      </c>
      <c r="C10312" s="1" t="n">
        <v>45212</v>
      </c>
      <c r="D10312" t="inlineStr">
        <is>
          <t>VÄSTRA GÖTALANDS LÄN</t>
        </is>
      </c>
      <c r="E10312" t="inlineStr">
        <is>
          <t>TRANEMO</t>
        </is>
      </c>
      <c r="G10312" t="n">
        <v>3.5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23862-2023</t>
        </is>
      </c>
      <c r="B10313" s="1" t="n">
        <v>45075</v>
      </c>
      <c r="C10313" s="1" t="n">
        <v>45212</v>
      </c>
      <c r="D10313" t="inlineStr">
        <is>
          <t>VÄSTRA GÖTALANDS LÄN</t>
        </is>
      </c>
      <c r="E10313" t="inlineStr">
        <is>
          <t>DALS-ED</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23973-2023</t>
        </is>
      </c>
      <c r="B10314" s="1" t="n">
        <v>45075</v>
      </c>
      <c r="C10314" s="1" t="n">
        <v>45212</v>
      </c>
      <c r="D10314" t="inlineStr">
        <is>
          <t>VÄSTRA GÖTALANDS LÄN</t>
        </is>
      </c>
      <c r="E10314" t="inlineStr">
        <is>
          <t>KARLSBORG</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23166-2023</t>
        </is>
      </c>
      <c r="B10315" s="1" t="n">
        <v>45075</v>
      </c>
      <c r="C10315" s="1" t="n">
        <v>45212</v>
      </c>
      <c r="D10315" t="inlineStr">
        <is>
          <t>VÄSTRA GÖTALANDS LÄN</t>
        </is>
      </c>
      <c r="E10315" t="inlineStr">
        <is>
          <t>GULLSPÅNG</t>
        </is>
      </c>
      <c r="G10315" t="n">
        <v>8.800000000000001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23175-2023</t>
        </is>
      </c>
      <c r="B10316" s="1" t="n">
        <v>45075</v>
      </c>
      <c r="C10316" s="1" t="n">
        <v>45212</v>
      </c>
      <c r="D10316" t="inlineStr">
        <is>
          <t>VÄSTRA GÖTALANDS LÄN</t>
        </is>
      </c>
      <c r="E10316" t="inlineStr">
        <is>
          <t>TROLLHÄTTAN</t>
        </is>
      </c>
      <c r="G10316" t="n">
        <v>2.7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23859-2023</t>
        </is>
      </c>
      <c r="B10317" s="1" t="n">
        <v>45075</v>
      </c>
      <c r="C10317" s="1" t="n">
        <v>45212</v>
      </c>
      <c r="D10317" t="inlineStr">
        <is>
          <t>VÄSTRA GÖTALANDS LÄN</t>
        </is>
      </c>
      <c r="E10317" t="inlineStr">
        <is>
          <t>DALS-ED</t>
        </is>
      </c>
      <c r="G10317" t="n">
        <v>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23181-2023</t>
        </is>
      </c>
      <c r="B10318" s="1" t="n">
        <v>45075</v>
      </c>
      <c r="C10318" s="1" t="n">
        <v>45212</v>
      </c>
      <c r="D10318" t="inlineStr">
        <is>
          <t>VÄSTRA GÖTALANDS LÄN</t>
        </is>
      </c>
      <c r="E10318" t="inlineStr">
        <is>
          <t>ALINGSÅS</t>
        </is>
      </c>
      <c r="G10318" t="n">
        <v>13.1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23190-2023</t>
        </is>
      </c>
      <c r="B10319" s="1" t="n">
        <v>45075</v>
      </c>
      <c r="C10319" s="1" t="n">
        <v>45212</v>
      </c>
      <c r="D10319" t="inlineStr">
        <is>
          <t>VÄSTRA GÖTALANDS LÄN</t>
        </is>
      </c>
      <c r="E10319" t="inlineStr">
        <is>
          <t>LIDKÖPING</t>
        </is>
      </c>
      <c r="G10319" t="n">
        <v>0.8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23215-2023</t>
        </is>
      </c>
      <c r="B10320" s="1" t="n">
        <v>45075</v>
      </c>
      <c r="C10320" s="1" t="n">
        <v>45212</v>
      </c>
      <c r="D10320" t="inlineStr">
        <is>
          <t>VÄSTRA GÖTALANDS LÄN</t>
        </is>
      </c>
      <c r="E10320" t="inlineStr">
        <is>
          <t>TANUM</t>
        </is>
      </c>
      <c r="G10320" t="n">
        <v>5.4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23854-2023</t>
        </is>
      </c>
      <c r="B10321" s="1" t="n">
        <v>45075</v>
      </c>
      <c r="C10321" s="1" t="n">
        <v>45212</v>
      </c>
      <c r="D10321" t="inlineStr">
        <is>
          <t>VÄSTRA GÖTALANDS LÄN</t>
        </is>
      </c>
      <c r="E10321" t="inlineStr">
        <is>
          <t>ULRICEHAMN</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23089-2023</t>
        </is>
      </c>
      <c r="B10322" s="1" t="n">
        <v>45075</v>
      </c>
      <c r="C10322" s="1" t="n">
        <v>45212</v>
      </c>
      <c r="D10322" t="inlineStr">
        <is>
          <t>VÄSTRA GÖTALANDS LÄN</t>
        </is>
      </c>
      <c r="E10322" t="inlineStr">
        <is>
          <t>MARK</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23120-2023</t>
        </is>
      </c>
      <c r="B10323" s="1" t="n">
        <v>45075</v>
      </c>
      <c r="C10323" s="1" t="n">
        <v>45212</v>
      </c>
      <c r="D10323" t="inlineStr">
        <is>
          <t>VÄSTRA GÖTALANDS LÄN</t>
        </is>
      </c>
      <c r="E10323" t="inlineStr">
        <is>
          <t>FÄRGELANDA</t>
        </is>
      </c>
      <c r="G10323" t="n">
        <v>7.1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23856-2023</t>
        </is>
      </c>
      <c r="B10324" s="1" t="n">
        <v>45075</v>
      </c>
      <c r="C10324" s="1" t="n">
        <v>45212</v>
      </c>
      <c r="D10324" t="inlineStr">
        <is>
          <t>VÄSTRA GÖTALANDS LÄN</t>
        </is>
      </c>
      <c r="E10324" t="inlineStr">
        <is>
          <t>ULRICEHAMN</t>
        </is>
      </c>
      <c r="G10324" t="n">
        <v>4.3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23332-2023</t>
        </is>
      </c>
      <c r="B10325" s="1" t="n">
        <v>45076</v>
      </c>
      <c r="C10325" s="1" t="n">
        <v>45212</v>
      </c>
      <c r="D10325" t="inlineStr">
        <is>
          <t>VÄSTRA GÖTALANDS LÄN</t>
        </is>
      </c>
      <c r="E10325" t="inlineStr">
        <is>
          <t>ALINGSÅS</t>
        </is>
      </c>
      <c r="G10325" t="n">
        <v>1.4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23395-2023</t>
        </is>
      </c>
      <c r="B10326" s="1" t="n">
        <v>45076</v>
      </c>
      <c r="C10326" s="1" t="n">
        <v>45212</v>
      </c>
      <c r="D10326" t="inlineStr">
        <is>
          <t>VÄSTRA GÖTALANDS LÄN</t>
        </is>
      </c>
      <c r="E10326" t="inlineStr">
        <is>
          <t>UDDEVALLA</t>
        </is>
      </c>
      <c r="G10326" t="n">
        <v>12.2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23472-2023</t>
        </is>
      </c>
      <c r="B10327" s="1" t="n">
        <v>45076</v>
      </c>
      <c r="C10327" s="1" t="n">
        <v>45212</v>
      </c>
      <c r="D10327" t="inlineStr">
        <is>
          <t>VÄSTRA GÖTALANDS LÄN</t>
        </is>
      </c>
      <c r="E10327" t="inlineStr">
        <is>
          <t>FALKÖPING</t>
        </is>
      </c>
      <c r="G10327" t="n">
        <v>7.4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24150-2023</t>
        </is>
      </c>
      <c r="B10328" s="1" t="n">
        <v>45076</v>
      </c>
      <c r="C10328" s="1" t="n">
        <v>45212</v>
      </c>
      <c r="D10328" t="inlineStr">
        <is>
          <t>VÄSTRA GÖTALANDS LÄN</t>
        </is>
      </c>
      <c r="E10328" t="inlineStr">
        <is>
          <t>MUNKEDAL</t>
        </is>
      </c>
      <c r="G10328" t="n">
        <v>3.1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24212-2023</t>
        </is>
      </c>
      <c r="B10329" s="1" t="n">
        <v>45076</v>
      </c>
      <c r="C10329" s="1" t="n">
        <v>45212</v>
      </c>
      <c r="D10329" t="inlineStr">
        <is>
          <t>VÄSTRA GÖTALANDS LÄN</t>
        </is>
      </c>
      <c r="E10329" t="inlineStr">
        <is>
          <t>SOTENÄS</t>
        </is>
      </c>
      <c r="G10329" t="n">
        <v>5.8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24381-2023</t>
        </is>
      </c>
      <c r="B10330" s="1" t="n">
        <v>45076</v>
      </c>
      <c r="C10330" s="1" t="n">
        <v>45212</v>
      </c>
      <c r="D10330" t="inlineStr">
        <is>
          <t>VÄSTRA GÖTALANDS LÄN</t>
        </is>
      </c>
      <c r="E10330" t="inlineStr">
        <is>
          <t>TÖREBODA</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23383-2023</t>
        </is>
      </c>
      <c r="B10331" s="1" t="n">
        <v>45076</v>
      </c>
      <c r="C10331" s="1" t="n">
        <v>45212</v>
      </c>
      <c r="D10331" t="inlineStr">
        <is>
          <t>VÄSTRA GÖTALANDS LÄN</t>
        </is>
      </c>
      <c r="E10331" t="inlineStr">
        <is>
          <t>UDDEVALLA</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23397-2023</t>
        </is>
      </c>
      <c r="B10332" s="1" t="n">
        <v>45076</v>
      </c>
      <c r="C10332" s="1" t="n">
        <v>45212</v>
      </c>
      <c r="D10332" t="inlineStr">
        <is>
          <t>VÄSTRA GÖTALANDS LÄN</t>
        </is>
      </c>
      <c r="E10332" t="inlineStr">
        <is>
          <t>MUNKEDAL</t>
        </is>
      </c>
      <c r="G10332" t="n">
        <v>2.1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23451-2023</t>
        </is>
      </c>
      <c r="B10333" s="1" t="n">
        <v>45076</v>
      </c>
      <c r="C10333" s="1" t="n">
        <v>45212</v>
      </c>
      <c r="D10333" t="inlineStr">
        <is>
          <t>VÄSTRA GÖTALANDS LÄN</t>
        </is>
      </c>
      <c r="E10333" t="inlineStr">
        <is>
          <t>TROLLHÄTTAN</t>
        </is>
      </c>
      <c r="F10333" t="inlineStr">
        <is>
          <t>Kommuner</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23475-2023</t>
        </is>
      </c>
      <c r="B10334" s="1" t="n">
        <v>45076</v>
      </c>
      <c r="C10334" s="1" t="n">
        <v>45212</v>
      </c>
      <c r="D10334" t="inlineStr">
        <is>
          <t>VÄSTRA GÖTALANDS LÄN</t>
        </is>
      </c>
      <c r="E10334" t="inlineStr">
        <is>
          <t>FALKÖPING</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24449-2023</t>
        </is>
      </c>
      <c r="B10335" s="1" t="n">
        <v>45076</v>
      </c>
      <c r="C10335" s="1" t="n">
        <v>45212</v>
      </c>
      <c r="D10335" t="inlineStr">
        <is>
          <t>VÄSTRA GÖTALANDS LÄN</t>
        </is>
      </c>
      <c r="E10335" t="inlineStr">
        <is>
          <t>MARK</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23407-2023</t>
        </is>
      </c>
      <c r="B10336" s="1" t="n">
        <v>45076</v>
      </c>
      <c r="C10336" s="1" t="n">
        <v>45212</v>
      </c>
      <c r="D10336" t="inlineStr">
        <is>
          <t>VÄSTRA GÖTALANDS LÄN</t>
        </is>
      </c>
      <c r="E10336" t="inlineStr">
        <is>
          <t>BENGTSFORS</t>
        </is>
      </c>
      <c r="G10336" t="n">
        <v>0.1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23421-2023</t>
        </is>
      </c>
      <c r="B10337" s="1" t="n">
        <v>45076</v>
      </c>
      <c r="C10337" s="1" t="n">
        <v>45212</v>
      </c>
      <c r="D10337" t="inlineStr">
        <is>
          <t>VÄSTRA GÖTALANDS LÄN</t>
        </is>
      </c>
      <c r="E10337" t="inlineStr">
        <is>
          <t>KARLSBORG</t>
        </is>
      </c>
      <c r="G10337" t="n">
        <v>4.2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23467-2023</t>
        </is>
      </c>
      <c r="B10338" s="1" t="n">
        <v>45076</v>
      </c>
      <c r="C10338" s="1" t="n">
        <v>45212</v>
      </c>
      <c r="D10338" t="inlineStr">
        <is>
          <t>VÄSTRA GÖTALANDS LÄN</t>
        </is>
      </c>
      <c r="E10338" t="inlineStr">
        <is>
          <t>FALKÖPING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23473-2023</t>
        </is>
      </c>
      <c r="B10339" s="1" t="n">
        <v>45076</v>
      </c>
      <c r="C10339" s="1" t="n">
        <v>45212</v>
      </c>
      <c r="D10339" t="inlineStr">
        <is>
          <t>VÄSTRA GÖTALANDS LÄN</t>
        </is>
      </c>
      <c r="E10339" t="inlineStr">
        <is>
          <t>FALKÖPING</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23385-2023</t>
        </is>
      </c>
      <c r="B10340" s="1" t="n">
        <v>45076</v>
      </c>
      <c r="C10340" s="1" t="n">
        <v>45212</v>
      </c>
      <c r="D10340" t="inlineStr">
        <is>
          <t>VÄSTRA GÖTALANDS LÄN</t>
        </is>
      </c>
      <c r="E10340" t="inlineStr">
        <is>
          <t>MARK</t>
        </is>
      </c>
      <c r="G10340" t="n">
        <v>11.8</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23476-2023</t>
        </is>
      </c>
      <c r="B10341" s="1" t="n">
        <v>45076</v>
      </c>
      <c r="C10341" s="1" t="n">
        <v>45212</v>
      </c>
      <c r="D10341" t="inlineStr">
        <is>
          <t>VÄSTRA GÖTALANDS LÄN</t>
        </is>
      </c>
      <c r="E10341" t="inlineStr">
        <is>
          <t>FALKÖPING</t>
        </is>
      </c>
      <c r="G10341" t="n">
        <v>2.5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23500-2023</t>
        </is>
      </c>
      <c r="B10342" s="1" t="n">
        <v>45076</v>
      </c>
      <c r="C10342" s="1" t="n">
        <v>45212</v>
      </c>
      <c r="D10342" t="inlineStr">
        <is>
          <t>VÄSTRA GÖTALANDS LÄN</t>
        </is>
      </c>
      <c r="E10342" t="inlineStr">
        <is>
          <t>KARLSBORG</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24185-2023</t>
        </is>
      </c>
      <c r="B10343" s="1" t="n">
        <v>45076</v>
      </c>
      <c r="C10343" s="1" t="n">
        <v>45212</v>
      </c>
      <c r="D10343" t="inlineStr">
        <is>
          <t>VÄSTRA GÖTALANDS LÄN</t>
        </is>
      </c>
      <c r="E10343" t="inlineStr">
        <is>
          <t>MUNKEDAL</t>
        </is>
      </c>
      <c r="G10343" t="n">
        <v>2.7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23664-2023</t>
        </is>
      </c>
      <c r="B10344" s="1" t="n">
        <v>45077</v>
      </c>
      <c r="C10344" s="1" t="n">
        <v>45212</v>
      </c>
      <c r="D10344" t="inlineStr">
        <is>
          <t>VÄSTRA GÖTALANDS LÄN</t>
        </is>
      </c>
      <c r="E10344" t="inlineStr">
        <is>
          <t>TÖREBODA</t>
        </is>
      </c>
      <c r="F10344" t="inlineStr">
        <is>
          <t>Övriga Aktiebolag</t>
        </is>
      </c>
      <c r="G10344" t="n">
        <v>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23551-2023</t>
        </is>
      </c>
      <c r="B10345" s="1" t="n">
        <v>45077</v>
      </c>
      <c r="C10345" s="1" t="n">
        <v>45212</v>
      </c>
      <c r="D10345" t="inlineStr">
        <is>
          <t>VÄSTRA GÖTALANDS LÄN</t>
        </is>
      </c>
      <c r="E10345" t="inlineStr">
        <is>
          <t>HERRLJUNGA</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23662-2023</t>
        </is>
      </c>
      <c r="B10346" s="1" t="n">
        <v>45077</v>
      </c>
      <c r="C10346" s="1" t="n">
        <v>45212</v>
      </c>
      <c r="D10346" t="inlineStr">
        <is>
          <t>VÄSTRA GÖTALANDS LÄN</t>
        </is>
      </c>
      <c r="E10346" t="inlineStr">
        <is>
          <t>TÖREBODA</t>
        </is>
      </c>
      <c r="F10346" t="inlineStr">
        <is>
          <t>Övriga Aktiebolag</t>
        </is>
      </c>
      <c r="G10346" t="n">
        <v>3.2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23651-2023</t>
        </is>
      </c>
      <c r="B10347" s="1" t="n">
        <v>45077</v>
      </c>
      <c r="C10347" s="1" t="n">
        <v>45212</v>
      </c>
      <c r="D10347" t="inlineStr">
        <is>
          <t>VÄSTRA GÖTALANDS LÄN</t>
        </is>
      </c>
      <c r="E10347" t="inlineStr">
        <is>
          <t>TÖREBODA</t>
        </is>
      </c>
      <c r="F10347" t="inlineStr">
        <is>
          <t>Övriga Aktiebolag</t>
        </is>
      </c>
      <c r="G10347" t="n">
        <v>5.7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23877-2023</t>
        </is>
      </c>
      <c r="B10348" s="1" t="n">
        <v>45078</v>
      </c>
      <c r="C10348" s="1" t="n">
        <v>45212</v>
      </c>
      <c r="D10348" t="inlineStr">
        <is>
          <t>VÄSTRA GÖTALANDS LÄN</t>
        </is>
      </c>
      <c r="E10348" t="inlineStr">
        <is>
          <t>FALKÖPING</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24074-2023</t>
        </is>
      </c>
      <c r="B10349" s="1" t="n">
        <v>45078</v>
      </c>
      <c r="C10349" s="1" t="n">
        <v>45212</v>
      </c>
      <c r="D10349" t="inlineStr">
        <is>
          <t>VÄSTRA GÖTALANDS LÄN</t>
        </is>
      </c>
      <c r="E10349" t="inlineStr">
        <is>
          <t>FÄRGELANDA</t>
        </is>
      </c>
      <c r="G10349" t="n">
        <v>0.5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24075-2023</t>
        </is>
      </c>
      <c r="B10350" s="1" t="n">
        <v>45078</v>
      </c>
      <c r="C10350" s="1" t="n">
        <v>45212</v>
      </c>
      <c r="D10350" t="inlineStr">
        <is>
          <t>VÄSTRA GÖTALANDS LÄN</t>
        </is>
      </c>
      <c r="E10350" t="inlineStr">
        <is>
          <t>FÄRGELANDA</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23802-2023</t>
        </is>
      </c>
      <c r="B10351" s="1" t="n">
        <v>45078</v>
      </c>
      <c r="C10351" s="1" t="n">
        <v>45212</v>
      </c>
      <c r="D10351" t="inlineStr">
        <is>
          <t>VÄSTRA GÖTALANDS LÄN</t>
        </is>
      </c>
      <c r="E10351" t="inlineStr">
        <is>
          <t>TANUM</t>
        </is>
      </c>
      <c r="F10351" t="inlineStr">
        <is>
          <t>Naturvårdsverket</t>
        </is>
      </c>
      <c r="G10351" t="n">
        <v>5.3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23965-2023</t>
        </is>
      </c>
      <c r="B10352" s="1" t="n">
        <v>45078</v>
      </c>
      <c r="C10352" s="1" t="n">
        <v>45212</v>
      </c>
      <c r="D10352" t="inlineStr">
        <is>
          <t>VÄSTRA GÖTALANDS LÄN</t>
        </is>
      </c>
      <c r="E10352" t="inlineStr">
        <is>
          <t>GRÄSTORP</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24044-2023</t>
        </is>
      </c>
      <c r="B10353" s="1" t="n">
        <v>45078</v>
      </c>
      <c r="C10353" s="1" t="n">
        <v>45212</v>
      </c>
      <c r="D10353" t="inlineStr">
        <is>
          <t>VÄSTRA GÖTALANDS LÄN</t>
        </is>
      </c>
      <c r="E10353" t="inlineStr">
        <is>
          <t>ÅMÅL</t>
        </is>
      </c>
      <c r="G10353" t="n">
        <v>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24021-2023</t>
        </is>
      </c>
      <c r="B10354" s="1" t="n">
        <v>45078</v>
      </c>
      <c r="C10354" s="1" t="n">
        <v>45212</v>
      </c>
      <c r="D10354" t="inlineStr">
        <is>
          <t>VÄSTRA GÖTALANDS LÄN</t>
        </is>
      </c>
      <c r="E10354" t="inlineStr">
        <is>
          <t>DALS-ED</t>
        </is>
      </c>
      <c r="G10354" t="n">
        <v>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24116-2023</t>
        </is>
      </c>
      <c r="B10355" s="1" t="n">
        <v>45079</v>
      </c>
      <c r="C10355" s="1" t="n">
        <v>45212</v>
      </c>
      <c r="D10355" t="inlineStr">
        <is>
          <t>VÄSTRA GÖTALANDS LÄN</t>
        </is>
      </c>
      <c r="E10355" t="inlineStr">
        <is>
          <t>BENGTSFORS</t>
        </is>
      </c>
      <c r="G10355" t="n">
        <v>3.8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25284-2023</t>
        </is>
      </c>
      <c r="B10356" s="1" t="n">
        <v>45079</v>
      </c>
      <c r="C10356" s="1" t="n">
        <v>45212</v>
      </c>
      <c r="D10356" t="inlineStr">
        <is>
          <t>VÄSTRA GÖTALANDS LÄN</t>
        </is>
      </c>
      <c r="E10356" t="inlineStr">
        <is>
          <t>DALS-ED</t>
        </is>
      </c>
      <c r="G10356" t="n">
        <v>0.9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24176-2023</t>
        </is>
      </c>
      <c r="B10357" s="1" t="n">
        <v>45079</v>
      </c>
      <c r="C10357" s="1" t="n">
        <v>45212</v>
      </c>
      <c r="D10357" t="inlineStr">
        <is>
          <t>VÄSTRA GÖTALANDS LÄN</t>
        </is>
      </c>
      <c r="E10357" t="inlineStr">
        <is>
          <t>VÅRGÅRDA</t>
        </is>
      </c>
      <c r="G10357" t="n">
        <v>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24218-2023</t>
        </is>
      </c>
      <c r="B10358" s="1" t="n">
        <v>45079</v>
      </c>
      <c r="C10358" s="1" t="n">
        <v>45212</v>
      </c>
      <c r="D10358" t="inlineStr">
        <is>
          <t>VÄSTRA GÖTALANDS LÄN</t>
        </is>
      </c>
      <c r="E10358" t="inlineStr">
        <is>
          <t>TANUM</t>
        </is>
      </c>
      <c r="G10358" t="n">
        <v>7.7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24121-2023</t>
        </is>
      </c>
      <c r="B10359" s="1" t="n">
        <v>45079</v>
      </c>
      <c r="C10359" s="1" t="n">
        <v>45212</v>
      </c>
      <c r="D10359" t="inlineStr">
        <is>
          <t>VÄSTRA GÖTALANDS LÄN</t>
        </is>
      </c>
      <c r="E10359" t="inlineStr">
        <is>
          <t>TRANEMO</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24163-2023</t>
        </is>
      </c>
      <c r="B10360" s="1" t="n">
        <v>45079</v>
      </c>
      <c r="C10360" s="1" t="n">
        <v>45212</v>
      </c>
      <c r="D10360" t="inlineStr">
        <is>
          <t>VÄSTRA GÖTALANDS LÄN</t>
        </is>
      </c>
      <c r="E10360" t="inlineStr">
        <is>
          <t>MARK</t>
        </is>
      </c>
      <c r="G10360" t="n">
        <v>3.4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24167-2023</t>
        </is>
      </c>
      <c r="B10361" s="1" t="n">
        <v>45079</v>
      </c>
      <c r="C10361" s="1" t="n">
        <v>45212</v>
      </c>
      <c r="D10361" t="inlineStr">
        <is>
          <t>VÄSTRA GÖTALANDS LÄN</t>
        </is>
      </c>
      <c r="E10361" t="inlineStr">
        <is>
          <t>SVENLJUNGA</t>
        </is>
      </c>
      <c r="G10361" t="n">
        <v>2.5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24207-2023</t>
        </is>
      </c>
      <c r="B10362" s="1" t="n">
        <v>45079</v>
      </c>
      <c r="C10362" s="1" t="n">
        <v>45212</v>
      </c>
      <c r="D10362" t="inlineStr">
        <is>
          <t>VÄSTRA GÖTALANDS LÄN</t>
        </is>
      </c>
      <c r="E10362" t="inlineStr">
        <is>
          <t>ALE</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24378-2023</t>
        </is>
      </c>
      <c r="B10363" s="1" t="n">
        <v>45082</v>
      </c>
      <c r="C10363" s="1" t="n">
        <v>45212</v>
      </c>
      <c r="D10363" t="inlineStr">
        <is>
          <t>VÄSTRA GÖTALANDS LÄN</t>
        </is>
      </c>
      <c r="E10363" t="inlineStr">
        <is>
          <t>VÄNERSBORG</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24475-2023</t>
        </is>
      </c>
      <c r="B10364" s="1" t="n">
        <v>45082</v>
      </c>
      <c r="C10364" s="1" t="n">
        <v>45212</v>
      </c>
      <c r="D10364" t="inlineStr">
        <is>
          <t>VÄSTRA GÖTALANDS LÄN</t>
        </is>
      </c>
      <c r="E10364" t="inlineStr">
        <is>
          <t>HERRLJUNGA</t>
        </is>
      </c>
      <c r="F10364" t="inlineStr">
        <is>
          <t>Sveaskog</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24494-2023</t>
        </is>
      </c>
      <c r="B10365" s="1" t="n">
        <v>45082</v>
      </c>
      <c r="C10365" s="1" t="n">
        <v>45212</v>
      </c>
      <c r="D10365" t="inlineStr">
        <is>
          <t>VÄSTRA GÖTALANDS LÄN</t>
        </is>
      </c>
      <c r="E10365" t="inlineStr">
        <is>
          <t>HERRLJUNGA</t>
        </is>
      </c>
      <c r="F10365" t="inlineStr">
        <is>
          <t>Sveaskog</t>
        </is>
      </c>
      <c r="G10365" t="n">
        <v>6.8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24407-2023</t>
        </is>
      </c>
      <c r="B10366" s="1" t="n">
        <v>45082</v>
      </c>
      <c r="C10366" s="1" t="n">
        <v>45212</v>
      </c>
      <c r="D10366" t="inlineStr">
        <is>
          <t>VÄSTRA GÖTALANDS LÄN</t>
        </is>
      </c>
      <c r="E10366" t="inlineStr">
        <is>
          <t>FALKÖPING</t>
        </is>
      </c>
      <c r="G10366" t="n">
        <v>3.1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24420-2023</t>
        </is>
      </c>
      <c r="B10367" s="1" t="n">
        <v>45082</v>
      </c>
      <c r="C10367" s="1" t="n">
        <v>45212</v>
      </c>
      <c r="D10367" t="inlineStr">
        <is>
          <t>VÄSTRA GÖTALANDS LÄN</t>
        </is>
      </c>
      <c r="E10367" t="inlineStr">
        <is>
          <t>ÅMÅL</t>
        </is>
      </c>
      <c r="G10367" t="n">
        <v>1.1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24476-2023</t>
        </is>
      </c>
      <c r="B10368" s="1" t="n">
        <v>45082</v>
      </c>
      <c r="C10368" s="1" t="n">
        <v>45212</v>
      </c>
      <c r="D10368" t="inlineStr">
        <is>
          <t>VÄSTRA GÖTALANDS LÄN</t>
        </is>
      </c>
      <c r="E10368" t="inlineStr">
        <is>
          <t>SKÖVDE</t>
        </is>
      </c>
      <c r="G10368" t="n">
        <v>2.1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24439-2023</t>
        </is>
      </c>
      <c r="B10369" s="1" t="n">
        <v>45082</v>
      </c>
      <c r="C10369" s="1" t="n">
        <v>45212</v>
      </c>
      <c r="D10369" t="inlineStr">
        <is>
          <t>VÄSTRA GÖTALANDS LÄN</t>
        </is>
      </c>
      <c r="E10369" t="inlineStr">
        <is>
          <t>SVENLJUNGA</t>
        </is>
      </c>
      <c r="F10369" t="inlineStr">
        <is>
          <t>Kommuner</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25554-2023</t>
        </is>
      </c>
      <c r="B10370" s="1" t="n">
        <v>45082</v>
      </c>
      <c r="C10370" s="1" t="n">
        <v>45212</v>
      </c>
      <c r="D10370" t="inlineStr">
        <is>
          <t>VÄSTRA GÖTALANDS LÄN</t>
        </is>
      </c>
      <c r="E10370" t="inlineStr">
        <is>
          <t>GULLSPÅNG</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24403-2023</t>
        </is>
      </c>
      <c r="B10371" s="1" t="n">
        <v>45082</v>
      </c>
      <c r="C10371" s="1" t="n">
        <v>45212</v>
      </c>
      <c r="D10371" t="inlineStr">
        <is>
          <t>VÄSTRA GÖTALANDS LÄN</t>
        </is>
      </c>
      <c r="E10371" t="inlineStr">
        <is>
          <t>FALKÖPING</t>
        </is>
      </c>
      <c r="F10371" t="inlineStr">
        <is>
          <t>Kyrkan</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24438-2023</t>
        </is>
      </c>
      <c r="B10372" s="1" t="n">
        <v>45082</v>
      </c>
      <c r="C10372" s="1" t="n">
        <v>45212</v>
      </c>
      <c r="D10372" t="inlineStr">
        <is>
          <t>VÄSTRA GÖTALANDS LÄN</t>
        </is>
      </c>
      <c r="E10372" t="inlineStr">
        <is>
          <t>SVENLJUNGA</t>
        </is>
      </c>
      <c r="F10372" t="inlineStr">
        <is>
          <t>Kommuner</t>
        </is>
      </c>
      <c r="G10372" t="n">
        <v>0.5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24461-2023</t>
        </is>
      </c>
      <c r="B10373" s="1" t="n">
        <v>45082</v>
      </c>
      <c r="C10373" s="1" t="n">
        <v>45212</v>
      </c>
      <c r="D10373" t="inlineStr">
        <is>
          <t>VÄSTRA GÖTALANDS LÄN</t>
        </is>
      </c>
      <c r="E10373" t="inlineStr">
        <is>
          <t>KUNGÄLV</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24677-2023</t>
        </is>
      </c>
      <c r="B10374" s="1" t="n">
        <v>45084</v>
      </c>
      <c r="C10374" s="1" t="n">
        <v>45212</v>
      </c>
      <c r="D10374" t="inlineStr">
        <is>
          <t>VÄSTRA GÖTALANDS LÄN</t>
        </is>
      </c>
      <c r="E10374" t="inlineStr">
        <is>
          <t>ULRICEHAMN</t>
        </is>
      </c>
      <c r="F10374" t="inlineStr">
        <is>
          <t>Sveaskog</t>
        </is>
      </c>
      <c r="G10374" t="n">
        <v>7.5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24693-2023</t>
        </is>
      </c>
      <c r="B10375" s="1" t="n">
        <v>45084</v>
      </c>
      <c r="C10375" s="1" t="n">
        <v>45212</v>
      </c>
      <c r="D10375" t="inlineStr">
        <is>
          <t>VÄSTRA GÖTALANDS LÄN</t>
        </is>
      </c>
      <c r="E10375" t="inlineStr">
        <is>
          <t>FALKÖPING</t>
        </is>
      </c>
      <c r="G10375" t="n">
        <v>2.9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24721-2023</t>
        </is>
      </c>
      <c r="B10376" s="1" t="n">
        <v>45084</v>
      </c>
      <c r="C10376" s="1" t="n">
        <v>45212</v>
      </c>
      <c r="D10376" t="inlineStr">
        <is>
          <t>VÄSTRA GÖTALANDS LÄN</t>
        </is>
      </c>
      <c r="E10376" t="inlineStr">
        <is>
          <t>FALKÖPING</t>
        </is>
      </c>
      <c r="G10376" t="n">
        <v>1.4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24731-2023</t>
        </is>
      </c>
      <c r="B10377" s="1" t="n">
        <v>45084</v>
      </c>
      <c r="C10377" s="1" t="n">
        <v>45212</v>
      </c>
      <c r="D10377" t="inlineStr">
        <is>
          <t>VÄSTRA GÖTALANDS LÄN</t>
        </is>
      </c>
      <c r="E10377" t="inlineStr">
        <is>
          <t>MARK</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24678-2023</t>
        </is>
      </c>
      <c r="B10378" s="1" t="n">
        <v>45084</v>
      </c>
      <c r="C10378" s="1" t="n">
        <v>45212</v>
      </c>
      <c r="D10378" t="inlineStr">
        <is>
          <t>VÄSTRA GÖTALANDS LÄN</t>
        </is>
      </c>
      <c r="E10378" t="inlineStr">
        <is>
          <t>ULRICEHAMN</t>
        </is>
      </c>
      <c r="F10378" t="inlineStr">
        <is>
          <t>Sveaskog</t>
        </is>
      </c>
      <c r="G10378" t="n">
        <v>2.3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24790-2023</t>
        </is>
      </c>
      <c r="B10379" s="1" t="n">
        <v>45084</v>
      </c>
      <c r="C10379" s="1" t="n">
        <v>45212</v>
      </c>
      <c r="D10379" t="inlineStr">
        <is>
          <t>VÄSTRA GÖTALANDS LÄN</t>
        </is>
      </c>
      <c r="E10379" t="inlineStr">
        <is>
          <t>SVENLJUNGA</t>
        </is>
      </c>
      <c r="G10379" t="n">
        <v>3.1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24812-2023</t>
        </is>
      </c>
      <c r="B10380" s="1" t="n">
        <v>45084</v>
      </c>
      <c r="C10380" s="1" t="n">
        <v>45212</v>
      </c>
      <c r="D10380" t="inlineStr">
        <is>
          <t>VÄSTRA GÖTALANDS LÄN</t>
        </is>
      </c>
      <c r="E10380" t="inlineStr">
        <is>
          <t>MUNKEDAL</t>
        </is>
      </c>
      <c r="G10380" t="n">
        <v>2.4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24736-2023</t>
        </is>
      </c>
      <c r="B10381" s="1" t="n">
        <v>45084</v>
      </c>
      <c r="C10381" s="1" t="n">
        <v>45212</v>
      </c>
      <c r="D10381" t="inlineStr">
        <is>
          <t>VÄSTRA GÖTALANDS LÄN</t>
        </is>
      </c>
      <c r="E10381" t="inlineStr">
        <is>
          <t>MARIESTAD</t>
        </is>
      </c>
      <c r="G10381" t="n">
        <v>31.7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24791-2023</t>
        </is>
      </c>
      <c r="B10382" s="1" t="n">
        <v>45084</v>
      </c>
      <c r="C10382" s="1" t="n">
        <v>45212</v>
      </c>
      <c r="D10382" t="inlineStr">
        <is>
          <t>VÄSTRA GÖTALANDS LÄN</t>
        </is>
      </c>
      <c r="E10382" t="inlineStr">
        <is>
          <t>FÄRGELANDA</t>
        </is>
      </c>
      <c r="G10382" t="n">
        <v>4.3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24807-2023</t>
        </is>
      </c>
      <c r="B10383" s="1" t="n">
        <v>45084</v>
      </c>
      <c r="C10383" s="1" t="n">
        <v>45212</v>
      </c>
      <c r="D10383" t="inlineStr">
        <is>
          <t>VÄSTRA GÖTALANDS LÄN</t>
        </is>
      </c>
      <c r="E10383" t="inlineStr">
        <is>
          <t>STENUNGSUND</t>
        </is>
      </c>
      <c r="G10383" t="n">
        <v>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24813-2023</t>
        </is>
      </c>
      <c r="B10384" s="1" t="n">
        <v>45084</v>
      </c>
      <c r="C10384" s="1" t="n">
        <v>45212</v>
      </c>
      <c r="D10384" t="inlineStr">
        <is>
          <t>VÄSTRA GÖTALANDS LÄN</t>
        </is>
      </c>
      <c r="E10384" t="inlineStr">
        <is>
          <t>MARK</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25721-2023</t>
        </is>
      </c>
      <c r="B10385" s="1" t="n">
        <v>45084</v>
      </c>
      <c r="C10385" s="1" t="n">
        <v>45212</v>
      </c>
      <c r="D10385" t="inlineStr">
        <is>
          <t>VÄSTRA GÖTALANDS LÄN</t>
        </is>
      </c>
      <c r="E10385" t="inlineStr">
        <is>
          <t>ULRICEHAMN</t>
        </is>
      </c>
      <c r="G10385" t="n">
        <v>1.8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24686-2023</t>
        </is>
      </c>
      <c r="B10386" s="1" t="n">
        <v>45084</v>
      </c>
      <c r="C10386" s="1" t="n">
        <v>45212</v>
      </c>
      <c r="D10386" t="inlineStr">
        <is>
          <t>VÄSTRA GÖTALANDS LÄN</t>
        </is>
      </c>
      <c r="E10386" t="inlineStr">
        <is>
          <t>ULRICEHAMN</t>
        </is>
      </c>
      <c r="F10386" t="inlineStr">
        <is>
          <t>Sveaskog</t>
        </is>
      </c>
      <c r="G10386" t="n">
        <v>4.3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24697-2023</t>
        </is>
      </c>
      <c r="B10387" s="1" t="n">
        <v>45084</v>
      </c>
      <c r="C10387" s="1" t="n">
        <v>45212</v>
      </c>
      <c r="D10387" t="inlineStr">
        <is>
          <t>VÄSTRA GÖTALANDS LÄN</t>
        </is>
      </c>
      <c r="E10387" t="inlineStr">
        <is>
          <t>TANUM</t>
        </is>
      </c>
      <c r="G10387" t="n">
        <v>5.3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24702-2023</t>
        </is>
      </c>
      <c r="B10388" s="1" t="n">
        <v>45084</v>
      </c>
      <c r="C10388" s="1" t="n">
        <v>45212</v>
      </c>
      <c r="D10388" t="inlineStr">
        <is>
          <t>VÄSTRA GÖTALANDS LÄN</t>
        </is>
      </c>
      <c r="E10388" t="inlineStr">
        <is>
          <t>ULRICEHAMN</t>
        </is>
      </c>
      <c r="F10388" t="inlineStr">
        <is>
          <t>Sveaskog</t>
        </is>
      </c>
      <c r="G10388" t="n">
        <v>6.8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24880-2023</t>
        </is>
      </c>
      <c r="B10389" s="1" t="n">
        <v>45085</v>
      </c>
      <c r="C10389" s="1" t="n">
        <v>45212</v>
      </c>
      <c r="D10389" t="inlineStr">
        <is>
          <t>VÄSTRA GÖTALANDS LÄN</t>
        </is>
      </c>
      <c r="E10389" t="inlineStr">
        <is>
          <t>TANUM</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24924-2023</t>
        </is>
      </c>
      <c r="B10390" s="1" t="n">
        <v>45085</v>
      </c>
      <c r="C10390" s="1" t="n">
        <v>45212</v>
      </c>
      <c r="D10390" t="inlineStr">
        <is>
          <t>VÄSTRA GÖTALANDS LÄN</t>
        </is>
      </c>
      <c r="E10390" t="inlineStr">
        <is>
          <t>TÖREBODA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24991-2023</t>
        </is>
      </c>
      <c r="B10391" s="1" t="n">
        <v>45085</v>
      </c>
      <c r="C10391" s="1" t="n">
        <v>45212</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25009-2023</t>
        </is>
      </c>
      <c r="B10392" s="1" t="n">
        <v>45085</v>
      </c>
      <c r="C10392" s="1" t="n">
        <v>45212</v>
      </c>
      <c r="D10392" t="inlineStr">
        <is>
          <t>VÄSTRA GÖTALANDS LÄN</t>
        </is>
      </c>
      <c r="E10392" t="inlineStr">
        <is>
          <t>LYSEKIL</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25884-2023</t>
        </is>
      </c>
      <c r="B10393" s="1" t="n">
        <v>45085</v>
      </c>
      <c r="C10393" s="1" t="n">
        <v>45212</v>
      </c>
      <c r="D10393" t="inlineStr">
        <is>
          <t>VÄSTRA GÖTALANDS LÄN</t>
        </is>
      </c>
      <c r="E10393" t="inlineStr">
        <is>
          <t>STRÖMSTAD</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24985-2023</t>
        </is>
      </c>
      <c r="B10394" s="1" t="n">
        <v>45085</v>
      </c>
      <c r="C10394" s="1" t="n">
        <v>45212</v>
      </c>
      <c r="D10394" t="inlineStr">
        <is>
          <t>VÄSTRA GÖTALANDS LÄN</t>
        </is>
      </c>
      <c r="E10394" t="inlineStr">
        <is>
          <t>GRÄSTORP</t>
        </is>
      </c>
      <c r="G10394" t="n">
        <v>7.4</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24996-2023</t>
        </is>
      </c>
      <c r="B10395" s="1" t="n">
        <v>45085</v>
      </c>
      <c r="C10395" s="1" t="n">
        <v>45212</v>
      </c>
      <c r="D10395" t="inlineStr">
        <is>
          <t>VÄSTRA GÖTALANDS LÄN</t>
        </is>
      </c>
      <c r="E10395" t="inlineStr">
        <is>
          <t>ULRICEHAMN</t>
        </is>
      </c>
      <c r="G10395" t="n">
        <v>1.3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24870-2023</t>
        </is>
      </c>
      <c r="B10396" s="1" t="n">
        <v>45085</v>
      </c>
      <c r="C10396" s="1" t="n">
        <v>45212</v>
      </c>
      <c r="D10396" t="inlineStr">
        <is>
          <t>VÄSTRA GÖTALANDS LÄN</t>
        </is>
      </c>
      <c r="E10396" t="inlineStr">
        <is>
          <t>FALKÖPING</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24930-2023</t>
        </is>
      </c>
      <c r="B10397" s="1" t="n">
        <v>45085</v>
      </c>
      <c r="C10397" s="1" t="n">
        <v>45212</v>
      </c>
      <c r="D10397" t="inlineStr">
        <is>
          <t>VÄSTRA GÖTALANDS LÄN</t>
        </is>
      </c>
      <c r="E10397" t="inlineStr">
        <is>
          <t>GRÄSTORP</t>
        </is>
      </c>
      <c r="G10397" t="n">
        <v>21.8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25453-2023</t>
        </is>
      </c>
      <c r="B10398" s="1" t="n">
        <v>45085</v>
      </c>
      <c r="C10398" s="1" t="n">
        <v>45212</v>
      </c>
      <c r="D10398" t="inlineStr">
        <is>
          <t>VÄSTRA GÖTALANDS LÄN</t>
        </is>
      </c>
      <c r="E10398" t="inlineStr">
        <is>
          <t>ÅMÅL</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25880-2023</t>
        </is>
      </c>
      <c r="B10399" s="1" t="n">
        <v>45085</v>
      </c>
      <c r="C10399" s="1" t="n">
        <v>45212</v>
      </c>
      <c r="D10399" t="inlineStr">
        <is>
          <t>VÄSTRA GÖTALANDS LÄN</t>
        </is>
      </c>
      <c r="E10399" t="inlineStr">
        <is>
          <t>STRÖMSTAD</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24869-2023</t>
        </is>
      </c>
      <c r="B10400" s="1" t="n">
        <v>45085</v>
      </c>
      <c r="C10400" s="1" t="n">
        <v>45212</v>
      </c>
      <c r="D10400" t="inlineStr">
        <is>
          <t>VÄSTRA GÖTALANDS LÄN</t>
        </is>
      </c>
      <c r="E10400" t="inlineStr">
        <is>
          <t>FALKÖPING</t>
        </is>
      </c>
      <c r="G10400" t="n">
        <v>1.3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24997-2023</t>
        </is>
      </c>
      <c r="B10401" s="1" t="n">
        <v>45085</v>
      </c>
      <c r="C10401" s="1" t="n">
        <v>45212</v>
      </c>
      <c r="D10401" t="inlineStr">
        <is>
          <t>VÄSTRA GÖTALANDS LÄN</t>
        </is>
      </c>
      <c r="E10401" t="inlineStr">
        <is>
          <t>TANUM</t>
        </is>
      </c>
      <c r="G10401" t="n">
        <v>1.2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25004-2023</t>
        </is>
      </c>
      <c r="B10402" s="1" t="n">
        <v>45085</v>
      </c>
      <c r="C10402" s="1" t="n">
        <v>45212</v>
      </c>
      <c r="D10402" t="inlineStr">
        <is>
          <t>VÄSTRA GÖTALANDS LÄN</t>
        </is>
      </c>
      <c r="E10402" t="inlineStr">
        <is>
          <t>TANUM</t>
        </is>
      </c>
      <c r="G10402" t="n">
        <v>1.1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25073-2023</t>
        </is>
      </c>
      <c r="B10403" s="1" t="n">
        <v>45086</v>
      </c>
      <c r="C10403" s="1" t="n">
        <v>45212</v>
      </c>
      <c r="D10403" t="inlineStr">
        <is>
          <t>VÄSTRA GÖTALANDS LÄN</t>
        </is>
      </c>
      <c r="E10403" t="inlineStr">
        <is>
          <t>ULRICEHAMN</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25223-2023</t>
        </is>
      </c>
      <c r="B10404" s="1" t="n">
        <v>45086</v>
      </c>
      <c r="C10404" s="1" t="n">
        <v>45212</v>
      </c>
      <c r="D10404" t="inlineStr">
        <is>
          <t>VÄSTRA GÖTALANDS LÄN</t>
        </is>
      </c>
      <c r="E10404" t="inlineStr">
        <is>
          <t>FÄRGELANDA</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25078-2023</t>
        </is>
      </c>
      <c r="B10405" s="1" t="n">
        <v>45086</v>
      </c>
      <c r="C10405" s="1" t="n">
        <v>45212</v>
      </c>
      <c r="D10405" t="inlineStr">
        <is>
          <t>VÄSTRA GÖTALANDS LÄN</t>
        </is>
      </c>
      <c r="E10405" t="inlineStr">
        <is>
          <t>ULRICEHAMN</t>
        </is>
      </c>
      <c r="G10405" t="n">
        <v>3.6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25173-2023</t>
        </is>
      </c>
      <c r="B10406" s="1" t="n">
        <v>45086</v>
      </c>
      <c r="C10406" s="1" t="n">
        <v>45212</v>
      </c>
      <c r="D10406" t="inlineStr">
        <is>
          <t>VÄSTRA GÖTALANDS LÄN</t>
        </is>
      </c>
      <c r="E10406" t="inlineStr">
        <is>
          <t>ULRICEHAMN</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26304-2023</t>
        </is>
      </c>
      <c r="B10407" s="1" t="n">
        <v>45086</v>
      </c>
      <c r="C10407" s="1" t="n">
        <v>45212</v>
      </c>
      <c r="D10407" t="inlineStr">
        <is>
          <t>VÄSTRA GÖTALANDS LÄN</t>
        </is>
      </c>
      <c r="E10407" t="inlineStr">
        <is>
          <t>ÅMÅL</t>
        </is>
      </c>
      <c r="F10407" t="inlineStr">
        <is>
          <t>Bergvik skog väst AB</t>
        </is>
      </c>
      <c r="G10407" t="n">
        <v>5.4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25070-2023</t>
        </is>
      </c>
      <c r="B10408" s="1" t="n">
        <v>45086</v>
      </c>
      <c r="C10408" s="1" t="n">
        <v>45212</v>
      </c>
      <c r="D10408" t="inlineStr">
        <is>
          <t>VÄSTRA GÖTALANDS LÄN</t>
        </is>
      </c>
      <c r="E10408" t="inlineStr">
        <is>
          <t>ULRICEHAMN</t>
        </is>
      </c>
      <c r="G10408" t="n">
        <v>3.9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25171-2023</t>
        </is>
      </c>
      <c r="B10409" s="1" t="n">
        <v>45086</v>
      </c>
      <c r="C10409" s="1" t="n">
        <v>45212</v>
      </c>
      <c r="D10409" t="inlineStr">
        <is>
          <t>VÄSTRA GÖTALANDS LÄN</t>
        </is>
      </c>
      <c r="E10409" t="inlineStr">
        <is>
          <t>SKÖVDE</t>
        </is>
      </c>
      <c r="G10409" t="n">
        <v>0.7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25080-2023</t>
        </is>
      </c>
      <c r="B10410" s="1" t="n">
        <v>45086</v>
      </c>
      <c r="C10410" s="1" t="n">
        <v>45212</v>
      </c>
      <c r="D10410" t="inlineStr">
        <is>
          <t>VÄSTRA GÖTALANDS LÄN</t>
        </is>
      </c>
      <c r="E10410" t="inlineStr">
        <is>
          <t>SVENLJUNGA</t>
        </is>
      </c>
      <c r="G10410" t="n">
        <v>1.7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25176-2023</t>
        </is>
      </c>
      <c r="B10411" s="1" t="n">
        <v>45086</v>
      </c>
      <c r="C10411" s="1" t="n">
        <v>45212</v>
      </c>
      <c r="D10411" t="inlineStr">
        <is>
          <t>VÄSTRA GÖTALANDS LÄN</t>
        </is>
      </c>
      <c r="E10411" t="inlineStr">
        <is>
          <t>SKARA</t>
        </is>
      </c>
      <c r="G10411" t="n">
        <v>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25341-2023</t>
        </is>
      </c>
      <c r="B10412" s="1" t="n">
        <v>45087</v>
      </c>
      <c r="C10412" s="1" t="n">
        <v>45212</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25339-2023</t>
        </is>
      </c>
      <c r="B10413" s="1" t="n">
        <v>45087</v>
      </c>
      <c r="C10413" s="1" t="n">
        <v>45212</v>
      </c>
      <c r="D10413" t="inlineStr">
        <is>
          <t>VÄSTRA GÖTALANDS LÄN</t>
        </is>
      </c>
      <c r="E10413" t="inlineStr">
        <is>
          <t>ULRICEHAMN</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25342-2023</t>
        </is>
      </c>
      <c r="B10414" s="1" t="n">
        <v>45087</v>
      </c>
      <c r="C10414" s="1" t="n">
        <v>45212</v>
      </c>
      <c r="D10414" t="inlineStr">
        <is>
          <t>VÄSTRA GÖTALANDS LÄN</t>
        </is>
      </c>
      <c r="E10414" t="inlineStr">
        <is>
          <t>ULRICEHAMN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25340-2023</t>
        </is>
      </c>
      <c r="B10415" s="1" t="n">
        <v>45087</v>
      </c>
      <c r="C10415" s="1" t="n">
        <v>45212</v>
      </c>
      <c r="D10415" t="inlineStr">
        <is>
          <t>VÄSTRA GÖTALANDS LÄN</t>
        </is>
      </c>
      <c r="E10415" t="inlineStr">
        <is>
          <t>ULRICEHAMN</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25395-2023</t>
        </is>
      </c>
      <c r="B10416" s="1" t="n">
        <v>45089</v>
      </c>
      <c r="C10416" s="1" t="n">
        <v>45212</v>
      </c>
      <c r="D10416" t="inlineStr">
        <is>
          <t>VÄSTRA GÖTALANDS LÄN</t>
        </is>
      </c>
      <c r="E10416" t="inlineStr">
        <is>
          <t>TRANEMO</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25504-2023</t>
        </is>
      </c>
      <c r="B10417" s="1" t="n">
        <v>45089</v>
      </c>
      <c r="C10417" s="1" t="n">
        <v>45212</v>
      </c>
      <c r="D10417" t="inlineStr">
        <is>
          <t>VÄSTRA GÖTALANDS LÄN</t>
        </is>
      </c>
      <c r="E10417" t="inlineStr">
        <is>
          <t>HERRLJUNGA</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25651-2023</t>
        </is>
      </c>
      <c r="B10418" s="1" t="n">
        <v>45089</v>
      </c>
      <c r="C10418" s="1" t="n">
        <v>45212</v>
      </c>
      <c r="D10418" t="inlineStr">
        <is>
          <t>VÄSTRA GÖTALANDS LÄN</t>
        </is>
      </c>
      <c r="E10418" t="inlineStr">
        <is>
          <t>ULRICEHAMN</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25399-2023</t>
        </is>
      </c>
      <c r="B10419" s="1" t="n">
        <v>45089</v>
      </c>
      <c r="C10419" s="1" t="n">
        <v>45212</v>
      </c>
      <c r="D10419" t="inlineStr">
        <is>
          <t>VÄSTRA GÖTALANDS LÄN</t>
        </is>
      </c>
      <c r="E10419" t="inlineStr">
        <is>
          <t>MELLERUD</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25426-2023</t>
        </is>
      </c>
      <c r="B10420" s="1" t="n">
        <v>45089</v>
      </c>
      <c r="C10420" s="1" t="n">
        <v>45212</v>
      </c>
      <c r="D10420" t="inlineStr">
        <is>
          <t>VÄSTRA GÖTALANDS LÄN</t>
        </is>
      </c>
      <c r="E10420" t="inlineStr">
        <is>
          <t>TÖREBODA</t>
        </is>
      </c>
      <c r="G10420" t="n">
        <v>1.2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25499-2023</t>
        </is>
      </c>
      <c r="B10421" s="1" t="n">
        <v>45089</v>
      </c>
      <c r="C10421" s="1" t="n">
        <v>45212</v>
      </c>
      <c r="D10421" t="inlineStr">
        <is>
          <t>VÄSTRA GÖTALANDS LÄN</t>
        </is>
      </c>
      <c r="E10421" t="inlineStr">
        <is>
          <t>ULRICEHAMN</t>
        </is>
      </c>
      <c r="G10421" t="n">
        <v>9.800000000000001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25520-2023</t>
        </is>
      </c>
      <c r="B10422" s="1" t="n">
        <v>45089</v>
      </c>
      <c r="C10422" s="1" t="n">
        <v>45212</v>
      </c>
      <c r="D10422" t="inlineStr">
        <is>
          <t>VÄSTRA GÖTALANDS LÄN</t>
        </is>
      </c>
      <c r="E10422" t="inlineStr">
        <is>
          <t>FALKÖPING</t>
        </is>
      </c>
      <c r="G10422" t="n">
        <v>6.3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25538-2023</t>
        </is>
      </c>
      <c r="B10423" s="1" t="n">
        <v>45089</v>
      </c>
      <c r="C10423" s="1" t="n">
        <v>45212</v>
      </c>
      <c r="D10423" t="inlineStr">
        <is>
          <t>VÄSTRA GÖTALANDS LÄN</t>
        </is>
      </c>
      <c r="E10423" t="inlineStr">
        <is>
          <t>FALKÖPING</t>
        </is>
      </c>
      <c r="G10423" t="n">
        <v>8.199999999999999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25402-2023</t>
        </is>
      </c>
      <c r="B10424" s="1" t="n">
        <v>45089</v>
      </c>
      <c r="C10424" s="1" t="n">
        <v>45212</v>
      </c>
      <c r="D10424" t="inlineStr">
        <is>
          <t>VÄSTRA GÖTALANDS LÄN</t>
        </is>
      </c>
      <c r="E10424" t="inlineStr">
        <is>
          <t>TRANEMO</t>
        </is>
      </c>
      <c r="G10424" t="n">
        <v>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25460-2023</t>
        </is>
      </c>
      <c r="B10425" s="1" t="n">
        <v>45089</v>
      </c>
      <c r="C10425" s="1" t="n">
        <v>45212</v>
      </c>
      <c r="D10425" t="inlineStr">
        <is>
          <t>VÄSTRA GÖTALANDS LÄN</t>
        </is>
      </c>
      <c r="E10425" t="inlineStr">
        <is>
          <t>DALS-ED</t>
        </is>
      </c>
      <c r="G10425" t="n">
        <v>3.4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25713-2023</t>
        </is>
      </c>
      <c r="B10426" s="1" t="n">
        <v>45090</v>
      </c>
      <c r="C10426" s="1" t="n">
        <v>45212</v>
      </c>
      <c r="D10426" t="inlineStr">
        <is>
          <t>VÄSTRA GÖTALANDS LÄN</t>
        </is>
      </c>
      <c r="E10426" t="inlineStr">
        <is>
          <t>FALKÖPING</t>
        </is>
      </c>
      <c r="G10426" t="n">
        <v>3.2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25826-2023</t>
        </is>
      </c>
      <c r="B10427" s="1" t="n">
        <v>45090</v>
      </c>
      <c r="C10427" s="1" t="n">
        <v>45212</v>
      </c>
      <c r="D10427" t="inlineStr">
        <is>
          <t>VÄSTRA GÖTALANDS LÄN</t>
        </is>
      </c>
      <c r="E10427" t="inlineStr">
        <is>
          <t>TIDAHOLM</t>
        </is>
      </c>
      <c r="G10427" t="n">
        <v>3.7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26624-2023</t>
        </is>
      </c>
      <c r="B10428" s="1" t="n">
        <v>45090</v>
      </c>
      <c r="C10428" s="1" t="n">
        <v>45212</v>
      </c>
      <c r="D10428" t="inlineStr">
        <is>
          <t>VÄSTRA GÖTALANDS LÄN</t>
        </is>
      </c>
      <c r="E10428" t="inlineStr">
        <is>
          <t>ÅMÅL</t>
        </is>
      </c>
      <c r="G10428" t="n">
        <v>1.2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25882-2023</t>
        </is>
      </c>
      <c r="B10429" s="1" t="n">
        <v>45090</v>
      </c>
      <c r="C10429" s="1" t="n">
        <v>45212</v>
      </c>
      <c r="D10429" t="inlineStr">
        <is>
          <t>VÄSTRA GÖTALANDS LÄN</t>
        </is>
      </c>
      <c r="E10429" t="inlineStr">
        <is>
          <t>GULLSPÅNG</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25905-2023</t>
        </is>
      </c>
      <c r="B10430" s="1" t="n">
        <v>45090</v>
      </c>
      <c r="C10430" s="1" t="n">
        <v>45212</v>
      </c>
      <c r="D10430" t="inlineStr">
        <is>
          <t>VÄSTRA GÖTALANDS LÄN</t>
        </is>
      </c>
      <c r="E10430" t="inlineStr">
        <is>
          <t>SKARA</t>
        </is>
      </c>
      <c r="G10430" t="n">
        <v>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25757-2023</t>
        </is>
      </c>
      <c r="B10431" s="1" t="n">
        <v>45090</v>
      </c>
      <c r="C10431" s="1" t="n">
        <v>45212</v>
      </c>
      <c r="D10431" t="inlineStr">
        <is>
          <t>VÄSTRA GÖTALANDS LÄN</t>
        </is>
      </c>
      <c r="E10431" t="inlineStr">
        <is>
          <t>VÅRGÅRDA</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25870-2023</t>
        </is>
      </c>
      <c r="B10432" s="1" t="n">
        <v>45090</v>
      </c>
      <c r="C10432" s="1" t="n">
        <v>45212</v>
      </c>
      <c r="D10432" t="inlineStr">
        <is>
          <t>VÄSTRA GÖTALANDS LÄN</t>
        </is>
      </c>
      <c r="E10432" t="inlineStr">
        <is>
          <t>TÖREBODA</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25898-2023</t>
        </is>
      </c>
      <c r="B10433" s="1" t="n">
        <v>45090</v>
      </c>
      <c r="C10433" s="1" t="n">
        <v>45212</v>
      </c>
      <c r="D10433" t="inlineStr">
        <is>
          <t>VÄSTRA GÖTALANDS LÄN</t>
        </is>
      </c>
      <c r="E10433" t="inlineStr">
        <is>
          <t>SKARA</t>
        </is>
      </c>
      <c r="G10433" t="n">
        <v>2.9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25923-2023</t>
        </is>
      </c>
      <c r="B10434" s="1" t="n">
        <v>45090</v>
      </c>
      <c r="C10434" s="1" t="n">
        <v>45212</v>
      </c>
      <c r="D10434" t="inlineStr">
        <is>
          <t>VÄSTRA GÖTALANDS LÄN</t>
        </is>
      </c>
      <c r="E10434" t="inlineStr">
        <is>
          <t>SKARA</t>
        </is>
      </c>
      <c r="G10434" t="n">
        <v>3.3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26615-2023</t>
        </is>
      </c>
      <c r="B10435" s="1" t="n">
        <v>45090</v>
      </c>
      <c r="C10435" s="1" t="n">
        <v>45212</v>
      </c>
      <c r="D10435" t="inlineStr">
        <is>
          <t>VÄSTRA GÖTALANDS LÄN</t>
        </is>
      </c>
      <c r="E10435" t="inlineStr">
        <is>
          <t>ÅMÅL</t>
        </is>
      </c>
      <c r="G10435" t="n">
        <v>2.1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26052-2023</t>
        </is>
      </c>
      <c r="B10436" s="1" t="n">
        <v>45091</v>
      </c>
      <c r="C10436" s="1" t="n">
        <v>45212</v>
      </c>
      <c r="D10436" t="inlineStr">
        <is>
          <t>VÄSTRA GÖTALANDS LÄN</t>
        </is>
      </c>
      <c r="E10436" t="inlineStr">
        <is>
          <t>SKARA</t>
        </is>
      </c>
      <c r="G10436" t="n">
        <v>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26086-2023</t>
        </is>
      </c>
      <c r="B10437" s="1" t="n">
        <v>45091</v>
      </c>
      <c r="C10437" s="1" t="n">
        <v>45212</v>
      </c>
      <c r="D10437" t="inlineStr">
        <is>
          <t>VÄSTRA GÖTALANDS LÄN</t>
        </is>
      </c>
      <c r="E10437" t="inlineStr">
        <is>
          <t>SKARA</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26091-2023</t>
        </is>
      </c>
      <c r="B10438" s="1" t="n">
        <v>45091</v>
      </c>
      <c r="C10438" s="1" t="n">
        <v>45212</v>
      </c>
      <c r="D10438" t="inlineStr">
        <is>
          <t>VÄSTRA GÖTALANDS LÄN</t>
        </is>
      </c>
      <c r="E10438" t="inlineStr">
        <is>
          <t>SKARA</t>
        </is>
      </c>
      <c r="G10438" t="n">
        <v>0.5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26050-2023</t>
        </is>
      </c>
      <c r="B10439" s="1" t="n">
        <v>45091</v>
      </c>
      <c r="C10439" s="1" t="n">
        <v>45212</v>
      </c>
      <c r="D10439" t="inlineStr">
        <is>
          <t>VÄSTRA GÖTALANDS LÄN</t>
        </is>
      </c>
      <c r="E10439" t="inlineStr">
        <is>
          <t>MARK</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26084-2023</t>
        </is>
      </c>
      <c r="B10440" s="1" t="n">
        <v>45091</v>
      </c>
      <c r="C10440" s="1" t="n">
        <v>45212</v>
      </c>
      <c r="D10440" t="inlineStr">
        <is>
          <t>VÄSTRA GÖTALANDS LÄN</t>
        </is>
      </c>
      <c r="E10440" t="inlineStr">
        <is>
          <t>SKARA</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26090-2023</t>
        </is>
      </c>
      <c r="B10441" s="1" t="n">
        <v>45091</v>
      </c>
      <c r="C10441" s="1" t="n">
        <v>45212</v>
      </c>
      <c r="D10441" t="inlineStr">
        <is>
          <t>VÄSTRA GÖTALANDS LÄN</t>
        </is>
      </c>
      <c r="E10441" t="inlineStr">
        <is>
          <t>SKARA</t>
        </is>
      </c>
      <c r="G10441" t="n">
        <v>1.4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26096-2023</t>
        </is>
      </c>
      <c r="B10442" s="1" t="n">
        <v>45091</v>
      </c>
      <c r="C10442" s="1" t="n">
        <v>45212</v>
      </c>
      <c r="D10442" t="inlineStr">
        <is>
          <t>VÄSTRA GÖTALANDS LÄN</t>
        </is>
      </c>
      <c r="E10442" t="inlineStr">
        <is>
          <t>BENGTSFORS</t>
        </is>
      </c>
      <c r="G10442" t="n">
        <v>7.7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26175-2023</t>
        </is>
      </c>
      <c r="B10443" s="1" t="n">
        <v>45091</v>
      </c>
      <c r="C10443" s="1" t="n">
        <v>45212</v>
      </c>
      <c r="D10443" t="inlineStr">
        <is>
          <t>VÄSTRA GÖTALANDS LÄN</t>
        </is>
      </c>
      <c r="E10443" t="inlineStr">
        <is>
          <t>FALKÖPING</t>
        </is>
      </c>
      <c r="G10443" t="n">
        <v>1.7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26230-2023</t>
        </is>
      </c>
      <c r="B10444" s="1" t="n">
        <v>45091</v>
      </c>
      <c r="C10444" s="1" t="n">
        <v>45212</v>
      </c>
      <c r="D10444" t="inlineStr">
        <is>
          <t>VÄSTRA GÖTALANDS LÄN</t>
        </is>
      </c>
      <c r="E10444" t="inlineStr">
        <is>
          <t>HJO</t>
        </is>
      </c>
      <c r="F10444" t="inlineStr">
        <is>
          <t>Övriga Aktiebolag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26243-2023</t>
        </is>
      </c>
      <c r="B10445" s="1" t="n">
        <v>45091</v>
      </c>
      <c r="C10445" s="1" t="n">
        <v>45212</v>
      </c>
      <c r="D10445" t="inlineStr">
        <is>
          <t>VÄSTRA GÖTALANDS LÄN</t>
        </is>
      </c>
      <c r="E10445" t="inlineStr">
        <is>
          <t>BENGTSFORS</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26319-2023</t>
        </is>
      </c>
      <c r="B10446" s="1" t="n">
        <v>45091</v>
      </c>
      <c r="C10446" s="1" t="n">
        <v>45212</v>
      </c>
      <c r="D10446" t="inlineStr">
        <is>
          <t>VÄSTRA GÖTALANDS LÄN</t>
        </is>
      </c>
      <c r="E10446" t="inlineStr">
        <is>
          <t>FALKÖPING</t>
        </is>
      </c>
      <c r="G10446" t="n">
        <v>1.7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26055-2023</t>
        </is>
      </c>
      <c r="B10447" s="1" t="n">
        <v>45091</v>
      </c>
      <c r="C10447" s="1" t="n">
        <v>45212</v>
      </c>
      <c r="D10447" t="inlineStr">
        <is>
          <t>VÄSTRA GÖTALANDS LÄN</t>
        </is>
      </c>
      <c r="E10447" t="inlineStr">
        <is>
          <t>SKARA</t>
        </is>
      </c>
      <c r="G10447" t="n">
        <v>0.8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26064-2023</t>
        </is>
      </c>
      <c r="B10448" s="1" t="n">
        <v>45091</v>
      </c>
      <c r="C10448" s="1" t="n">
        <v>45212</v>
      </c>
      <c r="D10448" t="inlineStr">
        <is>
          <t>VÄSTRA GÖTALANDS LÄN</t>
        </is>
      </c>
      <c r="E10448" t="inlineStr">
        <is>
          <t>SKARA</t>
        </is>
      </c>
      <c r="G10448" t="n">
        <v>13.4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26083-2023</t>
        </is>
      </c>
      <c r="B10449" s="1" t="n">
        <v>45091</v>
      </c>
      <c r="C10449" s="1" t="n">
        <v>45212</v>
      </c>
      <c r="D10449" t="inlineStr">
        <is>
          <t>VÄSTRA GÖTALANDS LÄN</t>
        </is>
      </c>
      <c r="E10449" t="inlineStr">
        <is>
          <t>ALE</t>
        </is>
      </c>
      <c r="G10449" t="n">
        <v>1.6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26089-2023</t>
        </is>
      </c>
      <c r="B10450" s="1" t="n">
        <v>45091</v>
      </c>
      <c r="C10450" s="1" t="n">
        <v>45212</v>
      </c>
      <c r="D10450" t="inlineStr">
        <is>
          <t>VÄSTRA GÖTALANDS LÄN</t>
        </is>
      </c>
      <c r="E10450" t="inlineStr">
        <is>
          <t>SKARA</t>
        </is>
      </c>
      <c r="G10450" t="n">
        <v>1.5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26248-2023</t>
        </is>
      </c>
      <c r="B10451" s="1" t="n">
        <v>45091</v>
      </c>
      <c r="C10451" s="1" t="n">
        <v>45212</v>
      </c>
      <c r="D10451" t="inlineStr">
        <is>
          <t>VÄSTRA GÖTALANDS LÄN</t>
        </is>
      </c>
      <c r="E10451" t="inlineStr">
        <is>
          <t>ULRICEHAMN</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26053-2023</t>
        </is>
      </c>
      <c r="B10452" s="1" t="n">
        <v>45091</v>
      </c>
      <c r="C10452" s="1" t="n">
        <v>45212</v>
      </c>
      <c r="D10452" t="inlineStr">
        <is>
          <t>VÄSTRA GÖTALANDS LÄN</t>
        </is>
      </c>
      <c r="E10452" t="inlineStr">
        <is>
          <t>SKARA</t>
        </is>
      </c>
      <c r="G10452" t="n">
        <v>3.1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26075-2023</t>
        </is>
      </c>
      <c r="B10453" s="1" t="n">
        <v>45091</v>
      </c>
      <c r="C10453" s="1" t="n">
        <v>45212</v>
      </c>
      <c r="D10453" t="inlineStr">
        <is>
          <t>VÄSTRA GÖTALANDS LÄN</t>
        </is>
      </c>
      <c r="E10453" t="inlineStr">
        <is>
          <t>MARK</t>
        </is>
      </c>
      <c r="G10453" t="n">
        <v>1.6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26082-2023</t>
        </is>
      </c>
      <c r="B10454" s="1" t="n">
        <v>45091</v>
      </c>
      <c r="C10454" s="1" t="n">
        <v>45212</v>
      </c>
      <c r="D10454" t="inlineStr">
        <is>
          <t>VÄSTRA GÖTALANDS LÄN</t>
        </is>
      </c>
      <c r="E10454" t="inlineStr">
        <is>
          <t>SKARA</t>
        </is>
      </c>
      <c r="G10454" t="n">
        <v>0.8</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26108-2023</t>
        </is>
      </c>
      <c r="B10455" s="1" t="n">
        <v>45091</v>
      </c>
      <c r="C10455" s="1" t="n">
        <v>45212</v>
      </c>
      <c r="D10455" t="inlineStr">
        <is>
          <t>VÄSTRA GÖTALANDS LÄN</t>
        </is>
      </c>
      <c r="E10455" t="inlineStr">
        <is>
          <t>FÄRGELANDA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26163-2023</t>
        </is>
      </c>
      <c r="B10456" s="1" t="n">
        <v>45091</v>
      </c>
      <c r="C10456" s="1" t="n">
        <v>45212</v>
      </c>
      <c r="D10456" t="inlineStr">
        <is>
          <t>VÄSTRA GÖTALANDS LÄN</t>
        </is>
      </c>
      <c r="E10456" t="inlineStr">
        <is>
          <t>FALKÖPING</t>
        </is>
      </c>
      <c r="G10456" t="n">
        <v>1.6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26246-2023</t>
        </is>
      </c>
      <c r="B10457" s="1" t="n">
        <v>45091</v>
      </c>
      <c r="C10457" s="1" t="n">
        <v>45212</v>
      </c>
      <c r="D10457" t="inlineStr">
        <is>
          <t>VÄSTRA GÖTALANDS LÄN</t>
        </is>
      </c>
      <c r="E10457" t="inlineStr">
        <is>
          <t>BENGTSFORS</t>
        </is>
      </c>
      <c r="G10457" t="n">
        <v>0.7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26316-2023</t>
        </is>
      </c>
      <c r="B10458" s="1" t="n">
        <v>45091</v>
      </c>
      <c r="C10458" s="1" t="n">
        <v>45212</v>
      </c>
      <c r="D10458" t="inlineStr">
        <is>
          <t>VÄSTRA GÖTALANDS LÄN</t>
        </is>
      </c>
      <c r="E10458" t="inlineStr">
        <is>
          <t>ALINGSÅS</t>
        </is>
      </c>
      <c r="G10458" t="n">
        <v>5.6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26439-2023</t>
        </is>
      </c>
      <c r="B10459" s="1" t="n">
        <v>45092</v>
      </c>
      <c r="C10459" s="1" t="n">
        <v>45212</v>
      </c>
      <c r="D10459" t="inlineStr">
        <is>
          <t>VÄSTRA GÖTALANDS LÄN</t>
        </is>
      </c>
      <c r="E10459" t="inlineStr">
        <is>
          <t>LILLA EDET</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26448-2023</t>
        </is>
      </c>
      <c r="B10460" s="1" t="n">
        <v>45092</v>
      </c>
      <c r="C10460" s="1" t="n">
        <v>45212</v>
      </c>
      <c r="D10460" t="inlineStr">
        <is>
          <t>VÄSTRA GÖTALANDS LÄN</t>
        </is>
      </c>
      <c r="E10460" t="inlineStr">
        <is>
          <t>ULRICEHAMN</t>
        </is>
      </c>
      <c r="G10460" t="n">
        <v>2.5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26434-2023</t>
        </is>
      </c>
      <c r="B10461" s="1" t="n">
        <v>45092</v>
      </c>
      <c r="C10461" s="1" t="n">
        <v>45212</v>
      </c>
      <c r="D10461" t="inlineStr">
        <is>
          <t>VÄSTRA GÖTALANDS LÄN</t>
        </is>
      </c>
      <c r="E10461" t="inlineStr">
        <is>
          <t>HERRLJUNGA</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26443-2023</t>
        </is>
      </c>
      <c r="B10462" s="1" t="n">
        <v>45092</v>
      </c>
      <c r="C10462" s="1" t="n">
        <v>45212</v>
      </c>
      <c r="D10462" t="inlineStr">
        <is>
          <t>VÄSTRA GÖTALANDS LÄN</t>
        </is>
      </c>
      <c r="E10462" t="inlineStr">
        <is>
          <t>LILLA EDET</t>
        </is>
      </c>
      <c r="G10462" t="n">
        <v>1.1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26568-2023</t>
        </is>
      </c>
      <c r="B10463" s="1" t="n">
        <v>45092</v>
      </c>
      <c r="C10463" s="1" t="n">
        <v>45212</v>
      </c>
      <c r="D10463" t="inlineStr">
        <is>
          <t>VÄSTRA GÖTALANDS LÄN</t>
        </is>
      </c>
      <c r="E10463" t="inlineStr">
        <is>
          <t>LERUM</t>
        </is>
      </c>
      <c r="G10463" t="n">
        <v>2.7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26629-2023</t>
        </is>
      </c>
      <c r="B10464" s="1" t="n">
        <v>45092</v>
      </c>
      <c r="C10464" s="1" t="n">
        <v>45212</v>
      </c>
      <c r="D10464" t="inlineStr">
        <is>
          <t>VÄSTRA GÖTALANDS LÄN</t>
        </is>
      </c>
      <c r="E10464" t="inlineStr">
        <is>
          <t>MARK</t>
        </is>
      </c>
      <c r="G10464" t="n">
        <v>2.3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26440-2023</t>
        </is>
      </c>
      <c r="B10465" s="1" t="n">
        <v>45092</v>
      </c>
      <c r="C10465" s="1" t="n">
        <v>45212</v>
      </c>
      <c r="D10465" t="inlineStr">
        <is>
          <t>VÄSTRA GÖTALANDS LÄN</t>
        </is>
      </c>
      <c r="E10465" t="inlineStr">
        <is>
          <t>UDDEVALLA</t>
        </is>
      </c>
      <c r="G10465" t="n">
        <v>1.1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26530-2023</t>
        </is>
      </c>
      <c r="B10466" s="1" t="n">
        <v>45092</v>
      </c>
      <c r="C10466" s="1" t="n">
        <v>45212</v>
      </c>
      <c r="D10466" t="inlineStr">
        <is>
          <t>VÄSTRA GÖTALANDS LÄN</t>
        </is>
      </c>
      <c r="E10466" t="inlineStr">
        <is>
          <t>MELLERUD</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26563-2023</t>
        </is>
      </c>
      <c r="B10467" s="1" t="n">
        <v>45092</v>
      </c>
      <c r="C10467" s="1" t="n">
        <v>45212</v>
      </c>
      <c r="D10467" t="inlineStr">
        <is>
          <t>VÄSTRA GÖTALANDS LÄN</t>
        </is>
      </c>
      <c r="E10467" t="inlineStr">
        <is>
          <t>FALKÖPING</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26628-2023</t>
        </is>
      </c>
      <c r="B10468" s="1" t="n">
        <v>45092</v>
      </c>
      <c r="C10468" s="1" t="n">
        <v>45212</v>
      </c>
      <c r="D10468" t="inlineStr">
        <is>
          <t>VÄSTRA GÖTALANDS LÄN</t>
        </is>
      </c>
      <c r="E10468" t="inlineStr">
        <is>
          <t>BENGTSFORS</t>
        </is>
      </c>
      <c r="G10468" t="n">
        <v>15.5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27257-2023</t>
        </is>
      </c>
      <c r="B10469" s="1" t="n">
        <v>45092</v>
      </c>
      <c r="C10469" s="1" t="n">
        <v>45212</v>
      </c>
      <c r="D10469" t="inlineStr">
        <is>
          <t>VÄSTRA GÖTALANDS LÄN</t>
        </is>
      </c>
      <c r="E10469" t="inlineStr">
        <is>
          <t>MELLERUD</t>
        </is>
      </c>
      <c r="G10469" t="n">
        <v>8.4</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26405-2023</t>
        </is>
      </c>
      <c r="B10470" s="1" t="n">
        <v>45092</v>
      </c>
      <c r="C10470" s="1" t="n">
        <v>45212</v>
      </c>
      <c r="D10470" t="inlineStr">
        <is>
          <t>VÄSTRA GÖTALANDS LÄN</t>
        </is>
      </c>
      <c r="E10470" t="inlineStr">
        <is>
          <t>ALINGSÅS</t>
        </is>
      </c>
      <c r="G10470" t="n">
        <v>4.9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26446-2023</t>
        </is>
      </c>
      <c r="B10471" s="1" t="n">
        <v>45092</v>
      </c>
      <c r="C10471" s="1" t="n">
        <v>45212</v>
      </c>
      <c r="D10471" t="inlineStr">
        <is>
          <t>VÄSTRA GÖTALANDS LÄN</t>
        </is>
      </c>
      <c r="E10471" t="inlineStr">
        <is>
          <t>ULRICEHAMN</t>
        </is>
      </c>
      <c r="G10471" t="n">
        <v>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26680-2023</t>
        </is>
      </c>
      <c r="B10472" s="1" t="n">
        <v>45093</v>
      </c>
      <c r="C10472" s="1" t="n">
        <v>45212</v>
      </c>
      <c r="D10472" t="inlineStr">
        <is>
          <t>VÄSTRA GÖTALANDS LÄN</t>
        </is>
      </c>
      <c r="E10472" t="inlineStr">
        <is>
          <t>ÅMÅL</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26731-2023</t>
        </is>
      </c>
      <c r="B10473" s="1" t="n">
        <v>45093</v>
      </c>
      <c r="C10473" s="1" t="n">
        <v>45212</v>
      </c>
      <c r="D10473" t="inlineStr">
        <is>
          <t>VÄSTRA GÖTALANDS LÄN</t>
        </is>
      </c>
      <c r="E10473" t="inlineStr">
        <is>
          <t>FALKÖPING</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26749-2023</t>
        </is>
      </c>
      <c r="B10474" s="1" t="n">
        <v>45093</v>
      </c>
      <c r="C10474" s="1" t="n">
        <v>45212</v>
      </c>
      <c r="D10474" t="inlineStr">
        <is>
          <t>VÄSTRA GÖTALANDS LÄN</t>
        </is>
      </c>
      <c r="E10474" t="inlineStr">
        <is>
          <t>ULRICEHAMN</t>
        </is>
      </c>
      <c r="G10474" t="n">
        <v>7.8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26833-2023</t>
        </is>
      </c>
      <c r="B10475" s="1" t="n">
        <v>45093</v>
      </c>
      <c r="C10475" s="1" t="n">
        <v>45212</v>
      </c>
      <c r="D10475" t="inlineStr">
        <is>
          <t>VÄSTRA GÖTALANDS LÄN</t>
        </is>
      </c>
      <c r="E10475" t="inlineStr">
        <is>
          <t>BORÅS</t>
        </is>
      </c>
      <c r="F10475" t="inlineStr">
        <is>
          <t>Sveaskog</t>
        </is>
      </c>
      <c r="G10475" t="n">
        <v>6.9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26895-2023</t>
        </is>
      </c>
      <c r="B10476" s="1" t="n">
        <v>45093</v>
      </c>
      <c r="C10476" s="1" t="n">
        <v>45212</v>
      </c>
      <c r="D10476" t="inlineStr">
        <is>
          <t>VÄSTRA GÖTALANDS LÄN</t>
        </is>
      </c>
      <c r="E10476" t="inlineStr">
        <is>
          <t>TRANEMO</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26935-2023</t>
        </is>
      </c>
      <c r="B10477" s="1" t="n">
        <v>45093</v>
      </c>
      <c r="C10477" s="1" t="n">
        <v>45212</v>
      </c>
      <c r="D10477" t="inlineStr">
        <is>
          <t>VÄSTRA GÖTALANDS LÄN</t>
        </is>
      </c>
      <c r="E10477" t="inlineStr">
        <is>
          <t>UDDEVALLA</t>
        </is>
      </c>
      <c r="G10477" t="n">
        <v>8.300000000000001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26943-2023</t>
        </is>
      </c>
      <c r="B10478" s="1" t="n">
        <v>45093</v>
      </c>
      <c r="C10478" s="1" t="n">
        <v>45212</v>
      </c>
      <c r="D10478" t="inlineStr">
        <is>
          <t>VÄSTRA GÖTALANDS LÄN</t>
        </is>
      </c>
      <c r="E10478" t="inlineStr">
        <is>
          <t>MARK</t>
        </is>
      </c>
      <c r="G10478" t="n">
        <v>0.3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27850-2023</t>
        </is>
      </c>
      <c r="B10479" s="1" t="n">
        <v>45093</v>
      </c>
      <c r="C10479" s="1" t="n">
        <v>45212</v>
      </c>
      <c r="D10479" t="inlineStr">
        <is>
          <t>VÄSTRA GÖTALANDS LÄN</t>
        </is>
      </c>
      <c r="E10479" t="inlineStr">
        <is>
          <t>MUNKEDAL</t>
        </is>
      </c>
      <c r="F10479" t="inlineStr">
        <is>
          <t>Kyrkan</t>
        </is>
      </c>
      <c r="G10479" t="n">
        <v>7.1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26682-2023</t>
        </is>
      </c>
      <c r="B10480" s="1" t="n">
        <v>45093</v>
      </c>
      <c r="C10480" s="1" t="n">
        <v>45212</v>
      </c>
      <c r="D10480" t="inlineStr">
        <is>
          <t>VÄSTRA GÖTALANDS LÄN</t>
        </is>
      </c>
      <c r="E10480" t="inlineStr">
        <is>
          <t>ÅMÅL</t>
        </is>
      </c>
      <c r="G10480" t="n">
        <v>2.8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26886-2023</t>
        </is>
      </c>
      <c r="B10481" s="1" t="n">
        <v>45093</v>
      </c>
      <c r="C10481" s="1" t="n">
        <v>45212</v>
      </c>
      <c r="D10481" t="inlineStr">
        <is>
          <t>VÄSTRA GÖTALANDS LÄN</t>
        </is>
      </c>
      <c r="E10481" t="inlineStr">
        <is>
          <t>LILLA EDET</t>
        </is>
      </c>
      <c r="G10481" t="n">
        <v>3.6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26906-2023</t>
        </is>
      </c>
      <c r="B10482" s="1" t="n">
        <v>45093</v>
      </c>
      <c r="C10482" s="1" t="n">
        <v>45212</v>
      </c>
      <c r="D10482" t="inlineStr">
        <is>
          <t>VÄSTRA GÖTALANDS LÄN</t>
        </is>
      </c>
      <c r="E10482" t="inlineStr">
        <is>
          <t>TRANEMO</t>
        </is>
      </c>
      <c r="G10482" t="n">
        <v>1.1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26916-2023</t>
        </is>
      </c>
      <c r="B10483" s="1" t="n">
        <v>45093</v>
      </c>
      <c r="C10483" s="1" t="n">
        <v>45212</v>
      </c>
      <c r="D10483" t="inlineStr">
        <is>
          <t>VÄSTRA GÖTALANDS LÄN</t>
        </is>
      </c>
      <c r="E10483" t="inlineStr">
        <is>
          <t>UDDEVALLA</t>
        </is>
      </c>
      <c r="G10483" t="n">
        <v>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26938-2023</t>
        </is>
      </c>
      <c r="B10484" s="1" t="n">
        <v>45093</v>
      </c>
      <c r="C10484" s="1" t="n">
        <v>45212</v>
      </c>
      <c r="D10484" t="inlineStr">
        <is>
          <t>VÄSTRA GÖTALANDS LÄN</t>
        </is>
      </c>
      <c r="E10484" t="inlineStr">
        <is>
          <t>MARK</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26705-2023</t>
        </is>
      </c>
      <c r="B10485" s="1" t="n">
        <v>45093</v>
      </c>
      <c r="C10485" s="1" t="n">
        <v>45212</v>
      </c>
      <c r="D10485" t="inlineStr">
        <is>
          <t>VÄSTRA GÖTALANDS LÄN</t>
        </is>
      </c>
      <c r="E10485" t="inlineStr">
        <is>
          <t>BORÅS</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26819-2023</t>
        </is>
      </c>
      <c r="B10486" s="1" t="n">
        <v>45093</v>
      </c>
      <c r="C10486" s="1" t="n">
        <v>45212</v>
      </c>
      <c r="D10486" t="inlineStr">
        <is>
          <t>VÄSTRA GÖTALANDS LÄN</t>
        </is>
      </c>
      <c r="E10486" t="inlineStr">
        <is>
          <t>TRANEMO</t>
        </is>
      </c>
      <c r="F10486" t="inlineStr">
        <is>
          <t>Kommuner</t>
        </is>
      </c>
      <c r="G10486" t="n">
        <v>1.1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26945-2023</t>
        </is>
      </c>
      <c r="B10487" s="1" t="n">
        <v>45093</v>
      </c>
      <c r="C10487" s="1" t="n">
        <v>45212</v>
      </c>
      <c r="D10487" t="inlineStr">
        <is>
          <t>VÄSTRA GÖTALANDS LÄN</t>
        </is>
      </c>
      <c r="E10487" t="inlineStr">
        <is>
          <t>MARK</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27029-2023</t>
        </is>
      </c>
      <c r="B10488" s="1" t="n">
        <v>45095</v>
      </c>
      <c r="C10488" s="1" t="n">
        <v>45212</v>
      </c>
      <c r="D10488" t="inlineStr">
        <is>
          <t>VÄSTRA GÖTALANDS LÄN</t>
        </is>
      </c>
      <c r="E10488" t="inlineStr">
        <is>
          <t>STENUNGSUND</t>
        </is>
      </c>
      <c r="G10488" t="n">
        <v>17.6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27030-2023</t>
        </is>
      </c>
      <c r="B10489" s="1" t="n">
        <v>45095</v>
      </c>
      <c r="C10489" s="1" t="n">
        <v>45212</v>
      </c>
      <c r="D10489" t="inlineStr">
        <is>
          <t>VÄSTRA GÖTALANDS LÄN</t>
        </is>
      </c>
      <c r="E10489" t="inlineStr">
        <is>
          <t>STENUNGSUND</t>
        </is>
      </c>
      <c r="G10489" t="n">
        <v>3.1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27032-2023</t>
        </is>
      </c>
      <c r="B10490" s="1" t="n">
        <v>45095</v>
      </c>
      <c r="C10490" s="1" t="n">
        <v>45212</v>
      </c>
      <c r="D10490" t="inlineStr">
        <is>
          <t>VÄSTRA GÖTALANDS LÄN</t>
        </is>
      </c>
      <c r="E10490" t="inlineStr">
        <is>
          <t>LILLA EDET</t>
        </is>
      </c>
      <c r="G10490" t="n">
        <v>15.3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27167-2023</t>
        </is>
      </c>
      <c r="B10491" s="1" t="n">
        <v>45096</v>
      </c>
      <c r="C10491" s="1" t="n">
        <v>45212</v>
      </c>
      <c r="D10491" t="inlineStr">
        <is>
          <t>VÄSTRA GÖTALANDS LÄN</t>
        </is>
      </c>
      <c r="E10491" t="inlineStr">
        <is>
          <t>TRANEMO</t>
        </is>
      </c>
      <c r="F10491" t="inlineStr">
        <is>
          <t>Kommuner</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27251-2023</t>
        </is>
      </c>
      <c r="B10492" s="1" t="n">
        <v>45096</v>
      </c>
      <c r="C10492" s="1" t="n">
        <v>45212</v>
      </c>
      <c r="D10492" t="inlineStr">
        <is>
          <t>VÄSTRA GÖTALANDS LÄN</t>
        </is>
      </c>
      <c r="E10492" t="inlineStr">
        <is>
          <t>TÖREBODA</t>
        </is>
      </c>
      <c r="F10492" t="inlineStr">
        <is>
          <t>Övriga statliga verk och myndigheter</t>
        </is>
      </c>
      <c r="G10492" t="n">
        <v>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27262-2023</t>
        </is>
      </c>
      <c r="B10493" s="1" t="n">
        <v>45096</v>
      </c>
      <c r="C10493" s="1" t="n">
        <v>45212</v>
      </c>
      <c r="D10493" t="inlineStr">
        <is>
          <t>VÄSTRA GÖTALANDS LÄN</t>
        </is>
      </c>
      <c r="E10493" t="inlineStr">
        <is>
          <t>TÖREBODA</t>
        </is>
      </c>
      <c r="F10493" t="inlineStr">
        <is>
          <t>Övriga statliga verk och myndigheter</t>
        </is>
      </c>
      <c r="G10493" t="n">
        <v>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28672-2023</t>
        </is>
      </c>
      <c r="B10494" s="1" t="n">
        <v>45096</v>
      </c>
      <c r="C10494" s="1" t="n">
        <v>45212</v>
      </c>
      <c r="D10494" t="inlineStr">
        <is>
          <t>VÄSTRA GÖTALANDS LÄN</t>
        </is>
      </c>
      <c r="E10494" t="inlineStr">
        <is>
          <t>UDDEVALLA</t>
        </is>
      </c>
      <c r="F10494" t="inlineStr">
        <is>
          <t>Kyrkan</t>
        </is>
      </c>
      <c r="G10494" t="n">
        <v>12.6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27172-2023</t>
        </is>
      </c>
      <c r="B10495" s="1" t="n">
        <v>45096</v>
      </c>
      <c r="C10495" s="1" t="n">
        <v>45212</v>
      </c>
      <c r="D10495" t="inlineStr">
        <is>
          <t>VÄSTRA GÖTALANDS LÄN</t>
        </is>
      </c>
      <c r="E10495" t="inlineStr">
        <is>
          <t>TRANEMO</t>
        </is>
      </c>
      <c r="F10495" t="inlineStr">
        <is>
          <t>Kommuner</t>
        </is>
      </c>
      <c r="G10495" t="n">
        <v>0.5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27259-2023</t>
        </is>
      </c>
      <c r="B10496" s="1" t="n">
        <v>45096</v>
      </c>
      <c r="C10496" s="1" t="n">
        <v>45212</v>
      </c>
      <c r="D10496" t="inlineStr">
        <is>
          <t>VÄSTRA GÖTALANDS LÄN</t>
        </is>
      </c>
      <c r="E10496" t="inlineStr">
        <is>
          <t>TÖREBODA</t>
        </is>
      </c>
      <c r="F10496" t="inlineStr">
        <is>
          <t>Övriga statliga verk och myndigheter</t>
        </is>
      </c>
      <c r="G10496" t="n">
        <v>3.6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27934-2023</t>
        </is>
      </c>
      <c r="B10497" s="1" t="n">
        <v>45096</v>
      </c>
      <c r="C10497" s="1" t="n">
        <v>45212</v>
      </c>
      <c r="D10497" t="inlineStr">
        <is>
          <t>VÄSTRA GÖTALANDS LÄN</t>
        </is>
      </c>
      <c r="E10497" t="inlineStr">
        <is>
          <t>ULRICEHAMN</t>
        </is>
      </c>
      <c r="G10497" t="n">
        <v>7.5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27146-2023</t>
        </is>
      </c>
      <c r="B10498" s="1" t="n">
        <v>45096</v>
      </c>
      <c r="C10498" s="1" t="n">
        <v>45212</v>
      </c>
      <c r="D10498" t="inlineStr">
        <is>
          <t>VÄSTRA GÖTALANDS LÄN</t>
        </is>
      </c>
      <c r="E10498" t="inlineStr">
        <is>
          <t>BORÅS</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27177-2023</t>
        </is>
      </c>
      <c r="B10499" s="1" t="n">
        <v>45096</v>
      </c>
      <c r="C10499" s="1" t="n">
        <v>45212</v>
      </c>
      <c r="D10499" t="inlineStr">
        <is>
          <t>VÄSTRA GÖTALANDS LÄN</t>
        </is>
      </c>
      <c r="E10499" t="inlineStr">
        <is>
          <t>TRANEMO</t>
        </is>
      </c>
      <c r="F10499" t="inlineStr">
        <is>
          <t>Kommuner</t>
        </is>
      </c>
      <c r="G10499" t="n">
        <v>1.8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27198-2023</t>
        </is>
      </c>
      <c r="B10500" s="1" t="n">
        <v>45096</v>
      </c>
      <c r="C10500" s="1" t="n">
        <v>45212</v>
      </c>
      <c r="D10500" t="inlineStr">
        <is>
          <t>VÄSTRA GÖTALANDS LÄN</t>
        </is>
      </c>
      <c r="E10500" t="inlineStr">
        <is>
          <t>TRANEMO</t>
        </is>
      </c>
      <c r="G10500" t="n">
        <v>1.6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27270-2023</t>
        </is>
      </c>
      <c r="B10501" s="1" t="n">
        <v>45096</v>
      </c>
      <c r="C10501" s="1" t="n">
        <v>45212</v>
      </c>
      <c r="D10501" t="inlineStr">
        <is>
          <t>VÄSTRA GÖTALANDS LÄN</t>
        </is>
      </c>
      <c r="E10501" t="inlineStr">
        <is>
          <t>TIDAHOLM</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27312-2023</t>
        </is>
      </c>
      <c r="B10502" s="1" t="n">
        <v>45096</v>
      </c>
      <c r="C10502" s="1" t="n">
        <v>45212</v>
      </c>
      <c r="D10502" t="inlineStr">
        <is>
          <t>VÄSTRA GÖTALANDS LÄN</t>
        </is>
      </c>
      <c r="E10502" t="inlineStr">
        <is>
          <t>TIDAHOLM</t>
        </is>
      </c>
      <c r="G10502" t="n">
        <v>3.3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27465-2023</t>
        </is>
      </c>
      <c r="B10503" s="1" t="n">
        <v>45097</v>
      </c>
      <c r="C10503" s="1" t="n">
        <v>45212</v>
      </c>
      <c r="D10503" t="inlineStr">
        <is>
          <t>VÄSTRA GÖTALANDS LÄN</t>
        </is>
      </c>
      <c r="E10503" t="inlineStr">
        <is>
          <t>BORÅS</t>
        </is>
      </c>
      <c r="G10503" t="n">
        <v>0.7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27552-2023</t>
        </is>
      </c>
      <c r="B10504" s="1" t="n">
        <v>45097</v>
      </c>
      <c r="C10504" s="1" t="n">
        <v>45212</v>
      </c>
      <c r="D10504" t="inlineStr">
        <is>
          <t>VÄSTRA GÖTALANDS LÄN</t>
        </is>
      </c>
      <c r="E10504" t="inlineStr">
        <is>
          <t>BENGTSFORS</t>
        </is>
      </c>
      <c r="G10504" t="n">
        <v>3.7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27588-2023</t>
        </is>
      </c>
      <c r="B10505" s="1" t="n">
        <v>45097</v>
      </c>
      <c r="C10505" s="1" t="n">
        <v>45212</v>
      </c>
      <c r="D10505" t="inlineStr">
        <is>
          <t>VÄSTRA GÖTALANDS LÄN</t>
        </is>
      </c>
      <c r="E10505" t="inlineStr">
        <is>
          <t>ALINGSÅS</t>
        </is>
      </c>
      <c r="G10505" t="n">
        <v>12.8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27665-2023</t>
        </is>
      </c>
      <c r="B10506" s="1" t="n">
        <v>45097</v>
      </c>
      <c r="C10506" s="1" t="n">
        <v>45212</v>
      </c>
      <c r="D10506" t="inlineStr">
        <is>
          <t>VÄSTRA GÖTALANDS LÄN</t>
        </is>
      </c>
      <c r="E10506" t="inlineStr">
        <is>
          <t>TRANEMO</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29209-2023</t>
        </is>
      </c>
      <c r="B10507" s="1" t="n">
        <v>45097</v>
      </c>
      <c r="C10507" s="1" t="n">
        <v>45212</v>
      </c>
      <c r="D10507" t="inlineStr">
        <is>
          <t>VÄSTRA GÖTALANDS LÄN</t>
        </is>
      </c>
      <c r="E10507" t="inlineStr">
        <is>
          <t>GULLSPÅNG</t>
        </is>
      </c>
      <c r="G10507" t="n">
        <v>1.9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27494-2023</t>
        </is>
      </c>
      <c r="B10508" s="1" t="n">
        <v>45097</v>
      </c>
      <c r="C10508" s="1" t="n">
        <v>45212</v>
      </c>
      <c r="D10508" t="inlineStr">
        <is>
          <t>VÄSTRA GÖTALANDS LÄN</t>
        </is>
      </c>
      <c r="E10508" t="inlineStr">
        <is>
          <t>ULRICEHAMN</t>
        </is>
      </c>
      <c r="G10508" t="n">
        <v>3.1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27524-2023</t>
        </is>
      </c>
      <c r="B10509" s="1" t="n">
        <v>45097</v>
      </c>
      <c r="C10509" s="1" t="n">
        <v>45212</v>
      </c>
      <c r="D10509" t="inlineStr">
        <is>
          <t>VÄSTRA GÖTALANDS LÄN</t>
        </is>
      </c>
      <c r="E10509" t="inlineStr">
        <is>
          <t>UDDEVALLA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27529-2023</t>
        </is>
      </c>
      <c r="B10510" s="1" t="n">
        <v>45097</v>
      </c>
      <c r="C10510" s="1" t="n">
        <v>45212</v>
      </c>
      <c r="D10510" t="inlineStr">
        <is>
          <t>VÄSTRA GÖTALANDS LÄN</t>
        </is>
      </c>
      <c r="E10510" t="inlineStr">
        <is>
          <t>UDDEVALLA</t>
        </is>
      </c>
      <c r="G10510" t="n">
        <v>9.699999999999999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27557-2023</t>
        </is>
      </c>
      <c r="B10511" s="1" t="n">
        <v>45097</v>
      </c>
      <c r="C10511" s="1" t="n">
        <v>45212</v>
      </c>
      <c r="D10511" t="inlineStr">
        <is>
          <t>VÄSTRA GÖTALANDS LÄN</t>
        </is>
      </c>
      <c r="E10511" t="inlineStr">
        <is>
          <t>BENGTSFORS</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27606-2023</t>
        </is>
      </c>
      <c r="B10512" s="1" t="n">
        <v>45097</v>
      </c>
      <c r="C10512" s="1" t="n">
        <v>45212</v>
      </c>
      <c r="D10512" t="inlineStr">
        <is>
          <t>VÄSTRA GÖTALANDS LÄN</t>
        </is>
      </c>
      <c r="E10512" t="inlineStr">
        <is>
          <t>FALKÖPING</t>
        </is>
      </c>
      <c r="G10512" t="n">
        <v>1.1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27644-2023</t>
        </is>
      </c>
      <c r="B10513" s="1" t="n">
        <v>45097</v>
      </c>
      <c r="C10513" s="1" t="n">
        <v>45212</v>
      </c>
      <c r="D10513" t="inlineStr">
        <is>
          <t>VÄSTRA GÖTALANDS LÄN</t>
        </is>
      </c>
      <c r="E10513" t="inlineStr">
        <is>
          <t>MUNKEDAL</t>
        </is>
      </c>
      <c r="G10513" t="n">
        <v>2.9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27510-2023</t>
        </is>
      </c>
      <c r="B10514" s="1" t="n">
        <v>45097</v>
      </c>
      <c r="C10514" s="1" t="n">
        <v>45212</v>
      </c>
      <c r="D10514" t="inlineStr">
        <is>
          <t>VÄSTRA GÖTALANDS LÄN</t>
        </is>
      </c>
      <c r="E10514" t="inlineStr">
        <is>
          <t>MELLERUD</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27518-2023</t>
        </is>
      </c>
      <c r="B10515" s="1" t="n">
        <v>45097</v>
      </c>
      <c r="C10515" s="1" t="n">
        <v>45212</v>
      </c>
      <c r="D10515" t="inlineStr">
        <is>
          <t>VÄSTRA GÖTALANDS LÄN</t>
        </is>
      </c>
      <c r="E10515" t="inlineStr">
        <is>
          <t>MELLERUD</t>
        </is>
      </c>
      <c r="G10515" t="n">
        <v>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27608-2023</t>
        </is>
      </c>
      <c r="B10516" s="1" t="n">
        <v>45097</v>
      </c>
      <c r="C10516" s="1" t="n">
        <v>45212</v>
      </c>
      <c r="D10516" t="inlineStr">
        <is>
          <t>VÄSTRA GÖTALANDS LÄN</t>
        </is>
      </c>
      <c r="E10516" t="inlineStr">
        <is>
          <t>MELLERUD</t>
        </is>
      </c>
      <c r="G10516" t="n">
        <v>1.1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29203-2023</t>
        </is>
      </c>
      <c r="B10517" s="1" t="n">
        <v>45097</v>
      </c>
      <c r="C10517" s="1" t="n">
        <v>45212</v>
      </c>
      <c r="D10517" t="inlineStr">
        <is>
          <t>VÄSTRA GÖTALANDS LÄN</t>
        </is>
      </c>
      <c r="E10517" t="inlineStr">
        <is>
          <t>GULLSPÅNG</t>
        </is>
      </c>
      <c r="G10517" t="n">
        <v>3.4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29217-2023</t>
        </is>
      </c>
      <c r="B10518" s="1" t="n">
        <v>45097</v>
      </c>
      <c r="C10518" s="1" t="n">
        <v>45212</v>
      </c>
      <c r="D10518" t="inlineStr">
        <is>
          <t>VÄSTRA GÖTALANDS LÄN</t>
        </is>
      </c>
      <c r="E10518" t="inlineStr">
        <is>
          <t>TÖREBODA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27526-2023</t>
        </is>
      </c>
      <c r="B10519" s="1" t="n">
        <v>45097</v>
      </c>
      <c r="C10519" s="1" t="n">
        <v>45212</v>
      </c>
      <c r="D10519" t="inlineStr">
        <is>
          <t>VÄSTRA GÖTALANDS LÄN</t>
        </is>
      </c>
      <c r="E10519" t="inlineStr">
        <is>
          <t>UDDEVALLA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27539-2023</t>
        </is>
      </c>
      <c r="B10520" s="1" t="n">
        <v>45097</v>
      </c>
      <c r="C10520" s="1" t="n">
        <v>45212</v>
      </c>
      <c r="D10520" t="inlineStr">
        <is>
          <t>VÄSTRA GÖTALANDS LÄN</t>
        </is>
      </c>
      <c r="E10520" t="inlineStr">
        <is>
          <t>MELLERUD</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29171-2023</t>
        </is>
      </c>
      <c r="B10521" s="1" t="n">
        <v>45097</v>
      </c>
      <c r="C10521" s="1" t="n">
        <v>45212</v>
      </c>
      <c r="D10521" t="inlineStr">
        <is>
          <t>VÄSTRA GÖTALANDS LÄN</t>
        </is>
      </c>
      <c r="E10521" t="inlineStr">
        <is>
          <t>GULLSPÅNG</t>
        </is>
      </c>
      <c r="G10521" t="n">
        <v>1.9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29199-2023</t>
        </is>
      </c>
      <c r="B10522" s="1" t="n">
        <v>45097</v>
      </c>
      <c r="C10522" s="1" t="n">
        <v>45212</v>
      </c>
      <c r="D10522" t="inlineStr">
        <is>
          <t>VÄSTRA GÖTALANDS LÄN</t>
        </is>
      </c>
      <c r="E10522" t="inlineStr">
        <is>
          <t>GULLSPÅNG</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27833-2023</t>
        </is>
      </c>
      <c r="B10523" s="1" t="n">
        <v>45098</v>
      </c>
      <c r="C10523" s="1" t="n">
        <v>45212</v>
      </c>
      <c r="D10523" t="inlineStr">
        <is>
          <t>VÄSTRA GÖTALANDS LÄN</t>
        </is>
      </c>
      <c r="E10523" t="inlineStr">
        <is>
          <t>ÅMÅL</t>
        </is>
      </c>
      <c r="G10523" t="n">
        <v>3.2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27865-2023</t>
        </is>
      </c>
      <c r="B10524" s="1" t="n">
        <v>45098</v>
      </c>
      <c r="C10524" s="1" t="n">
        <v>45212</v>
      </c>
      <c r="D10524" t="inlineStr">
        <is>
          <t>VÄSTRA GÖTALANDS LÄN</t>
        </is>
      </c>
      <c r="E10524" t="inlineStr">
        <is>
          <t>ULRICEHAMN</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27831-2023</t>
        </is>
      </c>
      <c r="B10525" s="1" t="n">
        <v>45098</v>
      </c>
      <c r="C10525" s="1" t="n">
        <v>45212</v>
      </c>
      <c r="D10525" t="inlineStr">
        <is>
          <t>VÄSTRA GÖTALANDS LÄN</t>
        </is>
      </c>
      <c r="E10525" t="inlineStr">
        <is>
          <t>ÅMÅL</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27918-2023</t>
        </is>
      </c>
      <c r="B10526" s="1" t="n">
        <v>45098</v>
      </c>
      <c r="C10526" s="1" t="n">
        <v>45212</v>
      </c>
      <c r="D10526" t="inlineStr">
        <is>
          <t>VÄSTRA GÖTALANDS LÄN</t>
        </is>
      </c>
      <c r="E10526" t="inlineStr">
        <is>
          <t>LERUM</t>
        </is>
      </c>
      <c r="G10526" t="n">
        <v>6.1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27977-2023</t>
        </is>
      </c>
      <c r="B10527" s="1" t="n">
        <v>45098</v>
      </c>
      <c r="C10527" s="1" t="n">
        <v>45212</v>
      </c>
      <c r="D10527" t="inlineStr">
        <is>
          <t>VÄSTRA GÖTALANDS LÄN</t>
        </is>
      </c>
      <c r="E10527" t="inlineStr">
        <is>
          <t>HJO</t>
        </is>
      </c>
      <c r="F10527" t="inlineStr">
        <is>
          <t>Sveaskog</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27994-2023</t>
        </is>
      </c>
      <c r="B10528" s="1" t="n">
        <v>45098</v>
      </c>
      <c r="C10528" s="1" t="n">
        <v>45212</v>
      </c>
      <c r="D10528" t="inlineStr">
        <is>
          <t>VÄSTRA GÖTALANDS LÄN</t>
        </is>
      </c>
      <c r="E10528" t="inlineStr">
        <is>
          <t>VÅRGÅRDA</t>
        </is>
      </c>
      <c r="G10528" t="n">
        <v>0.8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28002-2023</t>
        </is>
      </c>
      <c r="B10529" s="1" t="n">
        <v>45098</v>
      </c>
      <c r="C10529" s="1" t="n">
        <v>45212</v>
      </c>
      <c r="D10529" t="inlineStr">
        <is>
          <t>VÄSTRA GÖTALANDS LÄN</t>
        </is>
      </c>
      <c r="E10529" t="inlineStr">
        <is>
          <t>BORÅS</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27703-2023</t>
        </is>
      </c>
      <c r="B10530" s="1" t="n">
        <v>45098</v>
      </c>
      <c r="C10530" s="1" t="n">
        <v>45212</v>
      </c>
      <c r="D10530" t="inlineStr">
        <is>
          <t>VÄSTRA GÖTALANDS LÄN</t>
        </is>
      </c>
      <c r="E10530" t="inlineStr">
        <is>
          <t>KARLSBORG</t>
        </is>
      </c>
      <c r="G10530" t="n">
        <v>2.8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27888-2023</t>
        </is>
      </c>
      <c r="B10531" s="1" t="n">
        <v>45098</v>
      </c>
      <c r="C10531" s="1" t="n">
        <v>45212</v>
      </c>
      <c r="D10531" t="inlineStr">
        <is>
          <t>VÄSTRA GÖTALANDS LÄN</t>
        </is>
      </c>
      <c r="E10531" t="inlineStr">
        <is>
          <t>SVENLJUNGA</t>
        </is>
      </c>
      <c r="G10531" t="n">
        <v>5.8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27701-2023</t>
        </is>
      </c>
      <c r="B10532" s="1" t="n">
        <v>45098</v>
      </c>
      <c r="C10532" s="1" t="n">
        <v>45212</v>
      </c>
      <c r="D10532" t="inlineStr">
        <is>
          <t>VÄSTRA GÖTALANDS LÄN</t>
        </is>
      </c>
      <c r="E10532" t="inlineStr">
        <is>
          <t>KARLSBORG</t>
        </is>
      </c>
      <c r="G10532" t="n">
        <v>10.4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27714-2023</t>
        </is>
      </c>
      <c r="B10533" s="1" t="n">
        <v>45098</v>
      </c>
      <c r="C10533" s="1" t="n">
        <v>45212</v>
      </c>
      <c r="D10533" t="inlineStr">
        <is>
          <t>VÄSTRA GÖTALANDS LÄN</t>
        </is>
      </c>
      <c r="E10533" t="inlineStr">
        <is>
          <t>MARK</t>
        </is>
      </c>
      <c r="G10533" t="n">
        <v>0.9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27980-2023</t>
        </is>
      </c>
      <c r="B10534" s="1" t="n">
        <v>45098</v>
      </c>
      <c r="C10534" s="1" t="n">
        <v>45212</v>
      </c>
      <c r="D10534" t="inlineStr">
        <is>
          <t>VÄSTRA GÖTALANDS LÄN</t>
        </is>
      </c>
      <c r="E10534" t="inlineStr">
        <is>
          <t>SKARA</t>
        </is>
      </c>
      <c r="F10534" t="inlineStr">
        <is>
          <t>Sveaskog</t>
        </is>
      </c>
      <c r="G10534" t="n">
        <v>1.9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28018-2023</t>
        </is>
      </c>
      <c r="B10535" s="1" t="n">
        <v>45098</v>
      </c>
      <c r="C10535" s="1" t="n">
        <v>45212</v>
      </c>
      <c r="D10535" t="inlineStr">
        <is>
          <t>VÄSTRA GÖTALANDS LÄN</t>
        </is>
      </c>
      <c r="E10535" t="inlineStr">
        <is>
          <t>LILLA EDET</t>
        </is>
      </c>
      <c r="G10535" t="n">
        <v>47.9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28047-2023</t>
        </is>
      </c>
      <c r="B10536" s="1" t="n">
        <v>45099</v>
      </c>
      <c r="C10536" s="1" t="n">
        <v>45212</v>
      </c>
      <c r="D10536" t="inlineStr">
        <is>
          <t>VÄSTRA GÖTALANDS LÄN</t>
        </is>
      </c>
      <c r="E10536" t="inlineStr">
        <is>
          <t>MARK</t>
        </is>
      </c>
      <c r="G10536" t="n">
        <v>1.5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28214-2023</t>
        </is>
      </c>
      <c r="B10537" s="1" t="n">
        <v>45099</v>
      </c>
      <c r="C10537" s="1" t="n">
        <v>45212</v>
      </c>
      <c r="D10537" t="inlineStr">
        <is>
          <t>VÄSTRA GÖTALANDS LÄN</t>
        </is>
      </c>
      <c r="E10537" t="inlineStr">
        <is>
          <t>TROLLHÄTTAN</t>
        </is>
      </c>
      <c r="G10537" t="n">
        <v>0.8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28224-2023</t>
        </is>
      </c>
      <c r="B10538" s="1" t="n">
        <v>45099</v>
      </c>
      <c r="C10538" s="1" t="n">
        <v>45212</v>
      </c>
      <c r="D10538" t="inlineStr">
        <is>
          <t>VÄSTRA GÖTALANDS LÄN</t>
        </is>
      </c>
      <c r="E10538" t="inlineStr">
        <is>
          <t>TROLLHÄTTAN</t>
        </is>
      </c>
      <c r="G10538" t="n">
        <v>4.8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28265-2023</t>
        </is>
      </c>
      <c r="B10539" s="1" t="n">
        <v>45099</v>
      </c>
      <c r="C10539" s="1" t="n">
        <v>45212</v>
      </c>
      <c r="D10539" t="inlineStr">
        <is>
          <t>VÄSTRA GÖTALANDS LÄN</t>
        </is>
      </c>
      <c r="E10539" t="inlineStr">
        <is>
          <t>TIDAHOLM</t>
        </is>
      </c>
      <c r="F10539" t="inlineStr">
        <is>
          <t>Kyrkan</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28219-2023</t>
        </is>
      </c>
      <c r="B10540" s="1" t="n">
        <v>45099</v>
      </c>
      <c r="C10540" s="1" t="n">
        <v>45212</v>
      </c>
      <c r="D10540" t="inlineStr">
        <is>
          <t>VÄSTRA GÖTALANDS LÄN</t>
        </is>
      </c>
      <c r="E10540" t="inlineStr">
        <is>
          <t>BORÅS</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28232-2023</t>
        </is>
      </c>
      <c r="B10541" s="1" t="n">
        <v>45099</v>
      </c>
      <c r="C10541" s="1" t="n">
        <v>45212</v>
      </c>
      <c r="D10541" t="inlineStr">
        <is>
          <t>VÄSTRA GÖTALANDS LÄN</t>
        </is>
      </c>
      <c r="E10541" t="inlineStr">
        <is>
          <t>MARK</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28266-2023</t>
        </is>
      </c>
      <c r="B10542" s="1" t="n">
        <v>45099</v>
      </c>
      <c r="C10542" s="1" t="n">
        <v>45212</v>
      </c>
      <c r="D10542" t="inlineStr">
        <is>
          <t>VÄSTRA GÖTALANDS LÄN</t>
        </is>
      </c>
      <c r="E10542" t="inlineStr">
        <is>
          <t>SVENLJUNGA</t>
        </is>
      </c>
      <c r="G10542" t="n">
        <v>9.800000000000001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29854-2023</t>
        </is>
      </c>
      <c r="B10543" s="1" t="n">
        <v>45099</v>
      </c>
      <c r="C10543" s="1" t="n">
        <v>45212</v>
      </c>
      <c r="D10543" t="inlineStr">
        <is>
          <t>VÄSTRA GÖTALANDS LÄN</t>
        </is>
      </c>
      <c r="E10543" t="inlineStr">
        <is>
          <t>BORÅS</t>
        </is>
      </c>
      <c r="F10543" t="inlineStr">
        <is>
          <t>Kommuner</t>
        </is>
      </c>
      <c r="G10543" t="n">
        <v>3.5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28050-2023</t>
        </is>
      </c>
      <c r="B10544" s="1" t="n">
        <v>45099</v>
      </c>
      <c r="C10544" s="1" t="n">
        <v>45212</v>
      </c>
      <c r="D10544" t="inlineStr">
        <is>
          <t>VÄSTRA GÖTALANDS LÄN</t>
        </is>
      </c>
      <c r="E10544" t="inlineStr">
        <is>
          <t>TÖREBODA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28073-2023</t>
        </is>
      </c>
      <c r="B10545" s="1" t="n">
        <v>45099</v>
      </c>
      <c r="C10545" s="1" t="n">
        <v>45212</v>
      </c>
      <c r="D10545" t="inlineStr">
        <is>
          <t>VÄSTRA GÖTALANDS LÄN</t>
        </is>
      </c>
      <c r="E10545" t="inlineStr">
        <is>
          <t>SKARA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28083-2023</t>
        </is>
      </c>
      <c r="B10546" s="1" t="n">
        <v>45099</v>
      </c>
      <c r="C10546" s="1" t="n">
        <v>45212</v>
      </c>
      <c r="D10546" t="inlineStr">
        <is>
          <t>VÄSTRA GÖTALANDS LÄN</t>
        </is>
      </c>
      <c r="E10546" t="inlineStr">
        <is>
          <t>LERUM</t>
        </is>
      </c>
      <c r="G10546" t="n">
        <v>2.9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28220-2023</t>
        </is>
      </c>
      <c r="B10547" s="1" t="n">
        <v>45099</v>
      </c>
      <c r="C10547" s="1" t="n">
        <v>45212</v>
      </c>
      <c r="D10547" t="inlineStr">
        <is>
          <t>VÄSTRA GÖTALANDS LÄN</t>
        </is>
      </c>
      <c r="E10547" t="inlineStr">
        <is>
          <t>BORÅS</t>
        </is>
      </c>
      <c r="G10547" t="n">
        <v>4.9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28257-2023</t>
        </is>
      </c>
      <c r="B10548" s="1" t="n">
        <v>45099</v>
      </c>
      <c r="C10548" s="1" t="n">
        <v>45212</v>
      </c>
      <c r="D10548" t="inlineStr">
        <is>
          <t>VÄSTRA GÖTALANDS LÄN</t>
        </is>
      </c>
      <c r="E10548" t="inlineStr">
        <is>
          <t>SVENLJUNGA</t>
        </is>
      </c>
      <c r="G10548" t="n">
        <v>3.5</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28263-2023</t>
        </is>
      </c>
      <c r="B10549" s="1" t="n">
        <v>45099</v>
      </c>
      <c r="C10549" s="1" t="n">
        <v>45212</v>
      </c>
      <c r="D10549" t="inlineStr">
        <is>
          <t>VÄSTRA GÖTALANDS LÄN</t>
        </is>
      </c>
      <c r="E10549" t="inlineStr">
        <is>
          <t>VÄNERSBORG</t>
        </is>
      </c>
      <c r="G10549" t="n">
        <v>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28267-2023</t>
        </is>
      </c>
      <c r="B10550" s="1" t="n">
        <v>45099</v>
      </c>
      <c r="C10550" s="1" t="n">
        <v>45212</v>
      </c>
      <c r="D10550" t="inlineStr">
        <is>
          <t>VÄSTRA GÖTALANDS LÄN</t>
        </is>
      </c>
      <c r="E10550" t="inlineStr">
        <is>
          <t>GÖTENE</t>
        </is>
      </c>
      <c r="G10550" t="n">
        <v>0.4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29858-2023</t>
        </is>
      </c>
      <c r="B10551" s="1" t="n">
        <v>45099</v>
      </c>
      <c r="C10551" s="1" t="n">
        <v>45212</v>
      </c>
      <c r="D10551" t="inlineStr">
        <is>
          <t>VÄSTRA GÖTALANDS LÄN</t>
        </is>
      </c>
      <c r="E10551" t="inlineStr">
        <is>
          <t>BORÅS</t>
        </is>
      </c>
      <c r="F10551" t="inlineStr">
        <is>
          <t>Kommuner</t>
        </is>
      </c>
      <c r="G10551" t="n">
        <v>6.8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28217-2023</t>
        </is>
      </c>
      <c r="B10552" s="1" t="n">
        <v>45099</v>
      </c>
      <c r="C10552" s="1" t="n">
        <v>45212</v>
      </c>
      <c r="D10552" t="inlineStr">
        <is>
          <t>VÄSTRA GÖTALANDS LÄN</t>
        </is>
      </c>
      <c r="E10552" t="inlineStr">
        <is>
          <t>TROLLHÄTTAN</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28258-2023</t>
        </is>
      </c>
      <c r="B10553" s="1" t="n">
        <v>45099</v>
      </c>
      <c r="C10553" s="1" t="n">
        <v>45212</v>
      </c>
      <c r="D10553" t="inlineStr">
        <is>
          <t>VÄSTRA GÖTALANDS LÄN</t>
        </is>
      </c>
      <c r="E10553" t="inlineStr">
        <is>
          <t>GÖTENE</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28264-2023</t>
        </is>
      </c>
      <c r="B10554" s="1" t="n">
        <v>45099</v>
      </c>
      <c r="C10554" s="1" t="n">
        <v>45212</v>
      </c>
      <c r="D10554" t="inlineStr">
        <is>
          <t>VÄSTRA GÖTALANDS LÄN</t>
        </is>
      </c>
      <c r="E10554" t="inlineStr">
        <is>
          <t>GÖTENE</t>
        </is>
      </c>
      <c r="G10554" t="n">
        <v>1.9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28271-2023</t>
        </is>
      </c>
      <c r="B10555" s="1" t="n">
        <v>45099</v>
      </c>
      <c r="C10555" s="1" t="n">
        <v>45212</v>
      </c>
      <c r="D10555" t="inlineStr">
        <is>
          <t>VÄSTRA GÖTALANDS LÄN</t>
        </is>
      </c>
      <c r="E10555" t="inlineStr">
        <is>
          <t>SVENLJUNGA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30161-2023</t>
        </is>
      </c>
      <c r="B10556" s="1" t="n">
        <v>45099</v>
      </c>
      <c r="C10556" s="1" t="n">
        <v>45212</v>
      </c>
      <c r="D10556" t="inlineStr">
        <is>
          <t>VÄSTRA GÖTALANDS LÄN</t>
        </is>
      </c>
      <c r="E10556" t="inlineStr">
        <is>
          <t>STRÖMSTAD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28410-2023</t>
        </is>
      </c>
      <c r="B10557" s="1" t="n">
        <v>45101</v>
      </c>
      <c r="C10557" s="1" t="n">
        <v>45212</v>
      </c>
      <c r="D10557" t="inlineStr">
        <is>
          <t>VÄSTRA GÖTALANDS LÄN</t>
        </is>
      </c>
      <c r="E10557" t="inlineStr">
        <is>
          <t>STENUNGSUND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30495-2023</t>
        </is>
      </c>
      <c r="B10558" s="1" t="n">
        <v>45102</v>
      </c>
      <c r="C10558" s="1" t="n">
        <v>45212</v>
      </c>
      <c r="D10558" t="inlineStr">
        <is>
          <t>VÄSTRA GÖTALANDS LÄN</t>
        </is>
      </c>
      <c r="E10558" t="inlineStr">
        <is>
          <t>TANUM</t>
        </is>
      </c>
      <c r="G10558" t="n">
        <v>1.6</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30632-2023</t>
        </is>
      </c>
      <c r="B10559" s="1" t="n">
        <v>45102</v>
      </c>
      <c r="C10559" s="1" t="n">
        <v>45212</v>
      </c>
      <c r="D10559" t="inlineStr">
        <is>
          <t>VÄSTRA GÖTALANDS LÄN</t>
        </is>
      </c>
      <c r="E10559" t="inlineStr">
        <is>
          <t>TANUM</t>
        </is>
      </c>
      <c r="G10559" t="n">
        <v>0.8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30625-2023</t>
        </is>
      </c>
      <c r="B10560" s="1" t="n">
        <v>45102</v>
      </c>
      <c r="C10560" s="1" t="n">
        <v>45212</v>
      </c>
      <c r="D10560" t="inlineStr">
        <is>
          <t>VÄSTRA GÖTALANDS LÄN</t>
        </is>
      </c>
      <c r="E10560" t="inlineStr">
        <is>
          <t>TANUM</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30577-2023</t>
        </is>
      </c>
      <c r="B10561" s="1" t="n">
        <v>45102</v>
      </c>
      <c r="C10561" s="1" t="n">
        <v>45212</v>
      </c>
      <c r="D10561" t="inlineStr">
        <is>
          <t>VÄSTRA GÖTALANDS LÄN</t>
        </is>
      </c>
      <c r="E10561" t="inlineStr">
        <is>
          <t>TANUM</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30576-2023</t>
        </is>
      </c>
      <c r="B10562" s="1" t="n">
        <v>45102</v>
      </c>
      <c r="C10562" s="1" t="n">
        <v>45212</v>
      </c>
      <c r="D10562" t="inlineStr">
        <is>
          <t>VÄSTRA GÖTALANDS LÄN</t>
        </is>
      </c>
      <c r="E10562" t="inlineStr">
        <is>
          <t>TANUM</t>
        </is>
      </c>
      <c r="G10562" t="n">
        <v>3.2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28463-2023</t>
        </is>
      </c>
      <c r="B10563" s="1" t="n">
        <v>45103</v>
      </c>
      <c r="C10563" s="1" t="n">
        <v>45212</v>
      </c>
      <c r="D10563" t="inlineStr">
        <is>
          <t>VÄSTRA GÖTALANDS LÄN</t>
        </is>
      </c>
      <c r="E10563" t="inlineStr">
        <is>
          <t>FALKÖPING</t>
        </is>
      </c>
      <c r="G10563" t="n">
        <v>8.4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28684-2023</t>
        </is>
      </c>
      <c r="B10564" s="1" t="n">
        <v>45103</v>
      </c>
      <c r="C10564" s="1" t="n">
        <v>45212</v>
      </c>
      <c r="D10564" t="inlineStr">
        <is>
          <t>VÄSTRA GÖTALANDS LÄN</t>
        </is>
      </c>
      <c r="E10564" t="inlineStr">
        <is>
          <t>TIDAHOLM</t>
        </is>
      </c>
      <c r="F10564" t="inlineStr">
        <is>
          <t>Kyrkan</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28449-2023</t>
        </is>
      </c>
      <c r="B10565" s="1" t="n">
        <v>45103</v>
      </c>
      <c r="C10565" s="1" t="n">
        <v>45212</v>
      </c>
      <c r="D10565" t="inlineStr">
        <is>
          <t>VÄSTRA GÖTALANDS LÄN</t>
        </is>
      </c>
      <c r="E10565" t="inlineStr">
        <is>
          <t>DALS-ED</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28498-2023</t>
        </is>
      </c>
      <c r="B10566" s="1" t="n">
        <v>45103</v>
      </c>
      <c r="C10566" s="1" t="n">
        <v>45212</v>
      </c>
      <c r="D10566" t="inlineStr">
        <is>
          <t>VÄSTRA GÖTALANDS LÄN</t>
        </is>
      </c>
      <c r="E10566" t="inlineStr">
        <is>
          <t>BENGTSFORS</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28447-2023</t>
        </is>
      </c>
      <c r="B10567" s="1" t="n">
        <v>45103</v>
      </c>
      <c r="C10567" s="1" t="n">
        <v>45212</v>
      </c>
      <c r="D10567" t="inlineStr">
        <is>
          <t>VÄSTRA GÖTALANDS LÄN</t>
        </is>
      </c>
      <c r="E10567" t="inlineStr">
        <is>
          <t>DALS-ED</t>
        </is>
      </c>
      <c r="G10567" t="n">
        <v>7.6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28492-2023</t>
        </is>
      </c>
      <c r="B10568" s="1" t="n">
        <v>45103</v>
      </c>
      <c r="C10568" s="1" t="n">
        <v>45212</v>
      </c>
      <c r="D10568" t="inlineStr">
        <is>
          <t>VÄSTRA GÖTALANDS LÄN</t>
        </is>
      </c>
      <c r="E10568" t="inlineStr">
        <is>
          <t>TIDAHOLM</t>
        </is>
      </c>
      <c r="G10568" t="n">
        <v>3.2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28623-2023</t>
        </is>
      </c>
      <c r="B10569" s="1" t="n">
        <v>45103</v>
      </c>
      <c r="C10569" s="1" t="n">
        <v>45212</v>
      </c>
      <c r="D10569" t="inlineStr">
        <is>
          <t>VÄSTRA GÖTALANDS LÄN</t>
        </is>
      </c>
      <c r="E10569" t="inlineStr">
        <is>
          <t>TRANEMO</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28682-2023</t>
        </is>
      </c>
      <c r="B10570" s="1" t="n">
        <v>45103</v>
      </c>
      <c r="C10570" s="1" t="n">
        <v>45212</v>
      </c>
      <c r="D10570" t="inlineStr">
        <is>
          <t>VÄSTRA GÖTALANDS LÄN</t>
        </is>
      </c>
      <c r="E10570" t="inlineStr">
        <is>
          <t>TIDAHOLM</t>
        </is>
      </c>
      <c r="F10570" t="inlineStr">
        <is>
          <t>Kyrkan</t>
        </is>
      </c>
      <c r="G10570" t="n">
        <v>2.8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28933-2023</t>
        </is>
      </c>
      <c r="B10571" s="1" t="n">
        <v>45104</v>
      </c>
      <c r="C10571" s="1" t="n">
        <v>45212</v>
      </c>
      <c r="D10571" t="inlineStr">
        <is>
          <t>VÄSTRA GÖTALANDS LÄN</t>
        </is>
      </c>
      <c r="E10571" t="inlineStr">
        <is>
          <t>TRANEMO</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31330-2023</t>
        </is>
      </c>
      <c r="B10572" s="1" t="n">
        <v>45104</v>
      </c>
      <c r="C10572" s="1" t="n">
        <v>45212</v>
      </c>
      <c r="D10572" t="inlineStr">
        <is>
          <t>VÄSTRA GÖTALANDS LÄN</t>
        </is>
      </c>
      <c r="E10572" t="inlineStr">
        <is>
          <t>ÅMÅL</t>
        </is>
      </c>
      <c r="G10572" t="n">
        <v>1.1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28888-2023</t>
        </is>
      </c>
      <c r="B10573" s="1" t="n">
        <v>45104</v>
      </c>
      <c r="C10573" s="1" t="n">
        <v>45212</v>
      </c>
      <c r="D10573" t="inlineStr">
        <is>
          <t>VÄSTRA GÖTALANDS LÄN</t>
        </is>
      </c>
      <c r="E10573" t="inlineStr">
        <is>
          <t>ULRICEHAMN</t>
        </is>
      </c>
      <c r="G10573" t="n">
        <v>1.3</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29011-2023</t>
        </is>
      </c>
      <c r="B10574" s="1" t="n">
        <v>45104</v>
      </c>
      <c r="C10574" s="1" t="n">
        <v>45212</v>
      </c>
      <c r="D10574" t="inlineStr">
        <is>
          <t>VÄSTRA GÖTALANDS LÄN</t>
        </is>
      </c>
      <c r="E10574" t="inlineStr">
        <is>
          <t>SKÖVDE</t>
        </is>
      </c>
      <c r="F10574" t="inlineStr">
        <is>
          <t>Kommuner</t>
        </is>
      </c>
      <c r="G10574" t="n">
        <v>5.4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29047-2023</t>
        </is>
      </c>
      <c r="B10575" s="1" t="n">
        <v>45104</v>
      </c>
      <c r="C10575" s="1" t="n">
        <v>45212</v>
      </c>
      <c r="D10575" t="inlineStr">
        <is>
          <t>VÄSTRA GÖTALANDS LÄN</t>
        </is>
      </c>
      <c r="E10575" t="inlineStr">
        <is>
          <t>DALS-ED</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28890-2023</t>
        </is>
      </c>
      <c r="B10576" s="1" t="n">
        <v>45104</v>
      </c>
      <c r="C10576" s="1" t="n">
        <v>45212</v>
      </c>
      <c r="D10576" t="inlineStr">
        <is>
          <t>VÄSTRA GÖTALANDS LÄN</t>
        </is>
      </c>
      <c r="E10576" t="inlineStr">
        <is>
          <t>FÄRGELANDA</t>
        </is>
      </c>
      <c r="G10576" t="n">
        <v>17.1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29048-2023</t>
        </is>
      </c>
      <c r="B10577" s="1" t="n">
        <v>45104</v>
      </c>
      <c r="C10577" s="1" t="n">
        <v>45212</v>
      </c>
      <c r="D10577" t="inlineStr">
        <is>
          <t>VÄSTRA GÖTALANDS LÄN</t>
        </is>
      </c>
      <c r="E10577" t="inlineStr">
        <is>
          <t>FÄRGELANDA</t>
        </is>
      </c>
      <c r="G10577" t="n">
        <v>26.8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28873-2023</t>
        </is>
      </c>
      <c r="B10578" s="1" t="n">
        <v>45104</v>
      </c>
      <c r="C10578" s="1" t="n">
        <v>45212</v>
      </c>
      <c r="D10578" t="inlineStr">
        <is>
          <t>VÄSTRA GÖTALANDS LÄN</t>
        </is>
      </c>
      <c r="E10578" t="inlineStr">
        <is>
          <t>UDDEVALLA</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28881-2023</t>
        </is>
      </c>
      <c r="B10579" s="1" t="n">
        <v>45104</v>
      </c>
      <c r="C10579" s="1" t="n">
        <v>45212</v>
      </c>
      <c r="D10579" t="inlineStr">
        <is>
          <t>VÄSTRA GÖTALANDS LÄN</t>
        </is>
      </c>
      <c r="E10579" t="inlineStr">
        <is>
          <t>ULRICEHAMN</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28893-2023</t>
        </is>
      </c>
      <c r="B10580" s="1" t="n">
        <v>45104</v>
      </c>
      <c r="C10580" s="1" t="n">
        <v>45212</v>
      </c>
      <c r="D10580" t="inlineStr">
        <is>
          <t>VÄSTRA GÖTALANDS LÄN</t>
        </is>
      </c>
      <c r="E10580" t="inlineStr">
        <is>
          <t>ULRICEHAMN</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29049-2023</t>
        </is>
      </c>
      <c r="B10581" s="1" t="n">
        <v>45104</v>
      </c>
      <c r="C10581" s="1" t="n">
        <v>45212</v>
      </c>
      <c r="D10581" t="inlineStr">
        <is>
          <t>VÄSTRA GÖTALANDS LÄN</t>
        </is>
      </c>
      <c r="E10581" t="inlineStr">
        <is>
          <t>FÄRGELANDA</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29056-2023</t>
        </is>
      </c>
      <c r="B10582" s="1" t="n">
        <v>45104</v>
      </c>
      <c r="C10582" s="1" t="n">
        <v>45212</v>
      </c>
      <c r="D10582" t="inlineStr">
        <is>
          <t>VÄSTRA GÖTALANDS LÄN</t>
        </is>
      </c>
      <c r="E10582" t="inlineStr">
        <is>
          <t>BORÅS</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31302-2023</t>
        </is>
      </c>
      <c r="B10583" s="1" t="n">
        <v>45104</v>
      </c>
      <c r="C10583" s="1" t="n">
        <v>45212</v>
      </c>
      <c r="D10583" t="inlineStr">
        <is>
          <t>VÄSTRA GÖTALANDS LÄN</t>
        </is>
      </c>
      <c r="E10583" t="inlineStr">
        <is>
          <t>MARK</t>
        </is>
      </c>
      <c r="G10583" t="n">
        <v>8.5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31454-2023</t>
        </is>
      </c>
      <c r="B10584" s="1" t="n">
        <v>45104</v>
      </c>
      <c r="C10584" s="1" t="n">
        <v>45212</v>
      </c>
      <c r="D10584" t="inlineStr">
        <is>
          <t>VÄSTRA GÖTALANDS LÄN</t>
        </is>
      </c>
      <c r="E10584" t="inlineStr">
        <is>
          <t>ÅMÅL</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29253-2023</t>
        </is>
      </c>
      <c r="B10585" s="1" t="n">
        <v>45105</v>
      </c>
      <c r="C10585" s="1" t="n">
        <v>45212</v>
      </c>
      <c r="D10585" t="inlineStr">
        <is>
          <t>VÄSTRA GÖTALANDS LÄN</t>
        </is>
      </c>
      <c r="E10585" t="inlineStr">
        <is>
          <t>ALINGSÅS</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29177-2023</t>
        </is>
      </c>
      <c r="B10586" s="1" t="n">
        <v>45105</v>
      </c>
      <c r="C10586" s="1" t="n">
        <v>45212</v>
      </c>
      <c r="D10586" t="inlineStr">
        <is>
          <t>VÄSTRA GÖTALANDS LÄN</t>
        </is>
      </c>
      <c r="E10586" t="inlineStr">
        <is>
          <t>TIDAHOLM</t>
        </is>
      </c>
      <c r="F10586" t="inlineStr">
        <is>
          <t>Sveaskog</t>
        </is>
      </c>
      <c r="G10586" t="n">
        <v>2.1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29189-2023</t>
        </is>
      </c>
      <c r="B10587" s="1" t="n">
        <v>45105</v>
      </c>
      <c r="C10587" s="1" t="n">
        <v>45212</v>
      </c>
      <c r="D10587" t="inlineStr">
        <is>
          <t>VÄSTRA GÖTALANDS LÄN</t>
        </is>
      </c>
      <c r="E10587" t="inlineStr">
        <is>
          <t>TIDAHOLM</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29257-2023</t>
        </is>
      </c>
      <c r="B10588" s="1" t="n">
        <v>45105</v>
      </c>
      <c r="C10588" s="1" t="n">
        <v>45212</v>
      </c>
      <c r="D10588" t="inlineStr">
        <is>
          <t>VÄSTRA GÖTALANDS LÄN</t>
        </is>
      </c>
      <c r="E10588" t="inlineStr">
        <is>
          <t>VARA</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29176-2023</t>
        </is>
      </c>
      <c r="B10589" s="1" t="n">
        <v>45105</v>
      </c>
      <c r="C10589" s="1" t="n">
        <v>45212</v>
      </c>
      <c r="D10589" t="inlineStr">
        <is>
          <t>VÄSTRA GÖTALANDS LÄN</t>
        </is>
      </c>
      <c r="E10589" t="inlineStr">
        <is>
          <t>TIDAHOLM</t>
        </is>
      </c>
      <c r="F10589" t="inlineStr">
        <is>
          <t>Sveaskog</t>
        </is>
      </c>
      <c r="G10589" t="n">
        <v>5.9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29225-2023</t>
        </is>
      </c>
      <c r="B10590" s="1" t="n">
        <v>45105</v>
      </c>
      <c r="C10590" s="1" t="n">
        <v>45212</v>
      </c>
      <c r="D10590" t="inlineStr">
        <is>
          <t>VÄSTRA GÖTALANDS LÄN</t>
        </is>
      </c>
      <c r="E10590" t="inlineStr">
        <is>
          <t>FALKÖPING</t>
        </is>
      </c>
      <c r="G10590" t="n">
        <v>2.6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29288-2023</t>
        </is>
      </c>
      <c r="B10591" s="1" t="n">
        <v>45105</v>
      </c>
      <c r="C10591" s="1" t="n">
        <v>45212</v>
      </c>
      <c r="D10591" t="inlineStr">
        <is>
          <t>VÄSTRA GÖTALANDS LÄN</t>
        </is>
      </c>
      <c r="E10591" t="inlineStr">
        <is>
          <t>TIDAHOLM</t>
        </is>
      </c>
      <c r="G10591" t="n">
        <v>1.9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29366-2023</t>
        </is>
      </c>
      <c r="B10592" s="1" t="n">
        <v>45106</v>
      </c>
      <c r="C10592" s="1" t="n">
        <v>45212</v>
      </c>
      <c r="D10592" t="inlineStr">
        <is>
          <t>VÄSTRA GÖTALANDS LÄN</t>
        </is>
      </c>
      <c r="E10592" t="inlineStr">
        <is>
          <t>MARK</t>
        </is>
      </c>
      <c r="F10592" t="inlineStr">
        <is>
          <t>Sveaskog</t>
        </is>
      </c>
      <c r="G10592" t="n">
        <v>6.6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29415-2023</t>
        </is>
      </c>
      <c r="B10593" s="1" t="n">
        <v>45106</v>
      </c>
      <c r="C10593" s="1" t="n">
        <v>45212</v>
      </c>
      <c r="D10593" t="inlineStr">
        <is>
          <t>VÄSTRA GÖTALANDS LÄN</t>
        </is>
      </c>
      <c r="E10593" t="inlineStr">
        <is>
          <t>MUNKEDAL</t>
        </is>
      </c>
      <c r="G10593" t="n">
        <v>1.7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30807-2023</t>
        </is>
      </c>
      <c r="B10594" s="1" t="n">
        <v>45106</v>
      </c>
      <c r="C10594" s="1" t="n">
        <v>45212</v>
      </c>
      <c r="D10594" t="inlineStr">
        <is>
          <t>VÄSTRA GÖTALANDS LÄN</t>
        </is>
      </c>
      <c r="E10594" t="inlineStr">
        <is>
          <t>DALS-ED</t>
        </is>
      </c>
      <c r="G10594" t="n">
        <v>5.3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29390-2023</t>
        </is>
      </c>
      <c r="B10595" s="1" t="n">
        <v>45106</v>
      </c>
      <c r="C10595" s="1" t="n">
        <v>45212</v>
      </c>
      <c r="D10595" t="inlineStr">
        <is>
          <t>VÄSTRA GÖTALANDS LÄN</t>
        </is>
      </c>
      <c r="E10595" t="inlineStr">
        <is>
          <t>MELLERUD</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29385-2023</t>
        </is>
      </c>
      <c r="B10596" s="1" t="n">
        <v>45106</v>
      </c>
      <c r="C10596" s="1" t="n">
        <v>45212</v>
      </c>
      <c r="D10596" t="inlineStr">
        <is>
          <t>VÄSTRA GÖTALANDS LÄN</t>
        </is>
      </c>
      <c r="E10596" t="inlineStr">
        <is>
          <t>SVENLJUNGA</t>
        </is>
      </c>
      <c r="G10596" t="n">
        <v>3.2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29437-2023</t>
        </is>
      </c>
      <c r="B10597" s="1" t="n">
        <v>45106</v>
      </c>
      <c r="C10597" s="1" t="n">
        <v>45212</v>
      </c>
      <c r="D10597" t="inlineStr">
        <is>
          <t>VÄSTRA GÖTALANDS LÄN</t>
        </is>
      </c>
      <c r="E10597" t="inlineStr">
        <is>
          <t>TANUM</t>
        </is>
      </c>
      <c r="G10597" t="n">
        <v>4.1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29388-2023</t>
        </is>
      </c>
      <c r="B10598" s="1" t="n">
        <v>45106</v>
      </c>
      <c r="C10598" s="1" t="n">
        <v>45212</v>
      </c>
      <c r="D10598" t="inlineStr">
        <is>
          <t>VÄSTRA GÖTALANDS LÄN</t>
        </is>
      </c>
      <c r="E10598" t="inlineStr">
        <is>
          <t>MELLERUD</t>
        </is>
      </c>
      <c r="G10598" t="n">
        <v>2.7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29692-2023</t>
        </is>
      </c>
      <c r="B10599" s="1" t="n">
        <v>45107</v>
      </c>
      <c r="C10599" s="1" t="n">
        <v>45212</v>
      </c>
      <c r="D10599" t="inlineStr">
        <is>
          <t>VÄSTRA GÖTALANDS LÄN</t>
        </is>
      </c>
      <c r="E10599" t="inlineStr">
        <is>
          <t>SVENLJUNGA</t>
        </is>
      </c>
      <c r="G10599" t="n">
        <v>6.8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29697-2023</t>
        </is>
      </c>
      <c r="B10600" s="1" t="n">
        <v>45107</v>
      </c>
      <c r="C10600" s="1" t="n">
        <v>45212</v>
      </c>
      <c r="D10600" t="inlineStr">
        <is>
          <t>VÄSTRA GÖTALANDS LÄN</t>
        </is>
      </c>
      <c r="E10600" t="inlineStr">
        <is>
          <t>HÄRRYDA</t>
        </is>
      </c>
      <c r="G10600" t="n">
        <v>5.8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29777-2023</t>
        </is>
      </c>
      <c r="B10601" s="1" t="n">
        <v>45107</v>
      </c>
      <c r="C10601" s="1" t="n">
        <v>45212</v>
      </c>
      <c r="D10601" t="inlineStr">
        <is>
          <t>VÄSTRA GÖTALANDS LÄN</t>
        </is>
      </c>
      <c r="E10601" t="inlineStr">
        <is>
          <t>FÄRGELANDA</t>
        </is>
      </c>
      <c r="G10601" t="n">
        <v>0.6</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29781-2023</t>
        </is>
      </c>
      <c r="B10602" s="1" t="n">
        <v>45107</v>
      </c>
      <c r="C10602" s="1" t="n">
        <v>45212</v>
      </c>
      <c r="D10602" t="inlineStr">
        <is>
          <t>VÄSTRA GÖTALANDS LÄN</t>
        </is>
      </c>
      <c r="E10602" t="inlineStr">
        <is>
          <t>TIBRO</t>
        </is>
      </c>
      <c r="G10602" t="n">
        <v>3.3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29788-2023</t>
        </is>
      </c>
      <c r="B10603" s="1" t="n">
        <v>45107</v>
      </c>
      <c r="C10603" s="1" t="n">
        <v>45212</v>
      </c>
      <c r="D10603" t="inlineStr">
        <is>
          <t>VÄSTRA GÖTALANDS LÄN</t>
        </is>
      </c>
      <c r="E10603" t="inlineStr">
        <is>
          <t>BORÅS</t>
        </is>
      </c>
      <c r="G10603" t="n">
        <v>0.8</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29691-2023</t>
        </is>
      </c>
      <c r="B10604" s="1" t="n">
        <v>45107</v>
      </c>
      <c r="C10604" s="1" t="n">
        <v>45212</v>
      </c>
      <c r="D10604" t="inlineStr">
        <is>
          <t>VÄSTRA GÖTALANDS LÄN</t>
        </is>
      </c>
      <c r="E10604" t="inlineStr">
        <is>
          <t>UDDEVALLA</t>
        </is>
      </c>
      <c r="G10604" t="n">
        <v>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29696-2023</t>
        </is>
      </c>
      <c r="B10605" s="1" t="n">
        <v>45107</v>
      </c>
      <c r="C10605" s="1" t="n">
        <v>45212</v>
      </c>
      <c r="D10605" t="inlineStr">
        <is>
          <t>VÄSTRA GÖTALANDS LÄN</t>
        </is>
      </c>
      <c r="E10605" t="inlineStr">
        <is>
          <t>HÄRRYDA</t>
        </is>
      </c>
      <c r="G10605" t="n">
        <v>5.3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29701-2023</t>
        </is>
      </c>
      <c r="B10606" s="1" t="n">
        <v>45107</v>
      </c>
      <c r="C10606" s="1" t="n">
        <v>45212</v>
      </c>
      <c r="D10606" t="inlineStr">
        <is>
          <t>VÄSTRA GÖTALANDS LÄN</t>
        </is>
      </c>
      <c r="E10606" t="inlineStr">
        <is>
          <t>MARK</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29750-2023</t>
        </is>
      </c>
      <c r="B10607" s="1" t="n">
        <v>45107</v>
      </c>
      <c r="C10607" s="1" t="n">
        <v>45212</v>
      </c>
      <c r="D10607" t="inlineStr">
        <is>
          <t>VÄSTRA GÖTALANDS LÄN</t>
        </is>
      </c>
      <c r="E10607" t="inlineStr">
        <is>
          <t>FALKÖPING</t>
        </is>
      </c>
      <c r="G10607" t="n">
        <v>6.6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29856-2023</t>
        </is>
      </c>
      <c r="B10608" s="1" t="n">
        <v>45107</v>
      </c>
      <c r="C10608" s="1" t="n">
        <v>45212</v>
      </c>
      <c r="D10608" t="inlineStr">
        <is>
          <t>VÄSTRA GÖTALANDS LÄN</t>
        </is>
      </c>
      <c r="E10608" t="inlineStr">
        <is>
          <t>TIDAHOLM</t>
        </is>
      </c>
      <c r="G10608" t="n">
        <v>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29930-2023</t>
        </is>
      </c>
      <c r="B10609" s="1" t="n">
        <v>45107</v>
      </c>
      <c r="C10609" s="1" t="n">
        <v>45212</v>
      </c>
      <c r="D10609" t="inlineStr">
        <is>
          <t>VÄSTRA GÖTALANDS LÄN</t>
        </is>
      </c>
      <c r="E10609" t="inlineStr">
        <is>
          <t>TANUM</t>
        </is>
      </c>
      <c r="G10609" t="n">
        <v>6.5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30019-2023</t>
        </is>
      </c>
      <c r="B10610" s="1" t="n">
        <v>45109</v>
      </c>
      <c r="C10610" s="1" t="n">
        <v>45212</v>
      </c>
      <c r="D10610" t="inlineStr">
        <is>
          <t>VÄSTRA GÖTALANDS LÄN</t>
        </is>
      </c>
      <c r="E10610" t="inlineStr">
        <is>
          <t>SKARA</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30017-2023</t>
        </is>
      </c>
      <c r="B10611" s="1" t="n">
        <v>45109</v>
      </c>
      <c r="C10611" s="1" t="n">
        <v>45212</v>
      </c>
      <c r="D10611" t="inlineStr">
        <is>
          <t>VÄSTRA GÖTALANDS LÄN</t>
        </is>
      </c>
      <c r="E10611" t="inlineStr">
        <is>
          <t>SKARA</t>
        </is>
      </c>
      <c r="G10611" t="n">
        <v>2.8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32304-2023</t>
        </is>
      </c>
      <c r="B10612" s="1" t="n">
        <v>45109</v>
      </c>
      <c r="C10612" s="1" t="n">
        <v>45212</v>
      </c>
      <c r="D10612" t="inlineStr">
        <is>
          <t>VÄSTRA GÖTALANDS LÄN</t>
        </is>
      </c>
      <c r="E10612" t="inlineStr">
        <is>
          <t>HJO</t>
        </is>
      </c>
      <c r="G10612" t="n">
        <v>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30158-2023</t>
        </is>
      </c>
      <c r="B10613" s="1" t="n">
        <v>45110</v>
      </c>
      <c r="C10613" s="1" t="n">
        <v>45212</v>
      </c>
      <c r="D10613" t="inlineStr">
        <is>
          <t>VÄSTRA GÖTALANDS LÄN</t>
        </is>
      </c>
      <c r="E10613" t="inlineStr">
        <is>
          <t>TROLLHÄTTAN</t>
        </is>
      </c>
      <c r="G10613" t="n">
        <v>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32416-2023</t>
        </is>
      </c>
      <c r="B10614" s="1" t="n">
        <v>45110</v>
      </c>
      <c r="C10614" s="1" t="n">
        <v>45212</v>
      </c>
      <c r="D10614" t="inlineStr">
        <is>
          <t>VÄSTRA GÖTALANDS LÄN</t>
        </is>
      </c>
      <c r="E10614" t="inlineStr">
        <is>
          <t>STRÖMSTAD</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30197-2023</t>
        </is>
      </c>
      <c r="B10615" s="1" t="n">
        <v>45110</v>
      </c>
      <c r="C10615" s="1" t="n">
        <v>45212</v>
      </c>
      <c r="D10615" t="inlineStr">
        <is>
          <t>VÄSTRA GÖTALANDS LÄN</t>
        </is>
      </c>
      <c r="E10615" t="inlineStr">
        <is>
          <t>TROLLHÄTTAN</t>
        </is>
      </c>
      <c r="G10615" t="n">
        <v>4.2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32419-2023</t>
        </is>
      </c>
      <c r="B10616" s="1" t="n">
        <v>45110</v>
      </c>
      <c r="C10616" s="1" t="n">
        <v>45212</v>
      </c>
      <c r="D10616" t="inlineStr">
        <is>
          <t>VÄSTRA GÖTALANDS LÄN</t>
        </is>
      </c>
      <c r="E10616" t="inlineStr">
        <is>
          <t>TANUM</t>
        </is>
      </c>
      <c r="G10616" t="n">
        <v>1.1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32624-2023</t>
        </is>
      </c>
      <c r="B10617" s="1" t="n">
        <v>45111</v>
      </c>
      <c r="C10617" s="1" t="n">
        <v>45212</v>
      </c>
      <c r="D10617" t="inlineStr">
        <is>
          <t>VÄSTRA GÖTALANDS LÄN</t>
        </is>
      </c>
      <c r="E10617" t="inlineStr">
        <is>
          <t>GULLSPÅNG</t>
        </is>
      </c>
      <c r="G10617" t="n">
        <v>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30473-2023</t>
        </is>
      </c>
      <c r="B10618" s="1" t="n">
        <v>45111</v>
      </c>
      <c r="C10618" s="1" t="n">
        <v>45212</v>
      </c>
      <c r="D10618" t="inlineStr">
        <is>
          <t>VÄSTRA GÖTALANDS LÄN</t>
        </is>
      </c>
      <c r="E10618" t="inlineStr">
        <is>
          <t>SVENLJUNGA</t>
        </is>
      </c>
      <c r="G10618" t="n">
        <v>4.4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30372-2023</t>
        </is>
      </c>
      <c r="B10619" s="1" t="n">
        <v>45111</v>
      </c>
      <c r="C10619" s="1" t="n">
        <v>45212</v>
      </c>
      <c r="D10619" t="inlineStr">
        <is>
          <t>VÄSTRA GÖTALANDS LÄN</t>
        </is>
      </c>
      <c r="E10619" t="inlineStr">
        <is>
          <t>BORÅS</t>
        </is>
      </c>
      <c r="G10619" t="n">
        <v>9.4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30460-2023</t>
        </is>
      </c>
      <c r="B10620" s="1" t="n">
        <v>45111</v>
      </c>
      <c r="C10620" s="1" t="n">
        <v>45212</v>
      </c>
      <c r="D10620" t="inlineStr">
        <is>
          <t>VÄSTRA GÖTALANDS LÄN</t>
        </is>
      </c>
      <c r="E10620" t="inlineStr">
        <is>
          <t>BENGTSFORS</t>
        </is>
      </c>
      <c r="F10620" t="inlineStr">
        <is>
          <t>Övriga Aktiebolag</t>
        </is>
      </c>
      <c r="G10620" t="n">
        <v>14.3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30477-2023</t>
        </is>
      </c>
      <c r="B10621" s="1" t="n">
        <v>45111</v>
      </c>
      <c r="C10621" s="1" t="n">
        <v>45212</v>
      </c>
      <c r="D10621" t="inlineStr">
        <is>
          <t>VÄSTRA GÖTALANDS LÄN</t>
        </is>
      </c>
      <c r="E10621" t="inlineStr">
        <is>
          <t>SVENLJUNGA</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30529-2023</t>
        </is>
      </c>
      <c r="B10622" s="1" t="n">
        <v>45111</v>
      </c>
      <c r="C10622" s="1" t="n">
        <v>45212</v>
      </c>
      <c r="D10622" t="inlineStr">
        <is>
          <t>VÄSTRA GÖTALANDS LÄN</t>
        </is>
      </c>
      <c r="E10622" t="inlineStr">
        <is>
          <t>MARK</t>
        </is>
      </c>
      <c r="G10622" t="n">
        <v>6.9</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32564-2023</t>
        </is>
      </c>
      <c r="B10623" s="1" t="n">
        <v>45111</v>
      </c>
      <c r="C10623" s="1" t="n">
        <v>45212</v>
      </c>
      <c r="D10623" t="inlineStr">
        <is>
          <t>VÄSTRA GÖTALANDS LÄN</t>
        </is>
      </c>
      <c r="E10623" t="inlineStr">
        <is>
          <t>GULLSPÅNG</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30633-2023</t>
        </is>
      </c>
      <c r="B10624" s="1" t="n">
        <v>45112</v>
      </c>
      <c r="C10624" s="1" t="n">
        <v>45212</v>
      </c>
      <c r="D10624" t="inlineStr">
        <is>
          <t>VÄSTRA GÖTALANDS LÄN</t>
        </is>
      </c>
      <c r="E10624" t="inlineStr">
        <is>
          <t>BOLLEBYGD</t>
        </is>
      </c>
      <c r="G10624" t="n">
        <v>0.7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30653-2023</t>
        </is>
      </c>
      <c r="B10625" s="1" t="n">
        <v>45112</v>
      </c>
      <c r="C10625" s="1" t="n">
        <v>45212</v>
      </c>
      <c r="D10625" t="inlineStr">
        <is>
          <t>VÄSTRA GÖTALANDS LÄN</t>
        </is>
      </c>
      <c r="E10625" t="inlineStr">
        <is>
          <t>BOLLEBYGD</t>
        </is>
      </c>
      <c r="G10625" t="n">
        <v>3</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30745-2023</t>
        </is>
      </c>
      <c r="B10626" s="1" t="n">
        <v>45112</v>
      </c>
      <c r="C10626" s="1" t="n">
        <v>45212</v>
      </c>
      <c r="D10626" t="inlineStr">
        <is>
          <t>VÄSTRA GÖTALANDS LÄN</t>
        </is>
      </c>
      <c r="E10626" t="inlineStr">
        <is>
          <t>BOLLEBYGD</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30762-2023</t>
        </is>
      </c>
      <c r="B10627" s="1" t="n">
        <v>45112</v>
      </c>
      <c r="C10627" s="1" t="n">
        <v>45212</v>
      </c>
      <c r="D10627" t="inlineStr">
        <is>
          <t>VÄSTRA GÖTALANDS LÄN</t>
        </is>
      </c>
      <c r="E10627" t="inlineStr">
        <is>
          <t>BOLLEBYGD</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32683-2023</t>
        </is>
      </c>
      <c r="B10628" s="1" t="n">
        <v>45112</v>
      </c>
      <c r="C10628" s="1" t="n">
        <v>45212</v>
      </c>
      <c r="D10628" t="inlineStr">
        <is>
          <t>VÄSTRA GÖTALANDS LÄN</t>
        </is>
      </c>
      <c r="E10628" t="inlineStr">
        <is>
          <t>DALS-ED</t>
        </is>
      </c>
      <c r="G10628" t="n">
        <v>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30626-2023</t>
        </is>
      </c>
      <c r="B10629" s="1" t="n">
        <v>45112</v>
      </c>
      <c r="C10629" s="1" t="n">
        <v>45212</v>
      </c>
      <c r="D10629" t="inlineStr">
        <is>
          <t>VÄSTRA GÖTALANDS LÄN</t>
        </is>
      </c>
      <c r="E10629" t="inlineStr">
        <is>
          <t>FALKÖPING</t>
        </is>
      </c>
      <c r="G10629" t="n">
        <v>1.3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30648-2023</t>
        </is>
      </c>
      <c r="B10630" s="1" t="n">
        <v>45112</v>
      </c>
      <c r="C10630" s="1" t="n">
        <v>45212</v>
      </c>
      <c r="D10630" t="inlineStr">
        <is>
          <t>VÄSTRA GÖTALANDS LÄN</t>
        </is>
      </c>
      <c r="E10630" t="inlineStr">
        <is>
          <t>BOLLEBYGD</t>
        </is>
      </c>
      <c r="G10630" t="n">
        <v>3.4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30763-2023</t>
        </is>
      </c>
      <c r="B10631" s="1" t="n">
        <v>45112</v>
      </c>
      <c r="C10631" s="1" t="n">
        <v>45212</v>
      </c>
      <c r="D10631" t="inlineStr">
        <is>
          <t>VÄSTRA GÖTALANDS LÄN</t>
        </is>
      </c>
      <c r="E10631" t="inlineStr">
        <is>
          <t>BOLLEBYGD</t>
        </is>
      </c>
      <c r="G10631" t="n">
        <v>4.9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30772-2023</t>
        </is>
      </c>
      <c r="B10632" s="1" t="n">
        <v>45112</v>
      </c>
      <c r="C10632" s="1" t="n">
        <v>45212</v>
      </c>
      <c r="D10632" t="inlineStr">
        <is>
          <t>VÄSTRA GÖTALANDS LÄN</t>
        </is>
      </c>
      <c r="E10632" t="inlineStr">
        <is>
          <t>BOLLEBYGD</t>
        </is>
      </c>
      <c r="G10632" t="n">
        <v>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33143-2023</t>
        </is>
      </c>
      <c r="B10633" s="1" t="n">
        <v>45112</v>
      </c>
      <c r="C10633" s="1" t="n">
        <v>45212</v>
      </c>
      <c r="D10633" t="inlineStr">
        <is>
          <t>VÄSTRA GÖTALANDS LÄN</t>
        </is>
      </c>
      <c r="E10633" t="inlineStr">
        <is>
          <t>GRÄSTORP</t>
        </is>
      </c>
      <c r="G10633" t="n">
        <v>1.8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30662-2023</t>
        </is>
      </c>
      <c r="B10634" s="1" t="n">
        <v>45112</v>
      </c>
      <c r="C10634" s="1" t="n">
        <v>45212</v>
      </c>
      <c r="D10634" t="inlineStr">
        <is>
          <t>VÄSTRA GÖTALANDS LÄN</t>
        </is>
      </c>
      <c r="E10634" t="inlineStr">
        <is>
          <t>BOLLEBYGD</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30760-2023</t>
        </is>
      </c>
      <c r="B10635" s="1" t="n">
        <v>45112</v>
      </c>
      <c r="C10635" s="1" t="n">
        <v>45212</v>
      </c>
      <c r="D10635" t="inlineStr">
        <is>
          <t>VÄSTRA GÖTALANDS LÄN</t>
        </is>
      </c>
      <c r="E10635" t="inlineStr">
        <is>
          <t>BOLLEBYGD</t>
        </is>
      </c>
      <c r="G10635" t="n">
        <v>1.4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32846-2023</t>
        </is>
      </c>
      <c r="B10636" s="1" t="n">
        <v>45112</v>
      </c>
      <c r="C10636" s="1" t="n">
        <v>45212</v>
      </c>
      <c r="D10636" t="inlineStr">
        <is>
          <t>VÄSTRA GÖTALANDS LÄN</t>
        </is>
      </c>
      <c r="E10636" t="inlineStr">
        <is>
          <t>UDDEVALLA</t>
        </is>
      </c>
      <c r="G10636" t="n">
        <v>4.9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32887-2023</t>
        </is>
      </c>
      <c r="B10637" s="1" t="n">
        <v>45112</v>
      </c>
      <c r="C10637" s="1" t="n">
        <v>45212</v>
      </c>
      <c r="D10637" t="inlineStr">
        <is>
          <t>VÄSTRA GÖTALANDS LÄN</t>
        </is>
      </c>
      <c r="E10637" t="inlineStr">
        <is>
          <t>ÅMÅL</t>
        </is>
      </c>
      <c r="G10637" t="n">
        <v>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33145-2023</t>
        </is>
      </c>
      <c r="B10638" s="1" t="n">
        <v>45112</v>
      </c>
      <c r="C10638" s="1" t="n">
        <v>45212</v>
      </c>
      <c r="D10638" t="inlineStr">
        <is>
          <t>VÄSTRA GÖTALANDS LÄN</t>
        </is>
      </c>
      <c r="E10638" t="inlineStr">
        <is>
          <t>GRÄSTORP</t>
        </is>
      </c>
      <c r="G10638" t="n">
        <v>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30640-2023</t>
        </is>
      </c>
      <c r="B10639" s="1" t="n">
        <v>45112</v>
      </c>
      <c r="C10639" s="1" t="n">
        <v>45212</v>
      </c>
      <c r="D10639" t="inlineStr">
        <is>
          <t>VÄSTRA GÖTALANDS LÄN</t>
        </is>
      </c>
      <c r="E10639" t="inlineStr">
        <is>
          <t>BENGTSFORS</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30652-2023</t>
        </is>
      </c>
      <c r="B10640" s="1" t="n">
        <v>45112</v>
      </c>
      <c r="C10640" s="1" t="n">
        <v>45212</v>
      </c>
      <c r="D10640" t="inlineStr">
        <is>
          <t>VÄSTRA GÖTALANDS LÄN</t>
        </is>
      </c>
      <c r="E10640" t="inlineStr">
        <is>
          <t>MARIESTAD</t>
        </is>
      </c>
      <c r="F10640" t="inlineStr">
        <is>
          <t>Kommuner</t>
        </is>
      </c>
      <c r="G10640" t="n">
        <v>2.6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30674-2023</t>
        </is>
      </c>
      <c r="B10641" s="1" t="n">
        <v>45112</v>
      </c>
      <c r="C10641" s="1" t="n">
        <v>45212</v>
      </c>
      <c r="D10641" t="inlineStr">
        <is>
          <t>VÄSTRA GÖTALANDS LÄN</t>
        </is>
      </c>
      <c r="E10641" t="inlineStr">
        <is>
          <t>VÅRGÅRDA</t>
        </is>
      </c>
      <c r="G10641" t="n">
        <v>2.4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30724-2023</t>
        </is>
      </c>
      <c r="B10642" s="1" t="n">
        <v>45112</v>
      </c>
      <c r="C10642" s="1" t="n">
        <v>45212</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30754-2023</t>
        </is>
      </c>
      <c r="B10643" s="1" t="n">
        <v>45112</v>
      </c>
      <c r="C10643" s="1" t="n">
        <v>45212</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30769-2023</t>
        </is>
      </c>
      <c r="B10644" s="1" t="n">
        <v>45112</v>
      </c>
      <c r="C10644" s="1" t="n">
        <v>45212</v>
      </c>
      <c r="D10644" t="inlineStr">
        <is>
          <t>VÄSTRA GÖTALANDS LÄN</t>
        </is>
      </c>
      <c r="E10644" t="inlineStr">
        <is>
          <t>BOLLEBYGD</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32889-2023</t>
        </is>
      </c>
      <c r="B10645" s="1" t="n">
        <v>45112</v>
      </c>
      <c r="C10645" s="1" t="n">
        <v>45212</v>
      </c>
      <c r="D10645" t="inlineStr">
        <is>
          <t>VÄSTRA GÖTALANDS LÄN</t>
        </is>
      </c>
      <c r="E10645" t="inlineStr">
        <is>
          <t>ÅMÅL</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30990-2023</t>
        </is>
      </c>
      <c r="B10646" s="1" t="n">
        <v>45113</v>
      </c>
      <c r="C10646" s="1" t="n">
        <v>45212</v>
      </c>
      <c r="D10646" t="inlineStr">
        <is>
          <t>VÄSTRA GÖTALANDS LÄN</t>
        </is>
      </c>
      <c r="E10646" t="inlineStr">
        <is>
          <t>ÅMÅL</t>
        </is>
      </c>
      <c r="G10646" t="n">
        <v>4.4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30983-2023</t>
        </is>
      </c>
      <c r="B10647" s="1" t="n">
        <v>45113</v>
      </c>
      <c r="C10647" s="1" t="n">
        <v>45212</v>
      </c>
      <c r="D10647" t="inlineStr">
        <is>
          <t>VÄSTRA GÖTALANDS LÄN</t>
        </is>
      </c>
      <c r="E10647" t="inlineStr">
        <is>
          <t>MARK</t>
        </is>
      </c>
      <c r="G10647" t="n">
        <v>1.4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31122-2023</t>
        </is>
      </c>
      <c r="B10648" s="1" t="n">
        <v>45113</v>
      </c>
      <c r="C10648" s="1" t="n">
        <v>45212</v>
      </c>
      <c r="D10648" t="inlineStr">
        <is>
          <t>VÄSTRA GÖTALANDS LÄN</t>
        </is>
      </c>
      <c r="E10648" t="inlineStr">
        <is>
          <t>MELLERUD</t>
        </is>
      </c>
      <c r="G10648" t="n">
        <v>0.8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31173-2023</t>
        </is>
      </c>
      <c r="B10649" s="1" t="n">
        <v>45113</v>
      </c>
      <c r="C10649" s="1" t="n">
        <v>45212</v>
      </c>
      <c r="D10649" t="inlineStr">
        <is>
          <t>VÄSTRA GÖTALANDS LÄN</t>
        </is>
      </c>
      <c r="E10649" t="inlineStr">
        <is>
          <t>MARK</t>
        </is>
      </c>
      <c r="G10649" t="n">
        <v>5.4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30911-2023</t>
        </is>
      </c>
      <c r="B10650" s="1" t="n">
        <v>45113</v>
      </c>
      <c r="C10650" s="1" t="n">
        <v>45212</v>
      </c>
      <c r="D10650" t="inlineStr">
        <is>
          <t>VÄSTRA GÖTALANDS LÄN</t>
        </is>
      </c>
      <c r="E10650" t="inlineStr">
        <is>
          <t>TRANEMO</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30982-2023</t>
        </is>
      </c>
      <c r="B10651" s="1" t="n">
        <v>45113</v>
      </c>
      <c r="C10651" s="1" t="n">
        <v>45212</v>
      </c>
      <c r="D10651" t="inlineStr">
        <is>
          <t>VÄSTRA GÖTALANDS LÄN</t>
        </is>
      </c>
      <c r="E10651" t="inlineStr">
        <is>
          <t>TRANEMO</t>
        </is>
      </c>
      <c r="G10651" t="n">
        <v>3.8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30986-2023</t>
        </is>
      </c>
      <c r="B10652" s="1" t="n">
        <v>45113</v>
      </c>
      <c r="C10652" s="1" t="n">
        <v>45212</v>
      </c>
      <c r="D10652" t="inlineStr">
        <is>
          <t>VÄSTRA GÖTALANDS LÄN</t>
        </is>
      </c>
      <c r="E10652" t="inlineStr">
        <is>
          <t>MARK</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31453-2023</t>
        </is>
      </c>
      <c r="B10653" s="1" t="n">
        <v>45114</v>
      </c>
      <c r="C10653" s="1" t="n">
        <v>45212</v>
      </c>
      <c r="D10653" t="inlineStr">
        <is>
          <t>VÄSTRA GÖTALANDS LÄN</t>
        </is>
      </c>
      <c r="E10653" t="inlineStr">
        <is>
          <t>SVENLJUNGA</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33207-2023</t>
        </is>
      </c>
      <c r="B10654" s="1" t="n">
        <v>45114</v>
      </c>
      <c r="C10654" s="1" t="n">
        <v>45212</v>
      </c>
      <c r="D10654" t="inlineStr">
        <is>
          <t>VÄSTRA GÖTALANDS LÄN</t>
        </is>
      </c>
      <c r="E10654" t="inlineStr">
        <is>
          <t>STRÖMSTAD</t>
        </is>
      </c>
      <c r="G10654" t="n">
        <v>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31237-2023</t>
        </is>
      </c>
      <c r="B10655" s="1" t="n">
        <v>45114</v>
      </c>
      <c r="C10655" s="1" t="n">
        <v>45212</v>
      </c>
      <c r="D10655" t="inlineStr">
        <is>
          <t>VÄSTRA GÖTALANDS LÄN</t>
        </is>
      </c>
      <c r="E10655" t="inlineStr">
        <is>
          <t>ULRICEHAMN</t>
        </is>
      </c>
      <c r="G10655" t="n">
        <v>8.800000000000001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31427-2023</t>
        </is>
      </c>
      <c r="B10656" s="1" t="n">
        <v>45114</v>
      </c>
      <c r="C10656" s="1" t="n">
        <v>45212</v>
      </c>
      <c r="D10656" t="inlineStr">
        <is>
          <t>VÄSTRA GÖTALANDS LÄN</t>
        </is>
      </c>
      <c r="E10656" t="inlineStr">
        <is>
          <t>BENGTSFORS</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31446-2023</t>
        </is>
      </c>
      <c r="B10657" s="1" t="n">
        <v>45114</v>
      </c>
      <c r="C10657" s="1" t="n">
        <v>45212</v>
      </c>
      <c r="D10657" t="inlineStr">
        <is>
          <t>VÄSTRA GÖTALANDS LÄN</t>
        </is>
      </c>
      <c r="E10657" t="inlineStr">
        <is>
          <t>SVENLJUNGA</t>
        </is>
      </c>
      <c r="G10657" t="n">
        <v>3.5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31456-2023</t>
        </is>
      </c>
      <c r="B10658" s="1" t="n">
        <v>45114</v>
      </c>
      <c r="C10658" s="1" t="n">
        <v>45212</v>
      </c>
      <c r="D10658" t="inlineStr">
        <is>
          <t>VÄSTRA GÖTALANDS LÄN</t>
        </is>
      </c>
      <c r="E10658" t="inlineStr">
        <is>
          <t>ÅMÅL</t>
        </is>
      </c>
      <c r="G10658" t="n">
        <v>6.9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33301-2023</t>
        </is>
      </c>
      <c r="B10659" s="1" t="n">
        <v>45116</v>
      </c>
      <c r="C10659" s="1" t="n">
        <v>45212</v>
      </c>
      <c r="D10659" t="inlineStr">
        <is>
          <t>VÄSTRA GÖTALANDS LÄN</t>
        </is>
      </c>
      <c r="E10659" t="inlineStr">
        <is>
          <t>VARA</t>
        </is>
      </c>
      <c r="G10659" t="n">
        <v>1.3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31521-2023</t>
        </is>
      </c>
      <c r="B10660" s="1" t="n">
        <v>45116</v>
      </c>
      <c r="C10660" s="1" t="n">
        <v>45212</v>
      </c>
      <c r="D10660" t="inlineStr">
        <is>
          <t>VÄSTRA GÖTALANDS LÄN</t>
        </is>
      </c>
      <c r="E10660" t="inlineStr">
        <is>
          <t>FALKÖPING</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33300-2023</t>
        </is>
      </c>
      <c r="B10661" s="1" t="n">
        <v>45116</v>
      </c>
      <c r="C10661" s="1" t="n">
        <v>45212</v>
      </c>
      <c r="D10661" t="inlineStr">
        <is>
          <t>VÄSTRA GÖTALANDS LÄN</t>
        </is>
      </c>
      <c r="E10661" t="inlineStr">
        <is>
          <t>VARA</t>
        </is>
      </c>
      <c r="G10661" t="n">
        <v>1.4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33299-2023</t>
        </is>
      </c>
      <c r="B10662" s="1" t="n">
        <v>45116</v>
      </c>
      <c r="C10662" s="1" t="n">
        <v>45212</v>
      </c>
      <c r="D10662" t="inlineStr">
        <is>
          <t>VÄSTRA GÖTALANDS LÄN</t>
        </is>
      </c>
      <c r="E10662" t="inlineStr">
        <is>
          <t>VARA</t>
        </is>
      </c>
      <c r="G10662" t="n">
        <v>2.7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31717-2023</t>
        </is>
      </c>
      <c r="B10663" s="1" t="n">
        <v>45117</v>
      </c>
      <c r="C10663" s="1" t="n">
        <v>45212</v>
      </c>
      <c r="D10663" t="inlineStr">
        <is>
          <t>VÄSTRA GÖTALANDS LÄN</t>
        </is>
      </c>
      <c r="E10663" t="inlineStr">
        <is>
          <t>BOLLEBYGD</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31746-2023</t>
        </is>
      </c>
      <c r="B10664" s="1" t="n">
        <v>45117</v>
      </c>
      <c r="C10664" s="1" t="n">
        <v>45212</v>
      </c>
      <c r="D10664" t="inlineStr">
        <is>
          <t>VÄSTRA GÖTALANDS LÄN</t>
        </is>
      </c>
      <c r="E10664" t="inlineStr">
        <is>
          <t>BOLLEBYGD</t>
        </is>
      </c>
      <c r="G10664" t="n">
        <v>1.2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31745-2023</t>
        </is>
      </c>
      <c r="B10665" s="1" t="n">
        <v>45117</v>
      </c>
      <c r="C10665" s="1" t="n">
        <v>45212</v>
      </c>
      <c r="D10665" t="inlineStr">
        <is>
          <t>VÄSTRA GÖTALANDS LÄN</t>
        </is>
      </c>
      <c r="E10665" t="inlineStr">
        <is>
          <t>BOLLEBYGD</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31728-2023</t>
        </is>
      </c>
      <c r="B10666" s="1" t="n">
        <v>45117</v>
      </c>
      <c r="C10666" s="1" t="n">
        <v>45212</v>
      </c>
      <c r="D10666" t="inlineStr">
        <is>
          <t>VÄSTRA GÖTALANDS LÄN</t>
        </is>
      </c>
      <c r="E10666" t="inlineStr">
        <is>
          <t>BOLLEBYGD</t>
        </is>
      </c>
      <c r="G10666" t="n">
        <v>0.6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31744-2023</t>
        </is>
      </c>
      <c r="B10667" s="1" t="n">
        <v>45117</v>
      </c>
      <c r="C10667" s="1" t="n">
        <v>45212</v>
      </c>
      <c r="D10667" t="inlineStr">
        <is>
          <t>VÄSTRA GÖTALANDS LÄN</t>
        </is>
      </c>
      <c r="E10667" t="inlineStr">
        <is>
          <t>BOLLEBYGD</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31727-2023</t>
        </is>
      </c>
      <c r="B10668" s="1" t="n">
        <v>45117</v>
      </c>
      <c r="C10668" s="1" t="n">
        <v>45212</v>
      </c>
      <c r="D10668" t="inlineStr">
        <is>
          <t>VÄSTRA GÖTALANDS LÄN</t>
        </is>
      </c>
      <c r="E10668" t="inlineStr">
        <is>
          <t>BOLLEBYGD</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31825-2023</t>
        </is>
      </c>
      <c r="B10669" s="1" t="n">
        <v>45118</v>
      </c>
      <c r="C10669" s="1" t="n">
        <v>45212</v>
      </c>
      <c r="D10669" t="inlineStr">
        <is>
          <t>VÄSTRA GÖTALANDS LÄN</t>
        </is>
      </c>
      <c r="E10669" t="inlineStr">
        <is>
          <t>ÅMÅL</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31893-2023</t>
        </is>
      </c>
      <c r="B10670" s="1" t="n">
        <v>45118</v>
      </c>
      <c r="C10670" s="1" t="n">
        <v>45212</v>
      </c>
      <c r="D10670" t="inlineStr">
        <is>
          <t>VÄSTRA GÖTALANDS LÄN</t>
        </is>
      </c>
      <c r="E10670" t="inlineStr">
        <is>
          <t>SKARA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31898-2023</t>
        </is>
      </c>
      <c r="B10671" s="1" t="n">
        <v>45118</v>
      </c>
      <c r="C10671" s="1" t="n">
        <v>45212</v>
      </c>
      <c r="D10671" t="inlineStr">
        <is>
          <t>VÄSTRA GÖTALANDS LÄN</t>
        </is>
      </c>
      <c r="E10671" t="inlineStr">
        <is>
          <t>SKARA</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31895-2023</t>
        </is>
      </c>
      <c r="B10672" s="1" t="n">
        <v>45118</v>
      </c>
      <c r="C10672" s="1" t="n">
        <v>45212</v>
      </c>
      <c r="D10672" t="inlineStr">
        <is>
          <t>VÄSTRA GÖTALANDS LÄN</t>
        </is>
      </c>
      <c r="E10672" t="inlineStr">
        <is>
          <t>SKARA</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31776-2023</t>
        </is>
      </c>
      <c r="B10673" s="1" t="n">
        <v>45118</v>
      </c>
      <c r="C10673" s="1" t="n">
        <v>45212</v>
      </c>
      <c r="D10673" t="inlineStr">
        <is>
          <t>VÄSTRA GÖTALANDS LÄN</t>
        </is>
      </c>
      <c r="E10673" t="inlineStr">
        <is>
          <t>GÖTENE</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31896-2023</t>
        </is>
      </c>
      <c r="B10674" s="1" t="n">
        <v>45118</v>
      </c>
      <c r="C10674" s="1" t="n">
        <v>45212</v>
      </c>
      <c r="D10674" t="inlineStr">
        <is>
          <t>VÄSTRA GÖTALANDS LÄN</t>
        </is>
      </c>
      <c r="E10674" t="inlineStr">
        <is>
          <t>SKARA</t>
        </is>
      </c>
      <c r="G10674" t="n">
        <v>7.3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33504-2023</t>
        </is>
      </c>
      <c r="B10675" s="1" t="n">
        <v>45118</v>
      </c>
      <c r="C10675" s="1" t="n">
        <v>45212</v>
      </c>
      <c r="D10675" t="inlineStr">
        <is>
          <t>VÄSTRA GÖTALANDS LÄN</t>
        </is>
      </c>
      <c r="E10675" t="inlineStr">
        <is>
          <t>DALS-ED</t>
        </is>
      </c>
      <c r="G10675" t="n">
        <v>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31873-2023</t>
        </is>
      </c>
      <c r="B10676" s="1" t="n">
        <v>45118</v>
      </c>
      <c r="C10676" s="1" t="n">
        <v>45212</v>
      </c>
      <c r="D10676" t="inlineStr">
        <is>
          <t>VÄSTRA GÖTALANDS LÄN</t>
        </is>
      </c>
      <c r="E10676" t="inlineStr">
        <is>
          <t>ALINGSÅS</t>
        </is>
      </c>
      <c r="G10676" t="n">
        <v>2.8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31889-2023</t>
        </is>
      </c>
      <c r="B10677" s="1" t="n">
        <v>45118</v>
      </c>
      <c r="C10677" s="1" t="n">
        <v>45212</v>
      </c>
      <c r="D10677" t="inlineStr">
        <is>
          <t>VÄSTRA GÖTALANDS LÄN</t>
        </is>
      </c>
      <c r="E10677" t="inlineStr">
        <is>
          <t>BOLLEBYGD</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31894-2023</t>
        </is>
      </c>
      <c r="B10678" s="1" t="n">
        <v>45118</v>
      </c>
      <c r="C10678" s="1" t="n">
        <v>45212</v>
      </c>
      <c r="D10678" t="inlineStr">
        <is>
          <t>VÄSTRA GÖTALANDS LÄN</t>
        </is>
      </c>
      <c r="E10678" t="inlineStr">
        <is>
          <t>SKARA</t>
        </is>
      </c>
      <c r="G10678" t="n">
        <v>0.6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31899-2023</t>
        </is>
      </c>
      <c r="B10679" s="1" t="n">
        <v>45118</v>
      </c>
      <c r="C10679" s="1" t="n">
        <v>45212</v>
      </c>
      <c r="D10679" t="inlineStr">
        <is>
          <t>VÄSTRA GÖTALANDS LÄN</t>
        </is>
      </c>
      <c r="E10679" t="inlineStr">
        <is>
          <t>SKARA</t>
        </is>
      </c>
      <c r="G10679" t="n">
        <v>6.4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32170-2023</t>
        </is>
      </c>
      <c r="B10680" s="1" t="n">
        <v>45119</v>
      </c>
      <c r="C10680" s="1" t="n">
        <v>45212</v>
      </c>
      <c r="D10680" t="inlineStr">
        <is>
          <t>VÄSTRA GÖTALANDS LÄN</t>
        </is>
      </c>
      <c r="E10680" t="inlineStr">
        <is>
          <t>BORÅS</t>
        </is>
      </c>
      <c r="G10680" t="n">
        <v>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32184-2023</t>
        </is>
      </c>
      <c r="B10681" s="1" t="n">
        <v>45119</v>
      </c>
      <c r="C10681" s="1" t="n">
        <v>45212</v>
      </c>
      <c r="D10681" t="inlineStr">
        <is>
          <t>VÄSTRA GÖTALANDS LÄN</t>
        </is>
      </c>
      <c r="E10681" t="inlineStr">
        <is>
          <t>MARK</t>
        </is>
      </c>
      <c r="G10681" t="n">
        <v>1.6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32241-2023</t>
        </is>
      </c>
      <c r="B10682" s="1" t="n">
        <v>45119</v>
      </c>
      <c r="C10682" s="1" t="n">
        <v>45212</v>
      </c>
      <c r="D10682" t="inlineStr">
        <is>
          <t>VÄSTRA GÖTALANDS LÄN</t>
        </is>
      </c>
      <c r="E10682" t="inlineStr">
        <is>
          <t>BORÅS</t>
        </is>
      </c>
      <c r="G10682" t="n">
        <v>2.6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32059-2023</t>
        </is>
      </c>
      <c r="B10683" s="1" t="n">
        <v>45119</v>
      </c>
      <c r="C10683" s="1" t="n">
        <v>45212</v>
      </c>
      <c r="D10683" t="inlineStr">
        <is>
          <t>VÄSTRA GÖTALANDS LÄN</t>
        </is>
      </c>
      <c r="E10683" t="inlineStr">
        <is>
          <t>DALS-ED</t>
        </is>
      </c>
      <c r="G10683" t="n">
        <v>7.2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32163-2023</t>
        </is>
      </c>
      <c r="B10684" s="1" t="n">
        <v>45119</v>
      </c>
      <c r="C10684" s="1" t="n">
        <v>45212</v>
      </c>
      <c r="D10684" t="inlineStr">
        <is>
          <t>VÄSTRA GÖTALANDS LÄN</t>
        </is>
      </c>
      <c r="E10684" t="inlineStr">
        <is>
          <t>BORÅS</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32175-2023</t>
        </is>
      </c>
      <c r="B10685" s="1" t="n">
        <v>45119</v>
      </c>
      <c r="C10685" s="1" t="n">
        <v>45212</v>
      </c>
      <c r="D10685" t="inlineStr">
        <is>
          <t>VÄSTRA GÖTALANDS LÄN</t>
        </is>
      </c>
      <c r="E10685" t="inlineStr">
        <is>
          <t>BORÅS</t>
        </is>
      </c>
      <c r="G10685" t="n">
        <v>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32208-2023</t>
        </is>
      </c>
      <c r="B10686" s="1" t="n">
        <v>45119</v>
      </c>
      <c r="C10686" s="1" t="n">
        <v>45212</v>
      </c>
      <c r="D10686" t="inlineStr">
        <is>
          <t>VÄSTRA GÖTALANDS LÄN</t>
        </is>
      </c>
      <c r="E10686" t="inlineStr">
        <is>
          <t>BOLLEBYGD</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32234-2023</t>
        </is>
      </c>
      <c r="B10687" s="1" t="n">
        <v>45119</v>
      </c>
      <c r="C10687" s="1" t="n">
        <v>45212</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32160-2023</t>
        </is>
      </c>
      <c r="B10688" s="1" t="n">
        <v>45119</v>
      </c>
      <c r="C10688" s="1" t="n">
        <v>45212</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32166-2023</t>
        </is>
      </c>
      <c r="B10689" s="1" t="n">
        <v>45119</v>
      </c>
      <c r="C10689" s="1" t="n">
        <v>45212</v>
      </c>
      <c r="D10689" t="inlineStr">
        <is>
          <t>VÄSTRA GÖTALANDS LÄN</t>
        </is>
      </c>
      <c r="E10689" t="inlineStr">
        <is>
          <t>BORÅS</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32182-2023</t>
        </is>
      </c>
      <c r="B10690" s="1" t="n">
        <v>45119</v>
      </c>
      <c r="C10690" s="1" t="n">
        <v>45212</v>
      </c>
      <c r="D10690" t="inlineStr">
        <is>
          <t>VÄSTRA GÖTALANDS LÄN</t>
        </is>
      </c>
      <c r="E10690" t="inlineStr">
        <is>
          <t>MARK</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32237-2023</t>
        </is>
      </c>
      <c r="B10691" s="1" t="n">
        <v>45119</v>
      </c>
      <c r="C10691" s="1" t="n">
        <v>45212</v>
      </c>
      <c r="D10691" t="inlineStr">
        <is>
          <t>VÄSTRA GÖTALANDS LÄN</t>
        </is>
      </c>
      <c r="E10691" t="inlineStr">
        <is>
          <t>BORÅS</t>
        </is>
      </c>
      <c r="G10691" t="n">
        <v>4.5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32300-2023</t>
        </is>
      </c>
      <c r="B10692" s="1" t="n">
        <v>45120</v>
      </c>
      <c r="C10692" s="1" t="n">
        <v>45212</v>
      </c>
      <c r="D10692" t="inlineStr">
        <is>
          <t>VÄSTRA GÖTALANDS LÄN</t>
        </is>
      </c>
      <c r="E10692" t="inlineStr">
        <is>
          <t>MUNKEDAL</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32443-2023</t>
        </is>
      </c>
      <c r="B10693" s="1" t="n">
        <v>45120</v>
      </c>
      <c r="C10693" s="1" t="n">
        <v>45212</v>
      </c>
      <c r="D10693" t="inlineStr">
        <is>
          <t>VÄSTRA GÖTALANDS LÄN</t>
        </is>
      </c>
      <c r="E10693" t="inlineStr">
        <is>
          <t>BORÅS</t>
        </is>
      </c>
      <c r="G10693" t="n">
        <v>2.6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32452-2023</t>
        </is>
      </c>
      <c r="B10694" s="1" t="n">
        <v>45120</v>
      </c>
      <c r="C10694" s="1" t="n">
        <v>45212</v>
      </c>
      <c r="D10694" t="inlineStr">
        <is>
          <t>VÄSTRA GÖTALANDS LÄN</t>
        </is>
      </c>
      <c r="E10694" t="inlineStr">
        <is>
          <t>BORÅS</t>
        </is>
      </c>
      <c r="G10694" t="n">
        <v>1.5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32473-2023</t>
        </is>
      </c>
      <c r="B10695" s="1" t="n">
        <v>45120</v>
      </c>
      <c r="C10695" s="1" t="n">
        <v>45212</v>
      </c>
      <c r="D10695" t="inlineStr">
        <is>
          <t>VÄSTRA GÖTALANDS LÄN</t>
        </is>
      </c>
      <c r="E10695" t="inlineStr">
        <is>
          <t>BORÅS</t>
        </is>
      </c>
      <c r="G10695" t="n">
        <v>8.800000000000001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32297-2023</t>
        </is>
      </c>
      <c r="B10696" s="1" t="n">
        <v>45120</v>
      </c>
      <c r="C10696" s="1" t="n">
        <v>45212</v>
      </c>
      <c r="D10696" t="inlineStr">
        <is>
          <t>VÄSTRA GÖTALANDS LÄN</t>
        </is>
      </c>
      <c r="E10696" t="inlineStr">
        <is>
          <t>SVENLJUNGA</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32347-2023</t>
        </is>
      </c>
      <c r="B10697" s="1" t="n">
        <v>45120</v>
      </c>
      <c r="C10697" s="1" t="n">
        <v>45212</v>
      </c>
      <c r="D10697" t="inlineStr">
        <is>
          <t>VÄSTRA GÖTALANDS LÄN</t>
        </is>
      </c>
      <c r="E10697" t="inlineStr">
        <is>
          <t>SVENLJUNGA</t>
        </is>
      </c>
      <c r="G10697" t="n">
        <v>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32446-2023</t>
        </is>
      </c>
      <c r="B10698" s="1" t="n">
        <v>45120</v>
      </c>
      <c r="C10698" s="1" t="n">
        <v>45212</v>
      </c>
      <c r="D10698" t="inlineStr">
        <is>
          <t>VÄSTRA GÖTALANDS LÄN</t>
        </is>
      </c>
      <c r="E10698" t="inlineStr">
        <is>
          <t>BORÅS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32453-2023</t>
        </is>
      </c>
      <c r="B10699" s="1" t="n">
        <v>45120</v>
      </c>
      <c r="C10699" s="1" t="n">
        <v>45212</v>
      </c>
      <c r="D10699" t="inlineStr">
        <is>
          <t>VÄSTRA GÖTALANDS LÄN</t>
        </is>
      </c>
      <c r="E10699" t="inlineStr">
        <is>
          <t>BORÅS</t>
        </is>
      </c>
      <c r="G10699" t="n">
        <v>3.9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33762-2023</t>
        </is>
      </c>
      <c r="B10700" s="1" t="n">
        <v>45120</v>
      </c>
      <c r="C10700" s="1" t="n">
        <v>45212</v>
      </c>
      <c r="D10700" t="inlineStr">
        <is>
          <t>VÄSTRA GÖTALANDS LÄN</t>
        </is>
      </c>
      <c r="E10700" t="inlineStr">
        <is>
          <t>SVENLJUNGA</t>
        </is>
      </c>
      <c r="G10700" t="n">
        <v>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32336-2023</t>
        </is>
      </c>
      <c r="B10701" s="1" t="n">
        <v>45120</v>
      </c>
      <c r="C10701" s="1" t="n">
        <v>45212</v>
      </c>
      <c r="D10701" t="inlineStr">
        <is>
          <t>VÄSTRA GÖTALANDS LÄN</t>
        </is>
      </c>
      <c r="E10701" t="inlineStr">
        <is>
          <t>BORÅS</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32386-2023</t>
        </is>
      </c>
      <c r="B10702" s="1" t="n">
        <v>45120</v>
      </c>
      <c r="C10702" s="1" t="n">
        <v>45212</v>
      </c>
      <c r="D10702" t="inlineStr">
        <is>
          <t>VÄSTRA GÖTALANDS LÄN</t>
        </is>
      </c>
      <c r="E10702" t="inlineStr">
        <is>
          <t>SVENLJUNGA</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32447-2023</t>
        </is>
      </c>
      <c r="B10703" s="1" t="n">
        <v>45120</v>
      </c>
      <c r="C10703" s="1" t="n">
        <v>45212</v>
      </c>
      <c r="D10703" t="inlineStr">
        <is>
          <t>VÄSTRA GÖTALANDS LÄN</t>
        </is>
      </c>
      <c r="E10703" t="inlineStr">
        <is>
          <t>TIDAHOLM</t>
        </is>
      </c>
      <c r="G10703" t="n">
        <v>1.5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32454-2023</t>
        </is>
      </c>
      <c r="B10704" s="1" t="n">
        <v>45120</v>
      </c>
      <c r="C10704" s="1" t="n">
        <v>45212</v>
      </c>
      <c r="D10704" t="inlineStr">
        <is>
          <t>VÄSTRA GÖTALANDS LÄN</t>
        </is>
      </c>
      <c r="E10704" t="inlineStr">
        <is>
          <t>BORÅS</t>
        </is>
      </c>
      <c r="G10704" t="n">
        <v>1.3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32482-2023</t>
        </is>
      </c>
      <c r="B10705" s="1" t="n">
        <v>45120</v>
      </c>
      <c r="C10705" s="1" t="n">
        <v>45212</v>
      </c>
      <c r="D10705" t="inlineStr">
        <is>
          <t>VÄSTRA GÖTALANDS LÄN</t>
        </is>
      </c>
      <c r="E10705" t="inlineStr">
        <is>
          <t>BORÅS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32421-2023</t>
        </is>
      </c>
      <c r="B10706" s="1" t="n">
        <v>45120</v>
      </c>
      <c r="C10706" s="1" t="n">
        <v>45212</v>
      </c>
      <c r="D10706" t="inlineStr">
        <is>
          <t>VÄSTRA GÖTALANDS LÄN</t>
        </is>
      </c>
      <c r="E10706" t="inlineStr">
        <is>
          <t>LILLA EDET</t>
        </is>
      </c>
      <c r="G10706" t="n">
        <v>4.7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32439-2023</t>
        </is>
      </c>
      <c r="B10707" s="1" t="n">
        <v>45120</v>
      </c>
      <c r="C10707" s="1" t="n">
        <v>45212</v>
      </c>
      <c r="D10707" t="inlineStr">
        <is>
          <t>VÄSTRA GÖTALANDS LÄN</t>
        </is>
      </c>
      <c r="E10707" t="inlineStr">
        <is>
          <t>TIDAHOLM</t>
        </is>
      </c>
      <c r="G10707" t="n">
        <v>1.8</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32450-2023</t>
        </is>
      </c>
      <c r="B10708" s="1" t="n">
        <v>45120</v>
      </c>
      <c r="C10708" s="1" t="n">
        <v>45212</v>
      </c>
      <c r="D10708" t="inlineStr">
        <is>
          <t>VÄSTRA GÖTALANDS LÄN</t>
        </is>
      </c>
      <c r="E10708" t="inlineStr">
        <is>
          <t>BORÅS</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32483-2023</t>
        </is>
      </c>
      <c r="B10709" s="1" t="n">
        <v>45120</v>
      </c>
      <c r="C10709" s="1" t="n">
        <v>45212</v>
      </c>
      <c r="D10709" t="inlineStr">
        <is>
          <t>VÄSTRA GÖTALANDS LÄN</t>
        </is>
      </c>
      <c r="E10709" t="inlineStr">
        <is>
          <t>BORÅS</t>
        </is>
      </c>
      <c r="G10709" t="n">
        <v>2.9</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32670-2023</t>
        </is>
      </c>
      <c r="B10710" s="1" t="n">
        <v>45121</v>
      </c>
      <c r="C10710" s="1" t="n">
        <v>45212</v>
      </c>
      <c r="D10710" t="inlineStr">
        <is>
          <t>VÄSTRA GÖTALANDS LÄN</t>
        </is>
      </c>
      <c r="E10710" t="inlineStr">
        <is>
          <t>TIDAHOLM</t>
        </is>
      </c>
      <c r="F10710" t="inlineStr">
        <is>
          <t>Kommuner</t>
        </is>
      </c>
      <c r="G10710" t="n">
        <v>1.6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32553-2023</t>
        </is>
      </c>
      <c r="B10711" s="1" t="n">
        <v>45121</v>
      </c>
      <c r="C10711" s="1" t="n">
        <v>45212</v>
      </c>
      <c r="D10711" t="inlineStr">
        <is>
          <t>VÄSTRA GÖTALANDS LÄN</t>
        </is>
      </c>
      <c r="E10711" t="inlineStr">
        <is>
          <t>SKÖVDE</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32531-2023</t>
        </is>
      </c>
      <c r="B10712" s="1" t="n">
        <v>45121</v>
      </c>
      <c r="C10712" s="1" t="n">
        <v>45212</v>
      </c>
      <c r="D10712" t="inlineStr">
        <is>
          <t>VÄSTRA GÖTALANDS LÄN</t>
        </is>
      </c>
      <c r="E10712" t="inlineStr">
        <is>
          <t>UDDEVALLA</t>
        </is>
      </c>
      <c r="G10712" t="n">
        <v>1.9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32703-2023</t>
        </is>
      </c>
      <c r="B10713" s="1" t="n">
        <v>45121</v>
      </c>
      <c r="C10713" s="1" t="n">
        <v>45212</v>
      </c>
      <c r="D10713" t="inlineStr">
        <is>
          <t>VÄSTRA GÖTALANDS LÄN</t>
        </is>
      </c>
      <c r="E10713" t="inlineStr">
        <is>
          <t>BENGTSFORS</t>
        </is>
      </c>
      <c r="G10713" t="n">
        <v>3.5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32833-2023</t>
        </is>
      </c>
      <c r="B10714" s="1" t="n">
        <v>45124</v>
      </c>
      <c r="C10714" s="1" t="n">
        <v>45212</v>
      </c>
      <c r="D10714" t="inlineStr">
        <is>
          <t>VÄSTRA GÖTALANDS LÄN</t>
        </is>
      </c>
      <c r="E10714" t="inlineStr">
        <is>
          <t>ALE</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32888-2023</t>
        </is>
      </c>
      <c r="B10715" s="1" t="n">
        <v>45124</v>
      </c>
      <c r="C10715" s="1" t="n">
        <v>45212</v>
      </c>
      <c r="D10715" t="inlineStr">
        <is>
          <t>VÄSTRA GÖTALANDS LÄN</t>
        </is>
      </c>
      <c r="E10715" t="inlineStr">
        <is>
          <t>MARK</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32816-2023</t>
        </is>
      </c>
      <c r="B10716" s="1" t="n">
        <v>45124</v>
      </c>
      <c r="C10716" s="1" t="n">
        <v>45212</v>
      </c>
      <c r="D10716" t="inlineStr">
        <is>
          <t>VÄSTRA GÖTALANDS LÄN</t>
        </is>
      </c>
      <c r="E10716" t="inlineStr">
        <is>
          <t>BENGTSFORS</t>
        </is>
      </c>
      <c r="G10716" t="n">
        <v>4.3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33954-2023</t>
        </is>
      </c>
      <c r="B10717" s="1" t="n">
        <v>45124</v>
      </c>
      <c r="C10717" s="1" t="n">
        <v>45212</v>
      </c>
      <c r="D10717" t="inlineStr">
        <is>
          <t>VÄSTRA GÖTALANDS LÄN</t>
        </is>
      </c>
      <c r="E10717" t="inlineStr">
        <is>
          <t>VÄNERSBORG</t>
        </is>
      </c>
      <c r="G10717" t="n">
        <v>6.2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34064-2023</t>
        </is>
      </c>
      <c r="B10718" s="1" t="n">
        <v>45124</v>
      </c>
      <c r="C10718" s="1" t="n">
        <v>45212</v>
      </c>
      <c r="D10718" t="inlineStr">
        <is>
          <t>VÄSTRA GÖTALANDS LÄN</t>
        </is>
      </c>
      <c r="E10718" t="inlineStr">
        <is>
          <t>TIBRO</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32960-2023</t>
        </is>
      </c>
      <c r="B10719" s="1" t="n">
        <v>45125</v>
      </c>
      <c r="C10719" s="1" t="n">
        <v>45212</v>
      </c>
      <c r="D10719" t="inlineStr">
        <is>
          <t>VÄSTRA GÖTALANDS LÄN</t>
        </is>
      </c>
      <c r="E10719" t="inlineStr">
        <is>
          <t>STENUNGSUND</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33094-2023</t>
        </is>
      </c>
      <c r="B10720" s="1" t="n">
        <v>45126</v>
      </c>
      <c r="C10720" s="1" t="n">
        <v>45212</v>
      </c>
      <c r="D10720" t="inlineStr">
        <is>
          <t>VÄSTRA GÖTALANDS LÄN</t>
        </is>
      </c>
      <c r="E10720" t="inlineStr">
        <is>
          <t>MELLERUD</t>
        </is>
      </c>
      <c r="G10720" t="n">
        <v>0.5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34116-2023</t>
        </is>
      </c>
      <c r="B10721" s="1" t="n">
        <v>45126</v>
      </c>
      <c r="C10721" s="1" t="n">
        <v>45212</v>
      </c>
      <c r="D10721" t="inlineStr">
        <is>
          <t>VÄSTRA GÖTALANDS LÄN</t>
        </is>
      </c>
      <c r="E10721" t="inlineStr">
        <is>
          <t>MELLERUD</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33053-2023</t>
        </is>
      </c>
      <c r="B10722" s="1" t="n">
        <v>45126</v>
      </c>
      <c r="C10722" s="1" t="n">
        <v>45212</v>
      </c>
      <c r="D10722" t="inlineStr">
        <is>
          <t>VÄSTRA GÖTALANDS LÄN</t>
        </is>
      </c>
      <c r="E10722" t="inlineStr">
        <is>
          <t>ALINGSÅS</t>
        </is>
      </c>
      <c r="G10722" t="n">
        <v>7.3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33140-2023</t>
        </is>
      </c>
      <c r="B10723" s="1" t="n">
        <v>45126</v>
      </c>
      <c r="C10723" s="1" t="n">
        <v>45212</v>
      </c>
      <c r="D10723" t="inlineStr">
        <is>
          <t>VÄSTRA GÖTALANDS LÄN</t>
        </is>
      </c>
      <c r="E10723" t="inlineStr">
        <is>
          <t>BORÅS</t>
        </is>
      </c>
      <c r="G10723" t="n">
        <v>5.1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34112-2023</t>
        </is>
      </c>
      <c r="B10724" s="1" t="n">
        <v>45126</v>
      </c>
      <c r="C10724" s="1" t="n">
        <v>45212</v>
      </c>
      <c r="D10724" t="inlineStr">
        <is>
          <t>VÄSTRA GÖTALANDS LÄN</t>
        </is>
      </c>
      <c r="E10724" t="inlineStr">
        <is>
          <t>ÅMÅL</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33148-2023</t>
        </is>
      </c>
      <c r="B10725" s="1" t="n">
        <v>45126</v>
      </c>
      <c r="C10725" s="1" t="n">
        <v>45212</v>
      </c>
      <c r="D10725" t="inlineStr">
        <is>
          <t>VÄSTRA GÖTALANDS LÄN</t>
        </is>
      </c>
      <c r="E10725" t="inlineStr">
        <is>
          <t>BORÅS</t>
        </is>
      </c>
      <c r="G10725" t="n">
        <v>2.1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33103-2023</t>
        </is>
      </c>
      <c r="B10726" s="1" t="n">
        <v>45126</v>
      </c>
      <c r="C10726" s="1" t="n">
        <v>45212</v>
      </c>
      <c r="D10726" t="inlineStr">
        <is>
          <t>VÄSTRA GÖTALANDS LÄN</t>
        </is>
      </c>
      <c r="E10726" t="inlineStr">
        <is>
          <t>DALS-ED</t>
        </is>
      </c>
      <c r="G10726" t="n">
        <v>1.8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33196-2023</t>
        </is>
      </c>
      <c r="B10727" s="1" t="n">
        <v>45127</v>
      </c>
      <c r="C10727" s="1" t="n">
        <v>45212</v>
      </c>
      <c r="D10727" t="inlineStr">
        <is>
          <t>VÄSTRA GÖTALANDS LÄN</t>
        </is>
      </c>
      <c r="E10727" t="inlineStr">
        <is>
          <t>MUNKEDAL</t>
        </is>
      </c>
      <c r="G10727" t="n">
        <v>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33194-2023</t>
        </is>
      </c>
      <c r="B10728" s="1" t="n">
        <v>45127</v>
      </c>
      <c r="C10728" s="1" t="n">
        <v>45212</v>
      </c>
      <c r="D10728" t="inlineStr">
        <is>
          <t>VÄSTRA GÖTALANDS LÄN</t>
        </is>
      </c>
      <c r="E10728" t="inlineStr">
        <is>
          <t>MUNKEDAL</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33192-2023</t>
        </is>
      </c>
      <c r="B10729" s="1" t="n">
        <v>45127</v>
      </c>
      <c r="C10729" s="1" t="n">
        <v>45212</v>
      </c>
      <c r="D10729" t="inlineStr">
        <is>
          <t>VÄSTRA GÖTALANDS LÄN</t>
        </is>
      </c>
      <c r="E10729" t="inlineStr">
        <is>
          <t>MUNKEDAL</t>
        </is>
      </c>
      <c r="G10729" t="n">
        <v>7.8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33212-2023</t>
        </is>
      </c>
      <c r="B10730" s="1" t="n">
        <v>45127</v>
      </c>
      <c r="C10730" s="1" t="n">
        <v>45212</v>
      </c>
      <c r="D10730" t="inlineStr">
        <is>
          <t>VÄSTRA GÖTALANDS LÄN</t>
        </is>
      </c>
      <c r="E10730" t="inlineStr">
        <is>
          <t>MUNKEDAL</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33195-2023</t>
        </is>
      </c>
      <c r="B10731" s="1" t="n">
        <v>45127</v>
      </c>
      <c r="C10731" s="1" t="n">
        <v>45212</v>
      </c>
      <c r="D10731" t="inlineStr">
        <is>
          <t>VÄSTRA GÖTALANDS LÄN</t>
        </is>
      </c>
      <c r="E10731" t="inlineStr">
        <is>
          <t>MUNKEDAL</t>
        </is>
      </c>
      <c r="G10731" t="n">
        <v>1.7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34286-2023</t>
        </is>
      </c>
      <c r="B10732" s="1" t="n">
        <v>45128</v>
      </c>
      <c r="C10732" s="1" t="n">
        <v>45212</v>
      </c>
      <c r="D10732" t="inlineStr">
        <is>
          <t>VÄSTRA GÖTALANDS LÄN</t>
        </is>
      </c>
      <c r="E10732" t="inlineStr">
        <is>
          <t>SKÖVDE</t>
        </is>
      </c>
      <c r="G10732" t="n">
        <v>16.5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33454-2023</t>
        </is>
      </c>
      <c r="B10733" s="1" t="n">
        <v>45130</v>
      </c>
      <c r="C10733" s="1" t="n">
        <v>45212</v>
      </c>
      <c r="D10733" t="inlineStr">
        <is>
          <t>VÄSTRA GÖTALANDS LÄN</t>
        </is>
      </c>
      <c r="E10733" t="inlineStr">
        <is>
          <t>ORUST</t>
        </is>
      </c>
      <c r="G10733" t="n">
        <v>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33526-2023</t>
        </is>
      </c>
      <c r="B10734" s="1" t="n">
        <v>45131</v>
      </c>
      <c r="C10734" s="1" t="n">
        <v>45212</v>
      </c>
      <c r="D10734" t="inlineStr">
        <is>
          <t>VÄSTRA GÖTALANDS LÄN</t>
        </is>
      </c>
      <c r="E10734" t="inlineStr">
        <is>
          <t>MARK</t>
        </is>
      </c>
      <c r="G10734" t="n">
        <v>1.1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33468-2023</t>
        </is>
      </c>
      <c r="B10735" s="1" t="n">
        <v>45131</v>
      </c>
      <c r="C10735" s="1" t="n">
        <v>45212</v>
      </c>
      <c r="D10735" t="inlineStr">
        <is>
          <t>VÄSTRA GÖTALANDS LÄN</t>
        </is>
      </c>
      <c r="E10735" t="inlineStr">
        <is>
          <t>SVENLJUNGA</t>
        </is>
      </c>
      <c r="G10735" t="n">
        <v>5.3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33657-2023</t>
        </is>
      </c>
      <c r="B10736" s="1" t="n">
        <v>45132</v>
      </c>
      <c r="C10736" s="1" t="n">
        <v>45212</v>
      </c>
      <c r="D10736" t="inlineStr">
        <is>
          <t>VÄSTRA GÖTALANDS LÄN</t>
        </is>
      </c>
      <c r="E10736" t="inlineStr">
        <is>
          <t>HERRLJUNGA</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33666-2023</t>
        </is>
      </c>
      <c r="B10737" s="1" t="n">
        <v>45132</v>
      </c>
      <c r="C10737" s="1" t="n">
        <v>45212</v>
      </c>
      <c r="D10737" t="inlineStr">
        <is>
          <t>VÄSTRA GÖTALANDS LÄN</t>
        </is>
      </c>
      <c r="E10737" t="inlineStr">
        <is>
          <t>MELLERUD</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33887-2023</t>
        </is>
      </c>
      <c r="B10738" s="1" t="n">
        <v>45134</v>
      </c>
      <c r="C10738" s="1" t="n">
        <v>45212</v>
      </c>
      <c r="D10738" t="inlineStr">
        <is>
          <t>VÄSTRA GÖTALANDS LÄN</t>
        </is>
      </c>
      <c r="E10738" t="inlineStr">
        <is>
          <t>ULRICEHAMN</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33883-2023</t>
        </is>
      </c>
      <c r="B10739" s="1" t="n">
        <v>45134</v>
      </c>
      <c r="C10739" s="1" t="n">
        <v>45212</v>
      </c>
      <c r="D10739" t="inlineStr">
        <is>
          <t>VÄSTRA GÖTALANDS LÄN</t>
        </is>
      </c>
      <c r="E10739" t="inlineStr">
        <is>
          <t>ULRICEHAMN</t>
        </is>
      </c>
      <c r="G10739" t="n">
        <v>2.8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33888-2023</t>
        </is>
      </c>
      <c r="B10740" s="1" t="n">
        <v>45134</v>
      </c>
      <c r="C10740" s="1" t="n">
        <v>45212</v>
      </c>
      <c r="D10740" t="inlineStr">
        <is>
          <t>VÄSTRA GÖTALANDS LÄN</t>
        </is>
      </c>
      <c r="E10740" t="inlineStr">
        <is>
          <t>ULRICEHAMN</t>
        </is>
      </c>
      <c r="G10740" t="n">
        <v>0.5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34071-2023</t>
        </is>
      </c>
      <c r="B10741" s="1" t="n">
        <v>45135</v>
      </c>
      <c r="C10741" s="1" t="n">
        <v>45212</v>
      </c>
      <c r="D10741" t="inlineStr">
        <is>
          <t>VÄSTRA GÖTALANDS LÄN</t>
        </is>
      </c>
      <c r="E10741" t="inlineStr">
        <is>
          <t>MARK</t>
        </is>
      </c>
      <c r="G10741" t="n">
        <v>0.6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34162-2023</t>
        </is>
      </c>
      <c r="B10742" s="1" t="n">
        <v>45137</v>
      </c>
      <c r="C10742" s="1" t="n">
        <v>45212</v>
      </c>
      <c r="D10742" t="inlineStr">
        <is>
          <t>VÄSTRA GÖTALANDS LÄN</t>
        </is>
      </c>
      <c r="E10742" t="inlineStr">
        <is>
          <t>MARK</t>
        </is>
      </c>
      <c r="G10742" t="n">
        <v>9.300000000000001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34159-2023</t>
        </is>
      </c>
      <c r="B10743" s="1" t="n">
        <v>45137</v>
      </c>
      <c r="C10743" s="1" t="n">
        <v>45212</v>
      </c>
      <c r="D10743" t="inlineStr">
        <is>
          <t>VÄSTRA GÖTALANDS LÄN</t>
        </is>
      </c>
      <c r="E10743" t="inlineStr">
        <is>
          <t>MARK</t>
        </is>
      </c>
      <c r="G10743" t="n">
        <v>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34161-2023</t>
        </is>
      </c>
      <c r="B10744" s="1" t="n">
        <v>45137</v>
      </c>
      <c r="C10744" s="1" t="n">
        <v>45212</v>
      </c>
      <c r="D10744" t="inlineStr">
        <is>
          <t>VÄSTRA GÖTALANDS LÄN</t>
        </is>
      </c>
      <c r="E10744" t="inlineStr">
        <is>
          <t>MARK</t>
        </is>
      </c>
      <c r="G10744" t="n">
        <v>6.2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34167-2023</t>
        </is>
      </c>
      <c r="B10745" s="1" t="n">
        <v>45137</v>
      </c>
      <c r="C10745" s="1" t="n">
        <v>45212</v>
      </c>
      <c r="D10745" t="inlineStr">
        <is>
          <t>VÄSTRA GÖTALANDS LÄN</t>
        </is>
      </c>
      <c r="E10745" t="inlineStr">
        <is>
          <t>MARK</t>
        </is>
      </c>
      <c r="G10745" t="n">
        <v>12.2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34163-2023</t>
        </is>
      </c>
      <c r="B10746" s="1" t="n">
        <v>45137</v>
      </c>
      <c r="C10746" s="1" t="n">
        <v>45212</v>
      </c>
      <c r="D10746" t="inlineStr">
        <is>
          <t>VÄSTRA GÖTALANDS LÄN</t>
        </is>
      </c>
      <c r="E10746" t="inlineStr">
        <is>
          <t>MARK</t>
        </is>
      </c>
      <c r="G10746" t="n">
        <v>4.2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34356-2023</t>
        </is>
      </c>
      <c r="B10747" s="1" t="n">
        <v>45139</v>
      </c>
      <c r="C10747" s="1" t="n">
        <v>45212</v>
      </c>
      <c r="D10747" t="inlineStr">
        <is>
          <t>VÄSTRA GÖTALANDS LÄN</t>
        </is>
      </c>
      <c r="E10747" t="inlineStr">
        <is>
          <t>TROLLHÄTTAN</t>
        </is>
      </c>
      <c r="G10747" t="n">
        <v>6.7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34447-2023</t>
        </is>
      </c>
      <c r="B10748" s="1" t="n">
        <v>45139</v>
      </c>
      <c r="C10748" s="1" t="n">
        <v>45212</v>
      </c>
      <c r="D10748" t="inlineStr">
        <is>
          <t>VÄSTRA GÖTALANDS LÄN</t>
        </is>
      </c>
      <c r="E10748" t="inlineStr">
        <is>
          <t>TIDAHOLM</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34448-2023</t>
        </is>
      </c>
      <c r="B10749" s="1" t="n">
        <v>45139</v>
      </c>
      <c r="C10749" s="1" t="n">
        <v>45212</v>
      </c>
      <c r="D10749" t="inlineStr">
        <is>
          <t>VÄSTRA GÖTALANDS LÄN</t>
        </is>
      </c>
      <c r="E10749" t="inlineStr">
        <is>
          <t>ULRICEHAMN</t>
        </is>
      </c>
      <c r="G10749" t="n">
        <v>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34551-2023</t>
        </is>
      </c>
      <c r="B10750" s="1" t="n">
        <v>45140</v>
      </c>
      <c r="C10750" s="1" t="n">
        <v>45212</v>
      </c>
      <c r="D10750" t="inlineStr">
        <is>
          <t>VÄSTRA GÖTALANDS LÄN</t>
        </is>
      </c>
      <c r="E10750" t="inlineStr">
        <is>
          <t>TRANEMO</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34664-2023</t>
        </is>
      </c>
      <c r="B10751" s="1" t="n">
        <v>45140</v>
      </c>
      <c r="C10751" s="1" t="n">
        <v>45212</v>
      </c>
      <c r="D10751" t="inlineStr">
        <is>
          <t>VÄSTRA GÖTALANDS LÄN</t>
        </is>
      </c>
      <c r="E10751" t="inlineStr">
        <is>
          <t>MARK</t>
        </is>
      </c>
      <c r="G10751" t="n">
        <v>2.7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34767-2023</t>
        </is>
      </c>
      <c r="B10752" s="1" t="n">
        <v>45140</v>
      </c>
      <c r="C10752" s="1" t="n">
        <v>45212</v>
      </c>
      <c r="D10752" t="inlineStr">
        <is>
          <t>VÄSTRA GÖTALANDS LÄN</t>
        </is>
      </c>
      <c r="E10752" t="inlineStr">
        <is>
          <t>ULRICEHAMN</t>
        </is>
      </c>
      <c r="G10752" t="n">
        <v>4.3</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34569-2023</t>
        </is>
      </c>
      <c r="B10753" s="1" t="n">
        <v>45140</v>
      </c>
      <c r="C10753" s="1" t="n">
        <v>45212</v>
      </c>
      <c r="D10753" t="inlineStr">
        <is>
          <t>VÄSTRA GÖTALANDS LÄN</t>
        </is>
      </c>
      <c r="E10753" t="inlineStr">
        <is>
          <t>SKARA</t>
        </is>
      </c>
      <c r="G10753" t="n">
        <v>0.5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34653-2023</t>
        </is>
      </c>
      <c r="B10754" s="1" t="n">
        <v>45140</v>
      </c>
      <c r="C10754" s="1" t="n">
        <v>45212</v>
      </c>
      <c r="D10754" t="inlineStr">
        <is>
          <t>VÄSTRA GÖTALANDS LÄN</t>
        </is>
      </c>
      <c r="E10754" t="inlineStr">
        <is>
          <t>MARK</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34657-2023</t>
        </is>
      </c>
      <c r="B10755" s="1" t="n">
        <v>45140</v>
      </c>
      <c r="C10755" s="1" t="n">
        <v>45212</v>
      </c>
      <c r="D10755" t="inlineStr">
        <is>
          <t>VÄSTRA GÖTALANDS LÄN</t>
        </is>
      </c>
      <c r="E10755" t="inlineStr">
        <is>
          <t>MARK</t>
        </is>
      </c>
      <c r="G10755" t="n">
        <v>2.1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34661-2023</t>
        </is>
      </c>
      <c r="B10756" s="1" t="n">
        <v>45140</v>
      </c>
      <c r="C10756" s="1" t="n">
        <v>45212</v>
      </c>
      <c r="D10756" t="inlineStr">
        <is>
          <t>VÄSTRA GÖTALANDS LÄN</t>
        </is>
      </c>
      <c r="E10756" t="inlineStr">
        <is>
          <t>KARLSBORG</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34774-2023</t>
        </is>
      </c>
      <c r="B10757" s="1" t="n">
        <v>45140</v>
      </c>
      <c r="C10757" s="1" t="n">
        <v>45212</v>
      </c>
      <c r="D10757" t="inlineStr">
        <is>
          <t>VÄSTRA GÖTALANDS LÄN</t>
        </is>
      </c>
      <c r="E10757" t="inlineStr">
        <is>
          <t>ULRICEHAMN</t>
        </is>
      </c>
      <c r="G10757" t="n">
        <v>3.6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34652-2023</t>
        </is>
      </c>
      <c r="B10758" s="1" t="n">
        <v>45140</v>
      </c>
      <c r="C10758" s="1" t="n">
        <v>45212</v>
      </c>
      <c r="D10758" t="inlineStr">
        <is>
          <t>VÄSTRA GÖTALANDS LÄN</t>
        </is>
      </c>
      <c r="E10758" t="inlineStr">
        <is>
          <t>MARK</t>
        </is>
      </c>
      <c r="G10758" t="n">
        <v>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34656-2023</t>
        </is>
      </c>
      <c r="B10759" s="1" t="n">
        <v>45140</v>
      </c>
      <c r="C10759" s="1" t="n">
        <v>45212</v>
      </c>
      <c r="D10759" t="inlineStr">
        <is>
          <t>VÄSTRA GÖTALANDS LÄN</t>
        </is>
      </c>
      <c r="E10759" t="inlineStr">
        <is>
          <t>MARK</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34763-2023</t>
        </is>
      </c>
      <c r="B10760" s="1" t="n">
        <v>45140</v>
      </c>
      <c r="C10760" s="1" t="n">
        <v>45212</v>
      </c>
      <c r="D10760" t="inlineStr">
        <is>
          <t>VÄSTRA GÖTALANDS LÄN</t>
        </is>
      </c>
      <c r="E10760" t="inlineStr">
        <is>
          <t>ULRICEHAMN</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34773-2023</t>
        </is>
      </c>
      <c r="B10761" s="1" t="n">
        <v>45140</v>
      </c>
      <c r="C10761" s="1" t="n">
        <v>45212</v>
      </c>
      <c r="D10761" t="inlineStr">
        <is>
          <t>VÄSTRA GÖTALANDS LÄN</t>
        </is>
      </c>
      <c r="E10761" t="inlineStr">
        <is>
          <t>ULRICEHAMN</t>
        </is>
      </c>
      <c r="G10761" t="n">
        <v>4.5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34659-2023</t>
        </is>
      </c>
      <c r="B10762" s="1" t="n">
        <v>45140</v>
      </c>
      <c r="C10762" s="1" t="n">
        <v>45212</v>
      </c>
      <c r="D10762" t="inlineStr">
        <is>
          <t>VÄSTRA GÖTALANDS LÄN</t>
        </is>
      </c>
      <c r="E10762" t="inlineStr">
        <is>
          <t>MARK</t>
        </is>
      </c>
      <c r="G10762" t="n">
        <v>1.5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34771-2023</t>
        </is>
      </c>
      <c r="B10763" s="1" t="n">
        <v>45140</v>
      </c>
      <c r="C10763" s="1" t="n">
        <v>45212</v>
      </c>
      <c r="D10763" t="inlineStr">
        <is>
          <t>VÄSTRA GÖTALANDS LÄN</t>
        </is>
      </c>
      <c r="E10763" t="inlineStr">
        <is>
          <t>ULRICEHAMN</t>
        </is>
      </c>
      <c r="G10763" t="n">
        <v>2.7</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34826-2023</t>
        </is>
      </c>
      <c r="B10764" s="1" t="n">
        <v>45141</v>
      </c>
      <c r="C10764" s="1" t="n">
        <v>45212</v>
      </c>
      <c r="D10764" t="inlineStr">
        <is>
          <t>VÄSTRA GÖTALANDS LÄN</t>
        </is>
      </c>
      <c r="E10764" t="inlineStr">
        <is>
          <t>FALKÖPING</t>
        </is>
      </c>
      <c r="G10764" t="n">
        <v>4.9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34984-2023</t>
        </is>
      </c>
      <c r="B10765" s="1" t="n">
        <v>45142</v>
      </c>
      <c r="C10765" s="1" t="n">
        <v>45212</v>
      </c>
      <c r="D10765" t="inlineStr">
        <is>
          <t>VÄSTRA GÖTALANDS LÄN</t>
        </is>
      </c>
      <c r="E10765" t="inlineStr">
        <is>
          <t>BORÅS</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35050-2023</t>
        </is>
      </c>
      <c r="B10766" s="1" t="n">
        <v>45142</v>
      </c>
      <c r="C10766" s="1" t="n">
        <v>45212</v>
      </c>
      <c r="D10766" t="inlineStr">
        <is>
          <t>VÄSTRA GÖTALANDS LÄN</t>
        </is>
      </c>
      <c r="E10766" t="inlineStr">
        <is>
          <t>VARA</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35069-2023</t>
        </is>
      </c>
      <c r="B10767" s="1" t="n">
        <v>45142</v>
      </c>
      <c r="C10767" s="1" t="n">
        <v>45212</v>
      </c>
      <c r="D10767" t="inlineStr">
        <is>
          <t>VÄSTRA GÖTALANDS LÄN</t>
        </is>
      </c>
      <c r="E10767" t="inlineStr">
        <is>
          <t>SKÖVDE</t>
        </is>
      </c>
      <c r="G10767" t="n">
        <v>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35042-2023</t>
        </is>
      </c>
      <c r="B10768" s="1" t="n">
        <v>45142</v>
      </c>
      <c r="C10768" s="1" t="n">
        <v>45212</v>
      </c>
      <c r="D10768" t="inlineStr">
        <is>
          <t>VÄSTRA GÖTALANDS LÄN</t>
        </is>
      </c>
      <c r="E10768" t="inlineStr">
        <is>
          <t>VARA</t>
        </is>
      </c>
      <c r="G10768" t="n">
        <v>2.1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35035-2023</t>
        </is>
      </c>
      <c r="B10769" s="1" t="n">
        <v>45142</v>
      </c>
      <c r="C10769" s="1" t="n">
        <v>45212</v>
      </c>
      <c r="D10769" t="inlineStr">
        <is>
          <t>VÄSTRA GÖTALANDS LÄN</t>
        </is>
      </c>
      <c r="E10769" t="inlineStr">
        <is>
          <t>VARA</t>
        </is>
      </c>
      <c r="G10769" t="n">
        <v>1.1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35056-2023</t>
        </is>
      </c>
      <c r="B10770" s="1" t="n">
        <v>45142</v>
      </c>
      <c r="C10770" s="1" t="n">
        <v>45212</v>
      </c>
      <c r="D10770" t="inlineStr">
        <is>
          <t>VÄSTRA GÖTALANDS LÄN</t>
        </is>
      </c>
      <c r="E10770" t="inlineStr">
        <is>
          <t>VARA</t>
        </is>
      </c>
      <c r="G10770" t="n">
        <v>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34932-2023</t>
        </is>
      </c>
      <c r="B10771" s="1" t="n">
        <v>45142</v>
      </c>
      <c r="C10771" s="1" t="n">
        <v>45212</v>
      </c>
      <c r="D10771" t="inlineStr">
        <is>
          <t>VÄSTRA GÖTALANDS LÄN</t>
        </is>
      </c>
      <c r="E10771" t="inlineStr">
        <is>
          <t>STENUNGSUND</t>
        </is>
      </c>
      <c r="G10771" t="n">
        <v>7.2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35038-2023</t>
        </is>
      </c>
      <c r="B10772" s="1" t="n">
        <v>45142</v>
      </c>
      <c r="C10772" s="1" t="n">
        <v>45212</v>
      </c>
      <c r="D10772" t="inlineStr">
        <is>
          <t>VÄSTRA GÖTALANDS LÄN</t>
        </is>
      </c>
      <c r="E10772" t="inlineStr">
        <is>
          <t>FALKÖPING</t>
        </is>
      </c>
      <c r="G10772" t="n">
        <v>3.7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35059-2023</t>
        </is>
      </c>
      <c r="B10773" s="1" t="n">
        <v>45142</v>
      </c>
      <c r="C10773" s="1" t="n">
        <v>45212</v>
      </c>
      <c r="D10773" t="inlineStr">
        <is>
          <t>VÄSTRA GÖTALANDS LÄN</t>
        </is>
      </c>
      <c r="E10773" t="inlineStr">
        <is>
          <t>VARA</t>
        </is>
      </c>
      <c r="G10773" t="n">
        <v>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35230-2023</t>
        </is>
      </c>
      <c r="B10774" s="1" t="n">
        <v>45145</v>
      </c>
      <c r="C10774" s="1" t="n">
        <v>45212</v>
      </c>
      <c r="D10774" t="inlineStr">
        <is>
          <t>VÄSTRA GÖTALANDS LÄN</t>
        </is>
      </c>
      <c r="E10774" t="inlineStr">
        <is>
          <t>HÄRRYDA</t>
        </is>
      </c>
      <c r="G10774" t="n">
        <v>6.1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35157-2023</t>
        </is>
      </c>
      <c r="B10775" s="1" t="n">
        <v>45145</v>
      </c>
      <c r="C10775" s="1" t="n">
        <v>45212</v>
      </c>
      <c r="D10775" t="inlineStr">
        <is>
          <t>VÄSTRA GÖTALANDS LÄN</t>
        </is>
      </c>
      <c r="E10775" t="inlineStr">
        <is>
          <t>LIDKÖPING</t>
        </is>
      </c>
      <c r="G10775" t="n">
        <v>1.7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35132-2023</t>
        </is>
      </c>
      <c r="B10776" s="1" t="n">
        <v>45145</v>
      </c>
      <c r="C10776" s="1" t="n">
        <v>45212</v>
      </c>
      <c r="D10776" t="inlineStr">
        <is>
          <t>VÄSTRA GÖTALANDS LÄN</t>
        </is>
      </c>
      <c r="E10776" t="inlineStr">
        <is>
          <t>ALE</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35199-2023</t>
        </is>
      </c>
      <c r="B10777" s="1" t="n">
        <v>45145</v>
      </c>
      <c r="C10777" s="1" t="n">
        <v>45212</v>
      </c>
      <c r="D10777" t="inlineStr">
        <is>
          <t>VÄSTRA GÖTALANDS LÄN</t>
        </is>
      </c>
      <c r="E10777" t="inlineStr">
        <is>
          <t>LERUM</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35063-2023</t>
        </is>
      </c>
      <c r="B10778" s="1" t="n">
        <v>45145</v>
      </c>
      <c r="C10778" s="1" t="n">
        <v>45212</v>
      </c>
      <c r="D10778" t="inlineStr">
        <is>
          <t>VÄSTRA GÖTALANDS LÄN</t>
        </is>
      </c>
      <c r="E10778" t="inlineStr">
        <is>
          <t>UDDEVALLA</t>
        </is>
      </c>
      <c r="G10778" t="n">
        <v>15.2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35202-2023</t>
        </is>
      </c>
      <c r="B10779" s="1" t="n">
        <v>45145</v>
      </c>
      <c r="C10779" s="1" t="n">
        <v>45212</v>
      </c>
      <c r="D10779" t="inlineStr">
        <is>
          <t>VÄSTRA GÖTALANDS LÄN</t>
        </is>
      </c>
      <c r="E10779" t="inlineStr">
        <is>
          <t>LIDKÖPING</t>
        </is>
      </c>
      <c r="G10779" t="n">
        <v>11.1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35450-2023</t>
        </is>
      </c>
      <c r="B10780" s="1" t="n">
        <v>45146</v>
      </c>
      <c r="C10780" s="1" t="n">
        <v>45212</v>
      </c>
      <c r="D10780" t="inlineStr">
        <is>
          <t>VÄSTRA GÖTALANDS LÄN</t>
        </is>
      </c>
      <c r="E10780" t="inlineStr">
        <is>
          <t>FALKÖPING</t>
        </is>
      </c>
      <c r="G10780" t="n">
        <v>4.3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35609-2023</t>
        </is>
      </c>
      <c r="B10781" s="1" t="n">
        <v>45146</v>
      </c>
      <c r="C10781" s="1" t="n">
        <v>45212</v>
      </c>
      <c r="D10781" t="inlineStr">
        <is>
          <t>VÄSTRA GÖTALANDS LÄN</t>
        </is>
      </c>
      <c r="E10781" t="inlineStr">
        <is>
          <t>VARA</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35486-2023</t>
        </is>
      </c>
      <c r="B10782" s="1" t="n">
        <v>45146</v>
      </c>
      <c r="C10782" s="1" t="n">
        <v>45212</v>
      </c>
      <c r="D10782" t="inlineStr">
        <is>
          <t>VÄSTRA GÖTALANDS LÄN</t>
        </is>
      </c>
      <c r="E10782" t="inlineStr">
        <is>
          <t>HJO</t>
        </is>
      </c>
      <c r="G10782" t="n">
        <v>2.9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35588-2023</t>
        </is>
      </c>
      <c r="B10783" s="1" t="n">
        <v>45146</v>
      </c>
      <c r="C10783" s="1" t="n">
        <v>45212</v>
      </c>
      <c r="D10783" t="inlineStr">
        <is>
          <t>VÄSTRA GÖTALANDS LÄN</t>
        </is>
      </c>
      <c r="E10783" t="inlineStr">
        <is>
          <t>VARA</t>
        </is>
      </c>
      <c r="G10783" t="n">
        <v>1.9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35394-2023</t>
        </is>
      </c>
      <c r="B10784" s="1" t="n">
        <v>45146</v>
      </c>
      <c r="C10784" s="1" t="n">
        <v>45212</v>
      </c>
      <c r="D10784" t="inlineStr">
        <is>
          <t>VÄSTRA GÖTALANDS LÄN</t>
        </is>
      </c>
      <c r="E10784" t="inlineStr">
        <is>
          <t>GRÄSTORP</t>
        </is>
      </c>
      <c r="G10784" t="n">
        <v>2.5</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35408-2023</t>
        </is>
      </c>
      <c r="B10785" s="1" t="n">
        <v>45146</v>
      </c>
      <c r="C10785" s="1" t="n">
        <v>45212</v>
      </c>
      <c r="D10785" t="inlineStr">
        <is>
          <t>VÄSTRA GÖTALANDS LÄN</t>
        </is>
      </c>
      <c r="E10785" t="inlineStr">
        <is>
          <t>GÖTENE</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35479-2023</t>
        </is>
      </c>
      <c r="B10786" s="1" t="n">
        <v>45146</v>
      </c>
      <c r="C10786" s="1" t="n">
        <v>45212</v>
      </c>
      <c r="D10786" t="inlineStr">
        <is>
          <t>VÄSTRA GÖTALANDS LÄN</t>
        </is>
      </c>
      <c r="E10786" t="inlineStr">
        <is>
          <t>TIDAHOLM</t>
        </is>
      </c>
      <c r="G10786" t="n">
        <v>8.199999999999999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35491-2023</t>
        </is>
      </c>
      <c r="B10787" s="1" t="n">
        <v>45146</v>
      </c>
      <c r="C10787" s="1" t="n">
        <v>45212</v>
      </c>
      <c r="D10787" t="inlineStr">
        <is>
          <t>VÄSTRA GÖTALANDS LÄN</t>
        </is>
      </c>
      <c r="E10787" t="inlineStr">
        <is>
          <t>BOLLEBYGD</t>
        </is>
      </c>
      <c r="G10787" t="n">
        <v>3.5</v>
      </c>
      <c r="H10787" t="n">
        <v>0</v>
      </c>
      <c r="I10787" t="n">
        <v>0</v>
      </c>
      <c r="J10787" t="n">
        <v>0</v>
      </c>
      <c r="K10787" t="n">
        <v>0</v>
      </c>
      <c r="L10787" t="n">
        <v>0</v>
      </c>
      <c r="M10787" t="n">
        <v>0</v>
      </c>
      <c r="N10787" t="n">
        <v>0</v>
      </c>
      <c r="O10787" t="n">
        <v>0</v>
      </c>
      <c r="P10787" t="n">
        <v>0</v>
      </c>
      <c r="Q10787" t="n">
        <v>0</v>
      </c>
      <c r="R10787" s="2" t="inlineStr"/>
      <c r="U10787">
        <f>HYPERLINK("https://klasma.github.io/Logging_1443/knärot/A 35491-2023 knärot.png", "A 35491-2023")</f>
        <v/>
      </c>
      <c r="V10787">
        <f>HYPERLINK("https://klasma.github.io/Logging_1443/klagomål/A 35491-2023 klagomål.docx", "A 35491-2023")</f>
        <v/>
      </c>
      <c r="W10787">
        <f>HYPERLINK("https://klasma.github.io/Logging_1443/klagomålsmail/A 35491-2023 klagomålsmail.docx", "A 35491-2023")</f>
        <v/>
      </c>
      <c r="X10787">
        <f>HYPERLINK("https://klasma.github.io/Logging_1443/tillsyn/A 35491-2023 tillsyn.docx", "A 35491-2023")</f>
        <v/>
      </c>
      <c r="Y10787">
        <f>HYPERLINK("https://klasma.github.io/Logging_1443/tillsynsmail/A 35491-2023 tillsynsmail.docx", "A 35491-2023")</f>
        <v/>
      </c>
    </row>
    <row r="10788" ht="15" customHeight="1">
      <c r="A10788" t="inlineStr">
        <is>
          <t>A 35405-2023</t>
        </is>
      </c>
      <c r="B10788" s="1" t="n">
        <v>45146</v>
      </c>
      <c r="C10788" s="1" t="n">
        <v>45212</v>
      </c>
      <c r="D10788" t="inlineStr">
        <is>
          <t>VÄSTRA GÖTALANDS LÄN</t>
        </is>
      </c>
      <c r="E10788" t="inlineStr">
        <is>
          <t>GÖTENE</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35487-2023</t>
        </is>
      </c>
      <c r="B10789" s="1" t="n">
        <v>45146</v>
      </c>
      <c r="C10789" s="1" t="n">
        <v>45212</v>
      </c>
      <c r="D10789" t="inlineStr">
        <is>
          <t>VÄSTRA GÖTALANDS LÄN</t>
        </is>
      </c>
      <c r="E10789" t="inlineStr">
        <is>
          <t>TIDAHOLM</t>
        </is>
      </c>
      <c r="G10789" t="n">
        <v>4.5</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35608-2023</t>
        </is>
      </c>
      <c r="B10790" s="1" t="n">
        <v>45146</v>
      </c>
      <c r="C10790" s="1" t="n">
        <v>45212</v>
      </c>
      <c r="D10790" t="inlineStr">
        <is>
          <t>VÄSTRA GÖTALANDS LÄN</t>
        </is>
      </c>
      <c r="E10790" t="inlineStr">
        <is>
          <t>VARA</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35645-2023</t>
        </is>
      </c>
      <c r="B10791" s="1" t="n">
        <v>45147</v>
      </c>
      <c r="C10791" s="1" t="n">
        <v>45212</v>
      </c>
      <c r="D10791" t="inlineStr">
        <is>
          <t>VÄSTRA GÖTALANDS LÄN</t>
        </is>
      </c>
      <c r="E10791" t="inlineStr">
        <is>
          <t>MUNKEDAL</t>
        </is>
      </c>
      <c r="G10791" t="n">
        <v>2.3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35697-2023</t>
        </is>
      </c>
      <c r="B10792" s="1" t="n">
        <v>45147</v>
      </c>
      <c r="C10792" s="1" t="n">
        <v>45212</v>
      </c>
      <c r="D10792" t="inlineStr">
        <is>
          <t>VÄSTRA GÖTALANDS LÄN</t>
        </is>
      </c>
      <c r="E10792" t="inlineStr">
        <is>
          <t>DALS-ED</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35526-2023</t>
        </is>
      </c>
      <c r="B10793" s="1" t="n">
        <v>45147</v>
      </c>
      <c r="C10793" s="1" t="n">
        <v>45212</v>
      </c>
      <c r="D10793" t="inlineStr">
        <is>
          <t>VÄSTRA GÖTALANDS LÄN</t>
        </is>
      </c>
      <c r="E10793" t="inlineStr">
        <is>
          <t>BOLLEBYGD</t>
        </is>
      </c>
      <c r="G10793" t="n">
        <v>2.2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35594-2023</t>
        </is>
      </c>
      <c r="B10794" s="1" t="n">
        <v>45147</v>
      </c>
      <c r="C10794" s="1" t="n">
        <v>45212</v>
      </c>
      <c r="D10794" t="inlineStr">
        <is>
          <t>VÄSTRA GÖTALANDS LÄN</t>
        </is>
      </c>
      <c r="E10794" t="inlineStr">
        <is>
          <t>MARIESTAD</t>
        </is>
      </c>
      <c r="F10794" t="inlineStr">
        <is>
          <t>Sveaskog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35647-2023</t>
        </is>
      </c>
      <c r="B10795" s="1" t="n">
        <v>45147</v>
      </c>
      <c r="C10795" s="1" t="n">
        <v>45212</v>
      </c>
      <c r="D10795" t="inlineStr">
        <is>
          <t>VÄSTRA GÖTALANDS LÄN</t>
        </is>
      </c>
      <c r="E10795" t="inlineStr">
        <is>
          <t>MUNKEDAL</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35591-2023</t>
        </is>
      </c>
      <c r="B10796" s="1" t="n">
        <v>45147</v>
      </c>
      <c r="C10796" s="1" t="n">
        <v>45212</v>
      </c>
      <c r="D10796" t="inlineStr">
        <is>
          <t>VÄSTRA GÖTALANDS LÄN</t>
        </is>
      </c>
      <c r="E10796" t="inlineStr">
        <is>
          <t>MARIESTAD</t>
        </is>
      </c>
      <c r="F10796" t="inlineStr">
        <is>
          <t>Sveaskog</t>
        </is>
      </c>
      <c r="G10796" t="n">
        <v>4.2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35694-2023</t>
        </is>
      </c>
      <c r="B10797" s="1" t="n">
        <v>45147</v>
      </c>
      <c r="C10797" s="1" t="n">
        <v>45212</v>
      </c>
      <c r="D10797" t="inlineStr">
        <is>
          <t>VÄSTRA GÖTALANDS LÄN</t>
        </is>
      </c>
      <c r="E10797" t="inlineStr">
        <is>
          <t>SVENLJUNGA</t>
        </is>
      </c>
      <c r="G10797" t="n">
        <v>0.8</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35920-2023</t>
        </is>
      </c>
      <c r="B10798" s="1" t="n">
        <v>45148</v>
      </c>
      <c r="C10798" s="1" t="n">
        <v>45212</v>
      </c>
      <c r="D10798" t="inlineStr">
        <is>
          <t>VÄSTRA GÖTALANDS LÄN</t>
        </is>
      </c>
      <c r="E10798" t="inlineStr">
        <is>
          <t>VÅRGÅRDA</t>
        </is>
      </c>
      <c r="G10798" t="n">
        <v>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35800-2023</t>
        </is>
      </c>
      <c r="B10799" s="1" t="n">
        <v>45148</v>
      </c>
      <c r="C10799" s="1" t="n">
        <v>45212</v>
      </c>
      <c r="D10799" t="inlineStr">
        <is>
          <t>VÄSTRA GÖTALANDS LÄN</t>
        </is>
      </c>
      <c r="E10799" t="inlineStr">
        <is>
          <t>BORÅS</t>
        </is>
      </c>
      <c r="G10799" t="n">
        <v>1.6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35904-2023</t>
        </is>
      </c>
      <c r="B10800" s="1" t="n">
        <v>45148</v>
      </c>
      <c r="C10800" s="1" t="n">
        <v>45212</v>
      </c>
      <c r="D10800" t="inlineStr">
        <is>
          <t>VÄSTRA GÖTALANDS LÄN</t>
        </is>
      </c>
      <c r="E10800" t="inlineStr">
        <is>
          <t>FALKÖPING</t>
        </is>
      </c>
      <c r="G10800" t="n">
        <v>5.4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35814-2023</t>
        </is>
      </c>
      <c r="B10801" s="1" t="n">
        <v>45148</v>
      </c>
      <c r="C10801" s="1" t="n">
        <v>45212</v>
      </c>
      <c r="D10801" t="inlineStr">
        <is>
          <t>VÄSTRA GÖTALANDS LÄN</t>
        </is>
      </c>
      <c r="E10801" t="inlineStr">
        <is>
          <t>MUNKEDAL</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35836-2023</t>
        </is>
      </c>
      <c r="B10802" s="1" t="n">
        <v>45148</v>
      </c>
      <c r="C10802" s="1" t="n">
        <v>45212</v>
      </c>
      <c r="D10802" t="inlineStr">
        <is>
          <t>VÄSTRA GÖTALANDS LÄN</t>
        </is>
      </c>
      <c r="E10802" t="inlineStr">
        <is>
          <t>FALKÖPING</t>
        </is>
      </c>
      <c r="G10802" t="n">
        <v>1.5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36107-2023</t>
        </is>
      </c>
      <c r="B10803" s="1" t="n">
        <v>45149</v>
      </c>
      <c r="C10803" s="1" t="n">
        <v>45212</v>
      </c>
      <c r="D10803" t="inlineStr">
        <is>
          <t>VÄSTRA GÖTALANDS LÄN</t>
        </is>
      </c>
      <c r="E10803" t="inlineStr">
        <is>
          <t>SVENLJUNGA</t>
        </is>
      </c>
      <c r="G10803" t="n">
        <v>1.1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36168-2023</t>
        </is>
      </c>
      <c r="B10804" s="1" t="n">
        <v>45149</v>
      </c>
      <c r="C10804" s="1" t="n">
        <v>45212</v>
      </c>
      <c r="D10804" t="inlineStr">
        <is>
          <t>VÄSTRA GÖTALANDS LÄN</t>
        </is>
      </c>
      <c r="E10804" t="inlineStr">
        <is>
          <t>BOLLEBYGD</t>
        </is>
      </c>
      <c r="G10804" t="n">
        <v>2.3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36006-2023</t>
        </is>
      </c>
      <c r="B10805" s="1" t="n">
        <v>45149</v>
      </c>
      <c r="C10805" s="1" t="n">
        <v>45212</v>
      </c>
      <c r="D10805" t="inlineStr">
        <is>
          <t>VÄSTRA GÖTALANDS LÄN</t>
        </is>
      </c>
      <c r="E10805" t="inlineStr">
        <is>
          <t>ALINGSÅS</t>
        </is>
      </c>
      <c r="G10805" t="n">
        <v>4.1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36106-2023</t>
        </is>
      </c>
      <c r="B10806" s="1" t="n">
        <v>45149</v>
      </c>
      <c r="C10806" s="1" t="n">
        <v>45212</v>
      </c>
      <c r="D10806" t="inlineStr">
        <is>
          <t>VÄSTRA GÖTALANDS LÄN</t>
        </is>
      </c>
      <c r="E10806" t="inlineStr">
        <is>
          <t>SVENLJUNGA</t>
        </is>
      </c>
      <c r="G10806" t="n">
        <v>3.2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36045-2023</t>
        </is>
      </c>
      <c r="B10807" s="1" t="n">
        <v>45149</v>
      </c>
      <c r="C10807" s="1" t="n">
        <v>45212</v>
      </c>
      <c r="D10807" t="inlineStr">
        <is>
          <t>VÄSTRA GÖTALANDS LÄN</t>
        </is>
      </c>
      <c r="E10807" t="inlineStr">
        <is>
          <t>SKARA</t>
        </is>
      </c>
      <c r="G10807" t="n">
        <v>0.4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36173-2023</t>
        </is>
      </c>
      <c r="B10808" s="1" t="n">
        <v>45149</v>
      </c>
      <c r="C10808" s="1" t="n">
        <v>45212</v>
      </c>
      <c r="D10808" t="inlineStr">
        <is>
          <t>VÄSTRA GÖTALANDS LÄN</t>
        </is>
      </c>
      <c r="E10808" t="inlineStr">
        <is>
          <t>MUNKEDAL</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36416-2023</t>
        </is>
      </c>
      <c r="B10809" s="1" t="n">
        <v>45151</v>
      </c>
      <c r="C10809" s="1" t="n">
        <v>45212</v>
      </c>
      <c r="D10809" t="inlineStr">
        <is>
          <t>VÄSTRA GÖTALANDS LÄN</t>
        </is>
      </c>
      <c r="E10809" t="inlineStr">
        <is>
          <t>BENGTSFORS</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36436-2023</t>
        </is>
      </c>
      <c r="B10810" s="1" t="n">
        <v>45151</v>
      </c>
      <c r="C10810" s="1" t="n">
        <v>45212</v>
      </c>
      <c r="D10810" t="inlineStr">
        <is>
          <t>VÄSTRA GÖTALANDS LÄN</t>
        </is>
      </c>
      <c r="E10810" t="inlineStr">
        <is>
          <t>DALS-ED</t>
        </is>
      </c>
      <c r="G10810" t="n">
        <v>27.1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36430-2023</t>
        </is>
      </c>
      <c r="B10811" s="1" t="n">
        <v>45151</v>
      </c>
      <c r="C10811" s="1" t="n">
        <v>45212</v>
      </c>
      <c r="D10811" t="inlineStr">
        <is>
          <t>VÄSTRA GÖTALANDS LÄN</t>
        </is>
      </c>
      <c r="E10811" t="inlineStr">
        <is>
          <t>BENGTSFORS</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36423-2023</t>
        </is>
      </c>
      <c r="B10812" s="1" t="n">
        <v>45151</v>
      </c>
      <c r="C10812" s="1" t="n">
        <v>45212</v>
      </c>
      <c r="D10812" t="inlineStr">
        <is>
          <t>VÄSTRA GÖTALANDS LÄN</t>
        </is>
      </c>
      <c r="E10812" t="inlineStr">
        <is>
          <t>BENGTSFORS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36456-2023</t>
        </is>
      </c>
      <c r="B10813" s="1" t="n">
        <v>45151</v>
      </c>
      <c r="C10813" s="1" t="n">
        <v>45212</v>
      </c>
      <c r="D10813" t="inlineStr">
        <is>
          <t>VÄSTRA GÖTALANDS LÄN</t>
        </is>
      </c>
      <c r="E10813" t="inlineStr">
        <is>
          <t>DALS-ED</t>
        </is>
      </c>
      <c r="G10813" t="n">
        <v>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36426-2023</t>
        </is>
      </c>
      <c r="B10814" s="1" t="n">
        <v>45151</v>
      </c>
      <c r="C10814" s="1" t="n">
        <v>45212</v>
      </c>
      <c r="D10814" t="inlineStr">
        <is>
          <t>VÄSTRA GÖTALANDS LÄN</t>
        </is>
      </c>
      <c r="E10814" t="inlineStr">
        <is>
          <t>BENGTSFORS</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36464-2023</t>
        </is>
      </c>
      <c r="B10815" s="1" t="n">
        <v>45151</v>
      </c>
      <c r="C10815" s="1" t="n">
        <v>45212</v>
      </c>
      <c r="D10815" t="inlineStr">
        <is>
          <t>VÄSTRA GÖTALANDS LÄN</t>
        </is>
      </c>
      <c r="E10815" t="inlineStr">
        <is>
          <t>DALS-ED</t>
        </is>
      </c>
      <c r="G10815" t="n">
        <v>6.2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36470-2023</t>
        </is>
      </c>
      <c r="B10816" s="1" t="n">
        <v>45152</v>
      </c>
      <c r="C10816" s="1" t="n">
        <v>45212</v>
      </c>
      <c r="D10816" t="inlineStr">
        <is>
          <t>VÄSTRA GÖTALANDS LÄN</t>
        </is>
      </c>
      <c r="E10816" t="inlineStr">
        <is>
          <t>SKARA</t>
        </is>
      </c>
      <c r="G10816" t="n">
        <v>1.1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36324-2023</t>
        </is>
      </c>
      <c r="B10817" s="1" t="n">
        <v>45152</v>
      </c>
      <c r="C10817" s="1" t="n">
        <v>45212</v>
      </c>
      <c r="D10817" t="inlineStr">
        <is>
          <t>VÄSTRA GÖTALANDS LÄN</t>
        </is>
      </c>
      <c r="E10817" t="inlineStr">
        <is>
          <t>KARLSBORG</t>
        </is>
      </c>
      <c r="G10817" t="n">
        <v>1.4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36912-2023</t>
        </is>
      </c>
      <c r="B10818" s="1" t="n">
        <v>45153</v>
      </c>
      <c r="C10818" s="1" t="n">
        <v>45212</v>
      </c>
      <c r="D10818" t="inlineStr">
        <is>
          <t>VÄSTRA GÖTALANDS LÄN</t>
        </is>
      </c>
      <c r="E10818" t="inlineStr">
        <is>
          <t>MUNKEDAL</t>
        </is>
      </c>
      <c r="F10818" t="inlineStr">
        <is>
          <t>Övriga Aktiebolag</t>
        </is>
      </c>
      <c r="G10818" t="n">
        <v>2.7</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36670-2023</t>
        </is>
      </c>
      <c r="B10819" s="1" t="n">
        <v>45153</v>
      </c>
      <c r="C10819" s="1" t="n">
        <v>45212</v>
      </c>
      <c r="D10819" t="inlineStr">
        <is>
          <t>VÄSTRA GÖTALANDS LÄN</t>
        </is>
      </c>
      <c r="E10819" t="inlineStr">
        <is>
          <t>FÄRGELANDA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36834-2023</t>
        </is>
      </c>
      <c r="B10820" s="1" t="n">
        <v>45153</v>
      </c>
      <c r="C10820" s="1" t="n">
        <v>45212</v>
      </c>
      <c r="D10820" t="inlineStr">
        <is>
          <t>VÄSTRA GÖTALANDS LÄN</t>
        </is>
      </c>
      <c r="E10820" t="inlineStr">
        <is>
          <t>KARLSBORG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36906-2023</t>
        </is>
      </c>
      <c r="B10821" s="1" t="n">
        <v>45153</v>
      </c>
      <c r="C10821" s="1" t="n">
        <v>45212</v>
      </c>
      <c r="D10821" t="inlineStr">
        <is>
          <t>VÄSTRA GÖTALANDS LÄN</t>
        </is>
      </c>
      <c r="E10821" t="inlineStr">
        <is>
          <t>MUNKEDAL</t>
        </is>
      </c>
      <c r="F10821" t="inlineStr">
        <is>
          <t>Övriga Aktiebolag</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36922-2023</t>
        </is>
      </c>
      <c r="B10822" s="1" t="n">
        <v>45153</v>
      </c>
      <c r="C10822" s="1" t="n">
        <v>45212</v>
      </c>
      <c r="D10822" t="inlineStr">
        <is>
          <t>VÄSTRA GÖTALANDS LÄN</t>
        </is>
      </c>
      <c r="E10822" t="inlineStr">
        <is>
          <t>GULLSPÅNG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36920-2023</t>
        </is>
      </c>
      <c r="B10823" s="1" t="n">
        <v>45153</v>
      </c>
      <c r="C10823" s="1" t="n">
        <v>45212</v>
      </c>
      <c r="D10823" t="inlineStr">
        <is>
          <t>VÄSTRA GÖTALANDS LÄN</t>
        </is>
      </c>
      <c r="E10823" t="inlineStr">
        <is>
          <t>KARLSBORG</t>
        </is>
      </c>
      <c r="G10823" t="n">
        <v>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37131-2023</t>
        </is>
      </c>
      <c r="B10824" s="1" t="n">
        <v>45154</v>
      </c>
      <c r="C10824" s="1" t="n">
        <v>45212</v>
      </c>
      <c r="D10824" t="inlineStr">
        <is>
          <t>VÄSTRA GÖTALANDS LÄN</t>
        </is>
      </c>
      <c r="E10824" t="inlineStr">
        <is>
          <t>BENGTSFORS</t>
        </is>
      </c>
      <c r="G10824" t="n">
        <v>2.3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36798-2023</t>
        </is>
      </c>
      <c r="B10825" s="1" t="n">
        <v>45154</v>
      </c>
      <c r="C10825" s="1" t="n">
        <v>45212</v>
      </c>
      <c r="D10825" t="inlineStr">
        <is>
          <t>VÄSTRA GÖTALANDS LÄN</t>
        </is>
      </c>
      <c r="E10825" t="inlineStr">
        <is>
          <t>FALKÖPING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37073-2023</t>
        </is>
      </c>
      <c r="B10826" s="1" t="n">
        <v>45154</v>
      </c>
      <c r="C10826" s="1" t="n">
        <v>45212</v>
      </c>
      <c r="D10826" t="inlineStr">
        <is>
          <t>VÄSTRA GÖTALANDS LÄN</t>
        </is>
      </c>
      <c r="E10826" t="inlineStr">
        <is>
          <t>TANUM</t>
        </is>
      </c>
      <c r="G10826" t="n">
        <v>1.2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37069-2023</t>
        </is>
      </c>
      <c r="B10827" s="1" t="n">
        <v>45154</v>
      </c>
      <c r="C10827" s="1" t="n">
        <v>45212</v>
      </c>
      <c r="D10827" t="inlineStr">
        <is>
          <t>VÄSTRA GÖTALANDS LÄN</t>
        </is>
      </c>
      <c r="E10827" t="inlineStr">
        <is>
          <t>TANUM</t>
        </is>
      </c>
      <c r="G10827" t="n">
        <v>4.6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37179-2023</t>
        </is>
      </c>
      <c r="B10828" s="1" t="n">
        <v>45155</v>
      </c>
      <c r="C10828" s="1" t="n">
        <v>45212</v>
      </c>
      <c r="D10828" t="inlineStr">
        <is>
          <t>VÄSTRA GÖTALANDS LÄN</t>
        </is>
      </c>
      <c r="E10828" t="inlineStr">
        <is>
          <t>TIDAHOLM</t>
        </is>
      </c>
      <c r="F10828" t="inlineStr">
        <is>
          <t>Sveaskog</t>
        </is>
      </c>
      <c r="G10828" t="n">
        <v>1.7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37414-2023</t>
        </is>
      </c>
      <c r="B10829" s="1" t="n">
        <v>45155</v>
      </c>
      <c r="C10829" s="1" t="n">
        <v>45212</v>
      </c>
      <c r="D10829" t="inlineStr">
        <is>
          <t>VÄSTRA GÖTALANDS LÄN</t>
        </is>
      </c>
      <c r="E10829" t="inlineStr">
        <is>
          <t>MUNKEDAL</t>
        </is>
      </c>
      <c r="F10829" t="inlineStr">
        <is>
          <t>Övriga Aktiebolag</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37095-2023</t>
        </is>
      </c>
      <c r="B10830" s="1" t="n">
        <v>45155</v>
      </c>
      <c r="C10830" s="1" t="n">
        <v>45212</v>
      </c>
      <c r="D10830" t="inlineStr">
        <is>
          <t>VÄSTRA GÖTALANDS LÄN</t>
        </is>
      </c>
      <c r="E10830" t="inlineStr">
        <is>
          <t>LIDKÖPING</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37098-2023</t>
        </is>
      </c>
      <c r="B10831" s="1" t="n">
        <v>45155</v>
      </c>
      <c r="C10831" s="1" t="n">
        <v>45212</v>
      </c>
      <c r="D10831" t="inlineStr">
        <is>
          <t>VÄSTRA GÖTALANDS LÄN</t>
        </is>
      </c>
      <c r="E10831" t="inlineStr">
        <is>
          <t>LIDKÖPING</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37394-2023</t>
        </is>
      </c>
      <c r="B10832" s="1" t="n">
        <v>45155</v>
      </c>
      <c r="C10832" s="1" t="n">
        <v>45212</v>
      </c>
      <c r="D10832" t="inlineStr">
        <is>
          <t>VÄSTRA GÖTALANDS LÄN</t>
        </is>
      </c>
      <c r="E10832" t="inlineStr">
        <is>
          <t>BENGTSFORS</t>
        </is>
      </c>
      <c r="G10832" t="n">
        <v>2.1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37419-2023</t>
        </is>
      </c>
      <c r="B10833" s="1" t="n">
        <v>45155</v>
      </c>
      <c r="C10833" s="1" t="n">
        <v>45212</v>
      </c>
      <c r="D10833" t="inlineStr">
        <is>
          <t>VÄSTRA GÖTALANDS LÄN</t>
        </is>
      </c>
      <c r="E10833" t="inlineStr">
        <is>
          <t>MUNKEDAL</t>
        </is>
      </c>
      <c r="F10833" t="inlineStr">
        <is>
          <t>Övriga Aktiebolag</t>
        </is>
      </c>
      <c r="G10833" t="n">
        <v>1.9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37295-2023</t>
        </is>
      </c>
      <c r="B10834" s="1" t="n">
        <v>45156</v>
      </c>
      <c r="C10834" s="1" t="n">
        <v>45212</v>
      </c>
      <c r="D10834" t="inlineStr">
        <is>
          <t>VÄSTRA GÖTALANDS LÄN</t>
        </is>
      </c>
      <c r="E10834" t="inlineStr">
        <is>
          <t>TIDAHOLM</t>
        </is>
      </c>
      <c r="G10834" t="n">
        <v>0.3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37791-2023</t>
        </is>
      </c>
      <c r="B10835" s="1" t="n">
        <v>45159</v>
      </c>
      <c r="C10835" s="1" t="n">
        <v>45212</v>
      </c>
      <c r="D10835" t="inlineStr">
        <is>
          <t>VÄSTRA GÖTALANDS LÄN</t>
        </is>
      </c>
      <c r="E10835" t="inlineStr">
        <is>
          <t>ULRICEHAMN</t>
        </is>
      </c>
      <c r="G10835" t="n">
        <v>1.8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38064-2023</t>
        </is>
      </c>
      <c r="B10836" s="1" t="n">
        <v>45159</v>
      </c>
      <c r="C10836" s="1" t="n">
        <v>45212</v>
      </c>
      <c r="D10836" t="inlineStr">
        <is>
          <t>VÄSTRA GÖTALANDS LÄN</t>
        </is>
      </c>
      <c r="E10836" t="inlineStr">
        <is>
          <t>ÅMÅL</t>
        </is>
      </c>
      <c r="F10836" t="inlineStr">
        <is>
          <t>Bergvik skog väst AB</t>
        </is>
      </c>
      <c r="G10836" t="n">
        <v>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45212</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45212</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45212</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45212</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45212</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45212</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45212</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45212</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45212</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45212</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45212</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45212</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45212</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45212</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45212</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45212</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45212</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45212</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45212</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45212</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45212</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45212</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45212</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45212</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45212</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45212</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45212</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45212</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45212</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45212</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45212</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45212</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45212</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45212</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45212</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45212</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45212</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45212</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45212</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45212</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45212</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45212</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45212</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45212</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45212</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45212</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45212</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45212</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45212</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45212</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45212</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45212</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45212</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45212</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45212</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45212</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45212</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45212</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45212</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45212</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45212</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45212</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45212</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45212</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45212</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45212</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45212</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45212</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45212</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45212</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45212</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45212</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45212</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45212</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45212</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45212</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45212</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45212</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45212</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45212</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45212</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45212</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45212</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45212</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45212</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45212</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45212</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45212</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45212</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45212</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45212</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45212</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45212</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45212</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45212</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49385-2023</t>
        </is>
      </c>
      <c r="B10932" s="1" t="n">
        <v>45211</v>
      </c>
      <c r="C10932" s="1" t="n">
        <v>45212</v>
      </c>
      <c r="D10932" t="inlineStr">
        <is>
          <t>VÄSTRA GÖTALANDS LÄN</t>
        </is>
      </c>
      <c r="E10932" t="inlineStr">
        <is>
          <t>MARIESTAD</t>
        </is>
      </c>
      <c r="G10932" t="n">
        <v>0.7</v>
      </c>
      <c r="H10932" t="n">
        <v>0</v>
      </c>
      <c r="I10932" t="n">
        <v>0</v>
      </c>
      <c r="J10932" t="n">
        <v>0</v>
      </c>
      <c r="K10932" t="n">
        <v>0</v>
      </c>
      <c r="L10932" t="n">
        <v>0</v>
      </c>
      <c r="M10932" t="n">
        <v>0</v>
      </c>
      <c r="N10932" t="n">
        <v>0</v>
      </c>
      <c r="O10932" t="n">
        <v>0</v>
      </c>
      <c r="P10932" t="n">
        <v>0</v>
      </c>
      <c r="Q10932" t="n">
        <v>0</v>
      </c>
      <c r="R10932" s="2" t="inlineStr"/>
    </row>
    <row r="10933">
      <c r="A10933" t="inlineStr">
        <is>
          <t>A 49346-2023</t>
        </is>
      </c>
      <c r="B10933" s="1" t="n">
        <v>45211</v>
      </c>
      <c r="C10933" s="1" t="n">
        <v>45212</v>
      </c>
      <c r="D10933" t="inlineStr">
        <is>
          <t>VÄSTRA GÖTALANDS LÄN</t>
        </is>
      </c>
      <c r="E10933" t="inlineStr">
        <is>
          <t>TRANEMO</t>
        </is>
      </c>
      <c r="G10933" t="n">
        <v>1.8</v>
      </c>
      <c r="H10933" t="n">
        <v>0</v>
      </c>
      <c r="I10933" t="n">
        <v>0</v>
      </c>
      <c r="J10933" t="n">
        <v>0</v>
      </c>
      <c r="K10933" t="n">
        <v>0</v>
      </c>
      <c r="L10933" t="n">
        <v>0</v>
      </c>
      <c r="M10933" t="n">
        <v>0</v>
      </c>
      <c r="N10933" t="n">
        <v>0</v>
      </c>
      <c r="O10933" t="n">
        <v>0</v>
      </c>
      <c r="P10933" t="n">
        <v>0</v>
      </c>
      <c r="Q10933" t="n">
        <v>0</v>
      </c>
      <c r="R109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2023-10-13T04:48:17Z</dcterms:created>
  <dcterms:modified xmlns:dcterms="http://purl.org/dc/terms/" xmlns:xsi="http://www.w3.org/2001/XMLSchema-instance" xsi:type="dcterms:W3CDTF">2023-10-13T04:48:21Z</dcterms:modified>
</cp:coreProperties>
</file>