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45182</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c r="T2">
        <f>HYPERLINK("https://klasma.github.io/Logging_TANUM/kartor/A 69213-2018.png")</f>
        <v/>
      </c>
      <c r="U2">
        <f>HYPERLINK("https://klasma.github.io/Logging_TANUM/knärot/A 69213-2018.png")</f>
        <v/>
      </c>
      <c r="V2">
        <f>HYPERLINK("https://klasma.github.io/Logging_TANUM/klagomål/A 69213-2018.docx")</f>
        <v/>
      </c>
      <c r="W2">
        <f>HYPERLINK("https://klasma.github.io/Logging_TANUM/klagomålsmail/A 69213-2018.docx")</f>
        <v/>
      </c>
      <c r="X2">
        <f>HYPERLINK("https://klasma.github.io/Logging_TANUM/tillsyn/A 69213-2018.docx")</f>
        <v/>
      </c>
      <c r="Y2">
        <f>HYPERLINK("https://klasma.github.io/Logging_TANUM/tillsynsmail/A 69213-2018.docx")</f>
        <v/>
      </c>
    </row>
    <row r="3" ht="15" customHeight="1">
      <c r="A3" t="inlineStr">
        <is>
          <t>A 20688-2022</t>
        </is>
      </c>
      <c r="B3" s="1" t="n">
        <v>44700</v>
      </c>
      <c r="C3" s="1" t="n">
        <v>45182</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c r="T3">
        <f>HYPERLINK("https://klasma.github.io/Logging_SKOVDE/kartor/A 20688-2022.png")</f>
        <v/>
      </c>
      <c r="V3">
        <f>HYPERLINK("https://klasma.github.io/Logging_SKOVDE/klagomål/A 20688-2022.docx")</f>
        <v/>
      </c>
      <c r="W3">
        <f>HYPERLINK("https://klasma.github.io/Logging_SKOVDE/klagomålsmail/A 20688-2022.docx")</f>
        <v/>
      </c>
      <c r="X3">
        <f>HYPERLINK("https://klasma.github.io/Logging_SKOVDE/tillsyn/A 20688-2022.docx")</f>
        <v/>
      </c>
      <c r="Y3">
        <f>HYPERLINK("https://klasma.github.io/Logging_SKOVDE/tillsynsmail/A 20688-2022.docx")</f>
        <v/>
      </c>
    </row>
    <row r="4" ht="15" customHeight="1">
      <c r="A4" t="inlineStr">
        <is>
          <t>A 43427-2019</t>
        </is>
      </c>
      <c r="B4" s="1" t="n">
        <v>43703</v>
      </c>
      <c r="C4" s="1" t="n">
        <v>45182</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c r="T4">
        <f>HYPERLINK("https://klasma.github.io/Logging_MELLERUD/kartor/A 43427-2019.png")</f>
        <v/>
      </c>
      <c r="V4">
        <f>HYPERLINK("https://klasma.github.io/Logging_MELLERUD/klagomål/A 43427-2019.docx")</f>
        <v/>
      </c>
      <c r="W4">
        <f>HYPERLINK("https://klasma.github.io/Logging_MELLERUD/klagomålsmail/A 43427-2019.docx")</f>
        <v/>
      </c>
      <c r="X4">
        <f>HYPERLINK("https://klasma.github.io/Logging_MELLERUD/tillsyn/A 43427-2019.docx")</f>
        <v/>
      </c>
      <c r="Y4">
        <f>HYPERLINK("https://klasma.github.io/Logging_MELLERUD/tillsynsmail/A 43427-2019.docx")</f>
        <v/>
      </c>
    </row>
    <row r="5" ht="15" customHeight="1">
      <c r="A5" t="inlineStr">
        <is>
          <t>A 12138-2021</t>
        </is>
      </c>
      <c r="B5" s="1" t="n">
        <v>44266</v>
      </c>
      <c r="C5" s="1" t="n">
        <v>45182</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c r="T5">
        <f>HYPERLINK("https://klasma.github.io/Logging_ALE/kartor/A 12138-2021.png")</f>
        <v/>
      </c>
      <c r="U5">
        <f>HYPERLINK("https://klasma.github.io/Logging_ALE/knärot/A 12138-2021.png")</f>
        <v/>
      </c>
      <c r="V5">
        <f>HYPERLINK("https://klasma.github.io/Logging_ALE/klagomål/A 12138-2021.docx")</f>
        <v/>
      </c>
      <c r="W5">
        <f>HYPERLINK("https://klasma.github.io/Logging_ALE/klagomålsmail/A 12138-2021.docx")</f>
        <v/>
      </c>
      <c r="X5">
        <f>HYPERLINK("https://klasma.github.io/Logging_ALE/tillsyn/A 12138-2021.docx")</f>
        <v/>
      </c>
      <c r="Y5">
        <f>HYPERLINK("https://klasma.github.io/Logging_ALE/tillsynsmail/A 12138-2021.docx")</f>
        <v/>
      </c>
    </row>
    <row r="6" ht="15" customHeight="1">
      <c r="A6" t="inlineStr">
        <is>
          <t>A 16645-2023</t>
        </is>
      </c>
      <c r="B6" s="1" t="n">
        <v>45030</v>
      </c>
      <c r="C6" s="1" t="n">
        <v>45182</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c r="T6">
        <f>HYPERLINK("https://klasma.github.io/Logging_BENGTSFORS/kartor/A 16645-2023.png")</f>
        <v/>
      </c>
      <c r="U6">
        <f>HYPERLINK("https://klasma.github.io/Logging_BENGTSFORS/knärot/A 16645-2023.png")</f>
        <v/>
      </c>
      <c r="V6">
        <f>HYPERLINK("https://klasma.github.io/Logging_BENGTSFORS/klagomål/A 16645-2023.docx")</f>
        <v/>
      </c>
      <c r="W6">
        <f>HYPERLINK("https://klasma.github.io/Logging_BENGTSFORS/klagomålsmail/A 16645-2023.docx")</f>
        <v/>
      </c>
      <c r="X6">
        <f>HYPERLINK("https://klasma.github.io/Logging_BENGTSFORS/tillsyn/A 16645-2023.docx")</f>
        <v/>
      </c>
      <c r="Y6">
        <f>HYPERLINK("https://klasma.github.io/Logging_BENGTSFORS/tillsynsmail/A 16645-2023.docx")</f>
        <v/>
      </c>
    </row>
    <row r="7" ht="15" customHeight="1">
      <c r="A7" t="inlineStr">
        <is>
          <t>A 9135-2019</t>
        </is>
      </c>
      <c r="B7" s="1" t="n">
        <v>43504</v>
      </c>
      <c r="C7" s="1" t="n">
        <v>45182</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c r="T7">
        <f>HYPERLINK("https://klasma.github.io/Logging_MELLERUD/kartor/A 9135-2019.png")</f>
        <v/>
      </c>
      <c r="V7">
        <f>HYPERLINK("https://klasma.github.io/Logging_MELLERUD/klagomål/A 9135-2019.docx")</f>
        <v/>
      </c>
      <c r="W7">
        <f>HYPERLINK("https://klasma.github.io/Logging_MELLERUD/klagomålsmail/A 9135-2019.docx")</f>
        <v/>
      </c>
      <c r="X7">
        <f>HYPERLINK("https://klasma.github.io/Logging_MELLERUD/tillsyn/A 9135-2019.docx")</f>
        <v/>
      </c>
      <c r="Y7">
        <f>HYPERLINK("https://klasma.github.io/Logging_MELLERUD/tillsynsmail/A 9135-2019.docx")</f>
        <v/>
      </c>
    </row>
    <row r="8" ht="15" customHeight="1">
      <c r="A8" t="inlineStr">
        <is>
          <t>A 199-2023</t>
        </is>
      </c>
      <c r="B8" s="1" t="n">
        <v>44928</v>
      </c>
      <c r="C8" s="1" t="n">
        <v>45182</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c r="T8">
        <f>HYPERLINK("https://klasma.github.io/Logging_DALS-ED/kartor/A 199-2023.png")</f>
        <v/>
      </c>
      <c r="U8">
        <f>HYPERLINK("https://klasma.github.io/Logging_DALS-ED/knärot/A 199-2023.png")</f>
        <v/>
      </c>
      <c r="V8">
        <f>HYPERLINK("https://klasma.github.io/Logging_DALS-ED/klagomål/A 199-2023.docx")</f>
        <v/>
      </c>
      <c r="W8">
        <f>HYPERLINK("https://klasma.github.io/Logging_DALS-ED/klagomålsmail/A 199-2023.docx")</f>
        <v/>
      </c>
      <c r="X8">
        <f>HYPERLINK("https://klasma.github.io/Logging_DALS-ED/tillsyn/A 199-2023.docx")</f>
        <v/>
      </c>
      <c r="Y8">
        <f>HYPERLINK("https://klasma.github.io/Logging_DALS-ED/tillsynsmail/A 199-2023.docx")</f>
        <v/>
      </c>
    </row>
    <row r="9" ht="15" customHeight="1">
      <c r="A9" t="inlineStr">
        <is>
          <t>A 21058-2019</t>
        </is>
      </c>
      <c r="B9" s="1" t="n">
        <v>43573</v>
      </c>
      <c r="C9" s="1" t="n">
        <v>45182</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c r="T9">
        <f>HYPERLINK("https://klasma.github.io/Logging_LILLA_EDET/kartor/A 21058-2019.png")</f>
        <v/>
      </c>
      <c r="V9">
        <f>HYPERLINK("https://klasma.github.io/Logging_LILLA_EDET/klagomål/A 21058-2019.docx")</f>
        <v/>
      </c>
      <c r="W9">
        <f>HYPERLINK("https://klasma.github.io/Logging_LILLA_EDET/klagomålsmail/A 21058-2019.docx")</f>
        <v/>
      </c>
      <c r="X9">
        <f>HYPERLINK("https://klasma.github.io/Logging_LILLA_EDET/tillsyn/A 21058-2019.docx")</f>
        <v/>
      </c>
      <c r="Y9">
        <f>HYPERLINK("https://klasma.github.io/Logging_LILLA_EDET/tillsynsmail/A 21058-2019.docx")</f>
        <v/>
      </c>
    </row>
    <row r="10" ht="15" customHeight="1">
      <c r="A10" t="inlineStr">
        <is>
          <t>A 47259-2020</t>
        </is>
      </c>
      <c r="B10" s="1" t="n">
        <v>44097</v>
      </c>
      <c r="C10" s="1" t="n">
        <v>45182</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c r="T10">
        <f>HYPERLINK("https://klasma.github.io/Logging_STROMSTAD/kartor/A 47259-2020.png")</f>
        <v/>
      </c>
      <c r="V10">
        <f>HYPERLINK("https://klasma.github.io/Logging_STROMSTAD/klagomål/A 47259-2020.docx")</f>
        <v/>
      </c>
      <c r="W10">
        <f>HYPERLINK("https://klasma.github.io/Logging_STROMSTAD/klagomålsmail/A 47259-2020.docx")</f>
        <v/>
      </c>
      <c r="X10">
        <f>HYPERLINK("https://klasma.github.io/Logging_STROMSTAD/tillsyn/A 47259-2020.docx")</f>
        <v/>
      </c>
      <c r="Y10">
        <f>HYPERLINK("https://klasma.github.io/Logging_STROMSTAD/tillsynsmail/A 47259-2020.docx")</f>
        <v/>
      </c>
    </row>
    <row r="11" ht="15" customHeight="1">
      <c r="A11" t="inlineStr">
        <is>
          <t>A 11731-2019</t>
        </is>
      </c>
      <c r="B11" s="1" t="n">
        <v>43518</v>
      </c>
      <c r="C11" s="1" t="n">
        <v>45182</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c r="T11">
        <f>HYPERLINK("https://klasma.github.io/Logging_ALE/kartor/A 11731-2019.png")</f>
        <v/>
      </c>
      <c r="V11">
        <f>HYPERLINK("https://klasma.github.io/Logging_ALE/klagomål/A 11731-2019.docx")</f>
        <v/>
      </c>
      <c r="W11">
        <f>HYPERLINK("https://klasma.github.io/Logging_ALE/klagomålsmail/A 11731-2019.docx")</f>
        <v/>
      </c>
      <c r="X11">
        <f>HYPERLINK("https://klasma.github.io/Logging_ALE/tillsyn/A 11731-2019.docx")</f>
        <v/>
      </c>
      <c r="Y11">
        <f>HYPERLINK("https://klasma.github.io/Logging_ALE/tillsynsmail/A 11731-2019.docx")</f>
        <v/>
      </c>
    </row>
    <row r="12" ht="15" customHeight="1">
      <c r="A12" t="inlineStr">
        <is>
          <t>A 6469-2022</t>
        </is>
      </c>
      <c r="B12" s="1" t="n">
        <v>44601</v>
      </c>
      <c r="C12" s="1" t="n">
        <v>45182</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c r="T12">
        <f>HYPERLINK("https://klasma.github.io/Logging_DALS-ED/kartor/A 6469-2022.png")</f>
        <v/>
      </c>
      <c r="U12">
        <f>HYPERLINK("https://klasma.github.io/Logging_DALS-ED/knärot/A 6469-2022.png")</f>
        <v/>
      </c>
      <c r="V12">
        <f>HYPERLINK("https://klasma.github.io/Logging_DALS-ED/klagomål/A 6469-2022.docx")</f>
        <v/>
      </c>
      <c r="W12">
        <f>HYPERLINK("https://klasma.github.io/Logging_DALS-ED/klagomålsmail/A 6469-2022.docx")</f>
        <v/>
      </c>
      <c r="X12">
        <f>HYPERLINK("https://klasma.github.io/Logging_DALS-ED/tillsyn/A 6469-2022.docx")</f>
        <v/>
      </c>
      <c r="Y12">
        <f>HYPERLINK("https://klasma.github.io/Logging_DALS-ED/tillsynsmail/A 6469-2022.docx")</f>
        <v/>
      </c>
    </row>
    <row r="13" ht="15" customHeight="1">
      <c r="A13" t="inlineStr">
        <is>
          <t>A 13111-2022</t>
        </is>
      </c>
      <c r="B13" s="1" t="n">
        <v>44644</v>
      </c>
      <c r="C13" s="1" t="n">
        <v>45182</v>
      </c>
      <c r="D13" t="inlineStr">
        <is>
          <t>VÄSTRA GÖTALANDS LÄN</t>
        </is>
      </c>
      <c r="E13" t="inlineStr">
        <is>
          <t>ALE</t>
        </is>
      </c>
      <c r="G13" t="n">
        <v>10.3</v>
      </c>
      <c r="H13" t="n">
        <v>4</v>
      </c>
      <c r="I13" t="n">
        <v>10</v>
      </c>
      <c r="J13" t="n">
        <v>4</v>
      </c>
      <c r="K13" t="n">
        <v>0</v>
      </c>
      <c r="L13" t="n">
        <v>0</v>
      </c>
      <c r="M13" t="n">
        <v>0</v>
      </c>
      <c r="N13" t="n">
        <v>0</v>
      </c>
      <c r="O13" t="n">
        <v>4</v>
      </c>
      <c r="P13" t="n">
        <v>0</v>
      </c>
      <c r="Q13" t="n">
        <v>14</v>
      </c>
      <c r="R13" s="2" t="inlineStr">
        <is>
          <t>Entita
Mindre hackspett
Spillkråka
Talltita
Blåmossa
Bronshjon
Fällmossa
Guldlockmossa
Klippfrullania
Rödgul trumpetsvamp
Smal svampklubba
Stor revmossa
Västlig hakmossa
Vågbandad barkbock</t>
        </is>
      </c>
      <c r="S13">
        <f>HYPERLINK("https://klasma.github.io/Logging_ALE/artfynd/A 13111-2022.xlsx")</f>
        <v/>
      </c>
      <c r="T13">
        <f>HYPERLINK("https://klasma.github.io/Logging_ALE/kartor/A 13111-2022.png")</f>
        <v/>
      </c>
      <c r="V13">
        <f>HYPERLINK("https://klasma.github.io/Logging_ALE/klagomål/A 13111-2022.docx")</f>
        <v/>
      </c>
      <c r="W13">
        <f>HYPERLINK("https://klasma.github.io/Logging_ALE/klagomålsmail/A 13111-2022.docx")</f>
        <v/>
      </c>
      <c r="X13">
        <f>HYPERLINK("https://klasma.github.io/Logging_ALE/tillsyn/A 13111-2022.docx")</f>
        <v/>
      </c>
      <c r="Y13">
        <f>HYPERLINK("https://klasma.github.io/Logging_ALE/tillsynsmail/A 13111-2022.docx")</f>
        <v/>
      </c>
    </row>
    <row r="14" ht="15" customHeight="1">
      <c r="A14" t="inlineStr">
        <is>
          <t>A 33385-2019</t>
        </is>
      </c>
      <c r="B14" s="1" t="n">
        <v>43644</v>
      </c>
      <c r="C14" s="1" t="n">
        <v>45182</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c r="T14">
        <f>HYPERLINK("https://klasma.github.io/Logging_BENGTSFORS/kartor/A 33385-2019.png")</f>
        <v/>
      </c>
      <c r="V14">
        <f>HYPERLINK("https://klasma.github.io/Logging_BENGTSFORS/klagomål/A 33385-2019.docx")</f>
        <v/>
      </c>
      <c r="W14">
        <f>HYPERLINK("https://klasma.github.io/Logging_BENGTSFORS/klagomålsmail/A 33385-2019.docx")</f>
        <v/>
      </c>
      <c r="X14">
        <f>HYPERLINK("https://klasma.github.io/Logging_BENGTSFORS/tillsyn/A 33385-2019.docx")</f>
        <v/>
      </c>
      <c r="Y14">
        <f>HYPERLINK("https://klasma.github.io/Logging_BENGTSFORS/tillsynsmail/A 33385-2019.docx")</f>
        <v/>
      </c>
    </row>
    <row r="15" ht="15" customHeight="1">
      <c r="A15" t="inlineStr">
        <is>
          <t>A 1484-2020</t>
        </is>
      </c>
      <c r="B15" s="1" t="n">
        <v>43843</v>
      </c>
      <c r="C15" s="1" t="n">
        <v>45182</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c r="T15">
        <f>HYPERLINK("https://klasma.github.io/Logging_GOTENE/kartor/A 1484-2020.png")</f>
        <v/>
      </c>
      <c r="V15">
        <f>HYPERLINK("https://klasma.github.io/Logging_GOTENE/klagomål/A 1484-2020.docx")</f>
        <v/>
      </c>
      <c r="W15">
        <f>HYPERLINK("https://klasma.github.io/Logging_GOTENE/klagomålsmail/A 1484-2020.docx")</f>
        <v/>
      </c>
      <c r="X15">
        <f>HYPERLINK("https://klasma.github.io/Logging_GOTENE/tillsyn/A 1484-2020.docx")</f>
        <v/>
      </c>
      <c r="Y15">
        <f>HYPERLINK("https://klasma.github.io/Logging_GOTENE/tillsynsmail/A 1484-2020.docx")</f>
        <v/>
      </c>
    </row>
    <row r="16" ht="15" customHeight="1">
      <c r="A16" t="inlineStr">
        <is>
          <t>A 67757-2020</t>
        </is>
      </c>
      <c r="B16" s="1" t="n">
        <v>44182</v>
      </c>
      <c r="C16" s="1" t="n">
        <v>45182</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c r="T16">
        <f>HYPERLINK("https://klasma.github.io/Logging_STROMSTAD/kartor/A 67757-2020.png")</f>
        <v/>
      </c>
      <c r="V16">
        <f>HYPERLINK("https://klasma.github.io/Logging_STROMSTAD/klagomål/A 67757-2020.docx")</f>
        <v/>
      </c>
      <c r="W16">
        <f>HYPERLINK("https://klasma.github.io/Logging_STROMSTAD/klagomålsmail/A 67757-2020.docx")</f>
        <v/>
      </c>
      <c r="X16">
        <f>HYPERLINK("https://klasma.github.io/Logging_STROMSTAD/tillsyn/A 67757-2020.docx")</f>
        <v/>
      </c>
      <c r="Y16">
        <f>HYPERLINK("https://klasma.github.io/Logging_STROMSTAD/tillsynsmail/A 67757-2020.docx")</f>
        <v/>
      </c>
    </row>
    <row r="17" ht="15" customHeight="1">
      <c r="A17" t="inlineStr">
        <is>
          <t>A 49914-2021</t>
        </is>
      </c>
      <c r="B17" s="1" t="n">
        <v>44455</v>
      </c>
      <c r="C17" s="1" t="n">
        <v>45182</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c r="T17">
        <f>HYPERLINK("https://klasma.github.io/Logging_BENGTSFORS/kartor/A 49914-2021.png")</f>
        <v/>
      </c>
      <c r="V17">
        <f>HYPERLINK("https://klasma.github.io/Logging_BENGTSFORS/klagomål/A 49914-2021.docx")</f>
        <v/>
      </c>
      <c r="W17">
        <f>HYPERLINK("https://klasma.github.io/Logging_BENGTSFORS/klagomålsmail/A 49914-2021.docx")</f>
        <v/>
      </c>
      <c r="X17">
        <f>HYPERLINK("https://klasma.github.io/Logging_BENGTSFORS/tillsyn/A 49914-2021.docx")</f>
        <v/>
      </c>
      <c r="Y17">
        <f>HYPERLINK("https://klasma.github.io/Logging_BENGTSFORS/tillsynsmail/A 49914-2021.docx")</f>
        <v/>
      </c>
    </row>
    <row r="18" ht="15" customHeight="1">
      <c r="A18" t="inlineStr">
        <is>
          <t>A 9166-2022</t>
        </is>
      </c>
      <c r="B18" s="1" t="n">
        <v>44615</v>
      </c>
      <c r="C18" s="1" t="n">
        <v>45182</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c r="T18">
        <f>HYPERLINK("https://klasma.github.io/Logging_BENGTSFORS/kartor/A 9166-2022.png")</f>
        <v/>
      </c>
      <c r="V18">
        <f>HYPERLINK("https://klasma.github.io/Logging_BENGTSFORS/klagomål/A 9166-2022.docx")</f>
        <v/>
      </c>
      <c r="W18">
        <f>HYPERLINK("https://klasma.github.io/Logging_BENGTSFORS/klagomålsmail/A 9166-2022.docx")</f>
        <v/>
      </c>
      <c r="X18">
        <f>HYPERLINK("https://klasma.github.io/Logging_BENGTSFORS/tillsyn/A 9166-2022.docx")</f>
        <v/>
      </c>
      <c r="Y18">
        <f>HYPERLINK("https://klasma.github.io/Logging_BENGTSFORS/tillsynsmail/A 9166-2022.docx")</f>
        <v/>
      </c>
    </row>
    <row r="19" ht="15" customHeight="1">
      <c r="A19" t="inlineStr">
        <is>
          <t>A 59601-2022</t>
        </is>
      </c>
      <c r="B19" s="1" t="n">
        <v>44907</v>
      </c>
      <c r="C19" s="1" t="n">
        <v>45182</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c r="T19">
        <f>HYPERLINK("https://klasma.github.io/Logging_DALS-ED/kartor/A 59601-2022.png")</f>
        <v/>
      </c>
      <c r="U19">
        <f>HYPERLINK("https://klasma.github.io/Logging_DALS-ED/knärot/A 59601-2022.png")</f>
        <v/>
      </c>
      <c r="V19">
        <f>HYPERLINK("https://klasma.github.io/Logging_DALS-ED/klagomål/A 59601-2022.docx")</f>
        <v/>
      </c>
      <c r="W19">
        <f>HYPERLINK("https://klasma.github.io/Logging_DALS-ED/klagomålsmail/A 59601-2022.docx")</f>
        <v/>
      </c>
      <c r="X19">
        <f>HYPERLINK("https://klasma.github.io/Logging_DALS-ED/tillsyn/A 59601-2022.docx")</f>
        <v/>
      </c>
      <c r="Y19">
        <f>HYPERLINK("https://klasma.github.io/Logging_DALS-ED/tillsynsmail/A 59601-2022.docx")</f>
        <v/>
      </c>
    </row>
    <row r="20" ht="15" customHeight="1">
      <c r="A20" t="inlineStr">
        <is>
          <t>A 25348-2023</t>
        </is>
      </c>
      <c r="B20" s="1" t="n">
        <v>45087</v>
      </c>
      <c r="C20" s="1" t="n">
        <v>45182</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c r="T20">
        <f>HYPERLINK("https://klasma.github.io/Logging_TRANEMO/kartor/A 25348-2023.png")</f>
        <v/>
      </c>
      <c r="V20">
        <f>HYPERLINK("https://klasma.github.io/Logging_TRANEMO/klagomål/A 25348-2023.docx")</f>
        <v/>
      </c>
      <c r="W20">
        <f>HYPERLINK("https://klasma.github.io/Logging_TRANEMO/klagomålsmail/A 25348-2023.docx")</f>
        <v/>
      </c>
      <c r="X20">
        <f>HYPERLINK("https://klasma.github.io/Logging_TRANEMO/tillsyn/A 25348-2023.docx")</f>
        <v/>
      </c>
      <c r="Y20">
        <f>HYPERLINK("https://klasma.github.io/Logging_TRANEMO/tillsynsmail/A 25348-2023.docx")</f>
        <v/>
      </c>
    </row>
    <row r="21" ht="15" customHeight="1">
      <c r="A21" t="inlineStr">
        <is>
          <t>A 33612-2023</t>
        </is>
      </c>
      <c r="B21" s="1" t="n">
        <v>45132</v>
      </c>
      <c r="C21" s="1" t="n">
        <v>45182</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c r="T21">
        <f>HYPERLINK("https://klasma.github.io/Logging_TRANEMO/kartor/A 33612-2023.png")</f>
        <v/>
      </c>
      <c r="V21">
        <f>HYPERLINK("https://klasma.github.io/Logging_TRANEMO/klagomål/A 33612-2023.docx")</f>
        <v/>
      </c>
      <c r="W21">
        <f>HYPERLINK("https://klasma.github.io/Logging_TRANEMO/klagomålsmail/A 33612-2023.docx")</f>
        <v/>
      </c>
      <c r="X21">
        <f>HYPERLINK("https://klasma.github.io/Logging_TRANEMO/tillsyn/A 33612-2023.docx")</f>
        <v/>
      </c>
      <c r="Y21">
        <f>HYPERLINK("https://klasma.github.io/Logging_TRANEMO/tillsynsmail/A 33612-2023.docx")</f>
        <v/>
      </c>
    </row>
    <row r="22" ht="15" customHeight="1">
      <c r="A22" t="inlineStr">
        <is>
          <t>A 12027-2022</t>
        </is>
      </c>
      <c r="B22" s="1" t="n">
        <v>44635</v>
      </c>
      <c r="C22" s="1" t="n">
        <v>45182</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c r="T22">
        <f>HYPERLINK("https://klasma.github.io/Logging_SKOVDE/kartor/A 12027-2022.png")</f>
        <v/>
      </c>
      <c r="U22">
        <f>HYPERLINK("https://klasma.github.io/Logging_SKOVDE/knärot/A 12027-2022.png")</f>
        <v/>
      </c>
      <c r="V22">
        <f>HYPERLINK("https://klasma.github.io/Logging_SKOVDE/klagomål/A 12027-2022.docx")</f>
        <v/>
      </c>
      <c r="W22">
        <f>HYPERLINK("https://klasma.github.io/Logging_SKOVDE/klagomålsmail/A 12027-2022.docx")</f>
        <v/>
      </c>
      <c r="X22">
        <f>HYPERLINK("https://klasma.github.io/Logging_SKOVDE/tillsyn/A 12027-2022.docx")</f>
        <v/>
      </c>
      <c r="Y22">
        <f>HYPERLINK("https://klasma.github.io/Logging_SKOVDE/tillsynsmail/A 12027-2022.docx")</f>
        <v/>
      </c>
    </row>
    <row r="23" ht="15" customHeight="1">
      <c r="A23" t="inlineStr">
        <is>
          <t>A 28254-2023</t>
        </is>
      </c>
      <c r="B23" s="1" t="n">
        <v>45099</v>
      </c>
      <c r="C23" s="1" t="n">
        <v>45182</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c r="T23">
        <f>HYPERLINK("https://klasma.github.io/Logging_GOTENE/kartor/A 28254-2023.png")</f>
        <v/>
      </c>
      <c r="V23">
        <f>HYPERLINK("https://klasma.github.io/Logging_GOTENE/klagomål/A 28254-2023.docx")</f>
        <v/>
      </c>
      <c r="W23">
        <f>HYPERLINK("https://klasma.github.io/Logging_GOTENE/klagomålsmail/A 28254-2023.docx")</f>
        <v/>
      </c>
      <c r="X23">
        <f>HYPERLINK("https://klasma.github.io/Logging_GOTENE/tillsyn/A 28254-2023.docx")</f>
        <v/>
      </c>
      <c r="Y23">
        <f>HYPERLINK("https://klasma.github.io/Logging_GOTENE/tillsynsmail/A 28254-2023.docx")</f>
        <v/>
      </c>
    </row>
    <row r="24" ht="15" customHeight="1">
      <c r="A24" t="inlineStr">
        <is>
          <t>A 42296-2019</t>
        </is>
      </c>
      <c r="B24" s="1" t="n">
        <v>43698</v>
      </c>
      <c r="C24" s="1" t="n">
        <v>45182</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c r="T24">
        <f>HYPERLINK("https://klasma.github.io/Logging_TANUM/kartor/A 42296-2019.png")</f>
        <v/>
      </c>
      <c r="V24">
        <f>HYPERLINK("https://klasma.github.io/Logging_TANUM/klagomål/A 42296-2019.docx")</f>
        <v/>
      </c>
      <c r="W24">
        <f>HYPERLINK("https://klasma.github.io/Logging_TANUM/klagomålsmail/A 42296-2019.docx")</f>
        <v/>
      </c>
      <c r="X24">
        <f>HYPERLINK("https://klasma.github.io/Logging_TANUM/tillsyn/A 42296-2019.docx")</f>
        <v/>
      </c>
      <c r="Y24">
        <f>HYPERLINK("https://klasma.github.io/Logging_TANUM/tillsynsmail/A 42296-2019.docx")</f>
        <v/>
      </c>
    </row>
    <row r="25" ht="15" customHeight="1">
      <c r="A25" t="inlineStr">
        <is>
          <t>A 48356-2019</t>
        </is>
      </c>
      <c r="B25" s="1" t="n">
        <v>43726</v>
      </c>
      <c r="C25" s="1" t="n">
        <v>45182</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c r="T25">
        <f>HYPERLINK("https://klasma.github.io/Logging_UDDEVALLA/kartor/A 48356-2019.png")</f>
        <v/>
      </c>
      <c r="V25">
        <f>HYPERLINK("https://klasma.github.io/Logging_UDDEVALLA/klagomål/A 48356-2019.docx")</f>
        <v/>
      </c>
      <c r="W25">
        <f>HYPERLINK("https://klasma.github.io/Logging_UDDEVALLA/klagomålsmail/A 48356-2019.docx")</f>
        <v/>
      </c>
      <c r="X25">
        <f>HYPERLINK("https://klasma.github.io/Logging_UDDEVALLA/tillsyn/A 48356-2019.docx")</f>
        <v/>
      </c>
      <c r="Y25">
        <f>HYPERLINK("https://klasma.github.io/Logging_UDDEVALLA/tillsynsmail/A 48356-2019.docx")</f>
        <v/>
      </c>
    </row>
    <row r="26" ht="15" customHeight="1">
      <c r="A26" t="inlineStr">
        <is>
          <t>A 47557-2020</t>
        </is>
      </c>
      <c r="B26" s="1" t="n">
        <v>44098</v>
      </c>
      <c r="C26" s="1" t="n">
        <v>45182</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c r="T26">
        <f>HYPERLINK("https://klasma.github.io/Logging_ORUST/kartor/A 47557-2020.png")</f>
        <v/>
      </c>
      <c r="U26">
        <f>HYPERLINK("https://klasma.github.io/Logging_ORUST/knärot/A 47557-2020.png")</f>
        <v/>
      </c>
      <c r="V26">
        <f>HYPERLINK("https://klasma.github.io/Logging_ORUST/klagomål/A 47557-2020.docx")</f>
        <v/>
      </c>
      <c r="W26">
        <f>HYPERLINK("https://klasma.github.io/Logging_ORUST/klagomålsmail/A 47557-2020.docx")</f>
        <v/>
      </c>
      <c r="X26">
        <f>HYPERLINK("https://klasma.github.io/Logging_ORUST/tillsyn/A 47557-2020.docx")</f>
        <v/>
      </c>
      <c r="Y26">
        <f>HYPERLINK("https://klasma.github.io/Logging_ORUST/tillsynsmail/A 47557-2020.docx")</f>
        <v/>
      </c>
    </row>
    <row r="27" ht="15" customHeight="1">
      <c r="A27" t="inlineStr">
        <is>
          <t>A 22584-2021</t>
        </is>
      </c>
      <c r="B27" s="1" t="n">
        <v>44327</v>
      </c>
      <c r="C27" s="1" t="n">
        <v>45182</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c r="T27">
        <f>HYPERLINK("https://klasma.github.io/Logging_STROMSTAD/kartor/A 22584-2021.png")</f>
        <v/>
      </c>
      <c r="V27">
        <f>HYPERLINK("https://klasma.github.io/Logging_STROMSTAD/klagomål/A 22584-2021.docx")</f>
        <v/>
      </c>
      <c r="W27">
        <f>HYPERLINK("https://klasma.github.io/Logging_STROMSTAD/klagomålsmail/A 22584-2021.docx")</f>
        <v/>
      </c>
      <c r="X27">
        <f>HYPERLINK("https://klasma.github.io/Logging_STROMSTAD/tillsyn/A 22584-2021.docx")</f>
        <v/>
      </c>
      <c r="Y27">
        <f>HYPERLINK("https://klasma.github.io/Logging_STROMSTAD/tillsynsmail/A 22584-2021.docx")</f>
        <v/>
      </c>
    </row>
    <row r="28" ht="15" customHeight="1">
      <c r="A28" t="inlineStr">
        <is>
          <t>A 44561-2021</t>
        </is>
      </c>
      <c r="B28" s="1" t="n">
        <v>44435</v>
      </c>
      <c r="C28" s="1" t="n">
        <v>45182</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c r="T28">
        <f>HYPERLINK("https://klasma.github.io/Logging_FARGELANDA/kartor/A 44561-2021.png")</f>
        <v/>
      </c>
      <c r="V28">
        <f>HYPERLINK("https://klasma.github.io/Logging_FARGELANDA/klagomål/A 44561-2021.docx")</f>
        <v/>
      </c>
      <c r="W28">
        <f>HYPERLINK("https://klasma.github.io/Logging_FARGELANDA/klagomålsmail/A 44561-2021.docx")</f>
        <v/>
      </c>
      <c r="X28">
        <f>HYPERLINK("https://klasma.github.io/Logging_FARGELANDA/tillsyn/A 44561-2021.docx")</f>
        <v/>
      </c>
      <c r="Y28">
        <f>HYPERLINK("https://klasma.github.io/Logging_FARGELANDA/tillsynsmail/A 44561-2021.docx")</f>
        <v/>
      </c>
    </row>
    <row r="29" ht="15" customHeight="1">
      <c r="A29" t="inlineStr">
        <is>
          <t>A 44809-2021</t>
        </is>
      </c>
      <c r="B29" s="1" t="n">
        <v>44438</v>
      </c>
      <c r="C29" s="1" t="n">
        <v>45182</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c r="T29">
        <f>HYPERLINK("https://klasma.github.io/Logging_BENGTSFORS/kartor/A 44809-2021.png")</f>
        <v/>
      </c>
      <c r="V29">
        <f>HYPERLINK("https://klasma.github.io/Logging_BENGTSFORS/klagomål/A 44809-2021.docx")</f>
        <v/>
      </c>
      <c r="W29">
        <f>HYPERLINK("https://klasma.github.io/Logging_BENGTSFORS/klagomålsmail/A 44809-2021.docx")</f>
        <v/>
      </c>
      <c r="X29">
        <f>HYPERLINK("https://klasma.github.io/Logging_BENGTSFORS/tillsyn/A 44809-2021.docx")</f>
        <v/>
      </c>
      <c r="Y29">
        <f>HYPERLINK("https://klasma.github.io/Logging_BENGTSFORS/tillsynsmail/A 44809-2021.docx")</f>
        <v/>
      </c>
    </row>
    <row r="30" ht="15" customHeight="1">
      <c r="A30" t="inlineStr">
        <is>
          <t>A 25404-2021</t>
        </is>
      </c>
      <c r="B30" s="1" t="n">
        <v>44342</v>
      </c>
      <c r="C30" s="1" t="n">
        <v>45182</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c r="T30">
        <f>HYPERLINK("https://klasma.github.io/Logging_MUNKEDAL/kartor/A 25404-2021.png")</f>
        <v/>
      </c>
      <c r="V30">
        <f>HYPERLINK("https://klasma.github.io/Logging_MUNKEDAL/klagomål/A 25404-2021.docx")</f>
        <v/>
      </c>
      <c r="W30">
        <f>HYPERLINK("https://klasma.github.io/Logging_MUNKEDAL/klagomålsmail/A 25404-2021.docx")</f>
        <v/>
      </c>
      <c r="X30">
        <f>HYPERLINK("https://klasma.github.io/Logging_MUNKEDAL/tillsyn/A 25404-2021.docx")</f>
        <v/>
      </c>
      <c r="Y30">
        <f>HYPERLINK("https://klasma.github.io/Logging_MUNKEDAL/tillsynsmail/A 25404-2021.docx")</f>
        <v/>
      </c>
    </row>
    <row r="31" ht="15" customHeight="1">
      <c r="A31" t="inlineStr">
        <is>
          <t>A 29057-2021</t>
        </is>
      </c>
      <c r="B31" s="1" t="n">
        <v>44358</v>
      </c>
      <c r="C31" s="1" t="n">
        <v>45182</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c r="T31">
        <f>HYPERLINK("https://klasma.github.io/Logging_ALINGSAS/kartor/A 29057-2021.png")</f>
        <v/>
      </c>
      <c r="V31">
        <f>HYPERLINK("https://klasma.github.io/Logging_ALINGSAS/klagomål/A 29057-2021.docx")</f>
        <v/>
      </c>
      <c r="W31">
        <f>HYPERLINK("https://klasma.github.io/Logging_ALINGSAS/klagomålsmail/A 29057-2021.docx")</f>
        <v/>
      </c>
      <c r="X31">
        <f>HYPERLINK("https://klasma.github.io/Logging_ALINGSAS/tillsyn/A 29057-2021.docx")</f>
        <v/>
      </c>
      <c r="Y31">
        <f>HYPERLINK("https://klasma.github.io/Logging_ALINGSAS/tillsynsmail/A 29057-2021.docx")</f>
        <v/>
      </c>
    </row>
    <row r="32" ht="15" customHeight="1">
      <c r="A32" t="inlineStr">
        <is>
          <t>A 68519-2021</t>
        </is>
      </c>
      <c r="B32" s="1" t="n">
        <v>44529</v>
      </c>
      <c r="C32" s="1" t="n">
        <v>45182</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c r="T32">
        <f>HYPERLINK("https://klasma.github.io/Logging_TROLLHATTAN/kartor/A 68519-2021.png")</f>
        <v/>
      </c>
      <c r="V32">
        <f>HYPERLINK("https://klasma.github.io/Logging_TROLLHATTAN/klagomål/A 68519-2021.docx")</f>
        <v/>
      </c>
      <c r="W32">
        <f>HYPERLINK("https://klasma.github.io/Logging_TROLLHATTAN/klagomålsmail/A 68519-2021.docx")</f>
        <v/>
      </c>
      <c r="X32">
        <f>HYPERLINK("https://klasma.github.io/Logging_TROLLHATTAN/tillsyn/A 68519-2021.docx")</f>
        <v/>
      </c>
      <c r="Y32">
        <f>HYPERLINK("https://klasma.github.io/Logging_TROLLHATTAN/tillsynsmail/A 68519-2021.docx")</f>
        <v/>
      </c>
    </row>
    <row r="33" ht="15" customHeight="1">
      <c r="A33" t="inlineStr">
        <is>
          <t>A 43450-2022</t>
        </is>
      </c>
      <c r="B33" s="1" t="n">
        <v>44835</v>
      </c>
      <c r="C33" s="1" t="n">
        <v>45182</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c r="T33">
        <f>HYPERLINK("https://klasma.github.io/Logging_DALS-ED/kartor/A 43450-2022.png")</f>
        <v/>
      </c>
      <c r="V33">
        <f>HYPERLINK("https://klasma.github.io/Logging_DALS-ED/klagomål/A 43450-2022.docx")</f>
        <v/>
      </c>
      <c r="W33">
        <f>HYPERLINK("https://klasma.github.io/Logging_DALS-ED/klagomålsmail/A 43450-2022.docx")</f>
        <v/>
      </c>
      <c r="X33">
        <f>HYPERLINK("https://klasma.github.io/Logging_DALS-ED/tillsyn/A 43450-2022.docx")</f>
        <v/>
      </c>
      <c r="Y33">
        <f>HYPERLINK("https://klasma.github.io/Logging_DALS-ED/tillsynsmail/A 43450-2022.docx")</f>
        <v/>
      </c>
    </row>
    <row r="34" ht="15" customHeight="1">
      <c r="A34" t="inlineStr">
        <is>
          <t>A 55351-2022</t>
        </is>
      </c>
      <c r="B34" s="1" t="n">
        <v>44882</v>
      </c>
      <c r="C34" s="1" t="n">
        <v>45182</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c r="T34">
        <f>HYPERLINK("https://klasma.github.io/Logging_LERUM/kartor/A 55351-2022.png")</f>
        <v/>
      </c>
      <c r="V34">
        <f>HYPERLINK("https://klasma.github.io/Logging_LERUM/klagomål/A 55351-2022.docx")</f>
        <v/>
      </c>
      <c r="W34">
        <f>HYPERLINK("https://klasma.github.io/Logging_LERUM/klagomålsmail/A 55351-2022.docx")</f>
        <v/>
      </c>
      <c r="X34">
        <f>HYPERLINK("https://klasma.github.io/Logging_LERUM/tillsyn/A 55351-2022.docx")</f>
        <v/>
      </c>
      <c r="Y34">
        <f>HYPERLINK("https://klasma.github.io/Logging_LERUM/tillsynsmail/A 55351-2022.docx")</f>
        <v/>
      </c>
    </row>
    <row r="35" ht="15" customHeight="1">
      <c r="A35" t="inlineStr">
        <is>
          <t>A 26885-2023</t>
        </is>
      </c>
      <c r="B35" s="1" t="n">
        <v>45093</v>
      </c>
      <c r="C35" s="1" t="n">
        <v>45182</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c r="T35">
        <f>HYPERLINK("https://klasma.github.io/Logging_MARK/kartor/A 26885-2023.png")</f>
        <v/>
      </c>
      <c r="V35">
        <f>HYPERLINK("https://klasma.github.io/Logging_MARK/klagomål/A 26885-2023.docx")</f>
        <v/>
      </c>
      <c r="W35">
        <f>HYPERLINK("https://klasma.github.io/Logging_MARK/klagomålsmail/A 26885-2023.docx")</f>
        <v/>
      </c>
      <c r="X35">
        <f>HYPERLINK("https://klasma.github.io/Logging_MARK/tillsyn/A 26885-2023.docx")</f>
        <v/>
      </c>
      <c r="Y35">
        <f>HYPERLINK("https://klasma.github.io/Logging_MARK/tillsynsmail/A 26885-2023.docx")</f>
        <v/>
      </c>
    </row>
    <row r="36" ht="15" customHeight="1">
      <c r="A36" t="inlineStr">
        <is>
          <t>A 8258-2019</t>
        </is>
      </c>
      <c r="B36" s="1" t="n">
        <v>43501</v>
      </c>
      <c r="C36" s="1" t="n">
        <v>45182</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c r="T36">
        <f>HYPERLINK("https://klasma.github.io/Logging_TRANEMO/kartor/A 8258-2019.png")</f>
        <v/>
      </c>
      <c r="V36">
        <f>HYPERLINK("https://klasma.github.io/Logging_TRANEMO/klagomål/A 8258-2019.docx")</f>
        <v/>
      </c>
      <c r="W36">
        <f>HYPERLINK("https://klasma.github.io/Logging_TRANEMO/klagomålsmail/A 8258-2019.docx")</f>
        <v/>
      </c>
      <c r="X36">
        <f>HYPERLINK("https://klasma.github.io/Logging_TRANEMO/tillsyn/A 8258-2019.docx")</f>
        <v/>
      </c>
      <c r="Y36">
        <f>HYPERLINK("https://klasma.github.io/Logging_TRANEMO/tillsynsmail/A 8258-2019.docx")</f>
        <v/>
      </c>
    </row>
    <row r="37" ht="15" customHeight="1">
      <c r="A37" t="inlineStr">
        <is>
          <t>A 21590-2019</t>
        </is>
      </c>
      <c r="B37" s="1" t="n">
        <v>43580</v>
      </c>
      <c r="C37" s="1" t="n">
        <v>45182</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c r="T37">
        <f>HYPERLINK("https://klasma.github.io/Logging_UDDEVALLA/kartor/A 21590-2019.png")</f>
        <v/>
      </c>
      <c r="V37">
        <f>HYPERLINK("https://klasma.github.io/Logging_UDDEVALLA/klagomål/A 21590-2019.docx")</f>
        <v/>
      </c>
      <c r="W37">
        <f>HYPERLINK("https://klasma.github.io/Logging_UDDEVALLA/klagomålsmail/A 21590-2019.docx")</f>
        <v/>
      </c>
      <c r="X37">
        <f>HYPERLINK("https://klasma.github.io/Logging_UDDEVALLA/tillsyn/A 21590-2019.docx")</f>
        <v/>
      </c>
      <c r="Y37">
        <f>HYPERLINK("https://klasma.github.io/Logging_UDDEVALLA/tillsynsmail/A 21590-2019.docx")</f>
        <v/>
      </c>
    </row>
    <row r="38" ht="15" customHeight="1">
      <c r="A38" t="inlineStr">
        <is>
          <t>A 25436-2019</t>
        </is>
      </c>
      <c r="B38" s="1" t="n">
        <v>43606</v>
      </c>
      <c r="C38" s="1" t="n">
        <v>45182</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c r="T38">
        <f>HYPERLINK("https://klasma.github.io/Logging_ALE/kartor/A 25436-2019.png")</f>
        <v/>
      </c>
      <c r="V38">
        <f>HYPERLINK("https://klasma.github.io/Logging_ALE/klagomål/A 25436-2019.docx")</f>
        <v/>
      </c>
      <c r="W38">
        <f>HYPERLINK("https://klasma.github.io/Logging_ALE/klagomålsmail/A 25436-2019.docx")</f>
        <v/>
      </c>
      <c r="X38">
        <f>HYPERLINK("https://klasma.github.io/Logging_ALE/tillsyn/A 25436-2019.docx")</f>
        <v/>
      </c>
      <c r="Y38">
        <f>HYPERLINK("https://klasma.github.io/Logging_ALE/tillsynsmail/A 25436-2019.docx")</f>
        <v/>
      </c>
    </row>
    <row r="39" ht="15" customHeight="1">
      <c r="A39" t="inlineStr">
        <is>
          <t>A 31970-2019</t>
        </is>
      </c>
      <c r="B39" s="1" t="n">
        <v>43642</v>
      </c>
      <c r="C39" s="1" t="n">
        <v>45182</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c r="T39">
        <f>HYPERLINK("https://klasma.github.io/Logging_STROMSTAD/kartor/A 31970-2019.png")</f>
        <v/>
      </c>
      <c r="U39">
        <f>HYPERLINK("https://klasma.github.io/Logging_STROMSTAD/knärot/A 31970-2019.png")</f>
        <v/>
      </c>
      <c r="V39">
        <f>HYPERLINK("https://klasma.github.io/Logging_STROMSTAD/klagomål/A 31970-2019.docx")</f>
        <v/>
      </c>
      <c r="W39">
        <f>HYPERLINK("https://klasma.github.io/Logging_STROMSTAD/klagomålsmail/A 31970-2019.docx")</f>
        <v/>
      </c>
      <c r="X39">
        <f>HYPERLINK("https://klasma.github.io/Logging_STROMSTAD/tillsyn/A 31970-2019.docx")</f>
        <v/>
      </c>
      <c r="Y39">
        <f>HYPERLINK("https://klasma.github.io/Logging_STROMSTAD/tillsynsmail/A 31970-2019.docx")</f>
        <v/>
      </c>
    </row>
    <row r="40" ht="15" customHeight="1">
      <c r="A40" t="inlineStr">
        <is>
          <t>A 14414-2020</t>
        </is>
      </c>
      <c r="B40" s="1" t="n">
        <v>43908</v>
      </c>
      <c r="C40" s="1" t="n">
        <v>45182</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c r="T40">
        <f>HYPERLINK("https://klasma.github.io/Logging_MARIESTAD/kartor/A 14414-2020.png")</f>
        <v/>
      </c>
      <c r="U40">
        <f>HYPERLINK("https://klasma.github.io/Logging_MARIESTAD/knärot/A 14414-2020.png")</f>
        <v/>
      </c>
      <c r="V40">
        <f>HYPERLINK("https://klasma.github.io/Logging_MARIESTAD/klagomål/A 14414-2020.docx")</f>
        <v/>
      </c>
      <c r="W40">
        <f>HYPERLINK("https://klasma.github.io/Logging_MARIESTAD/klagomålsmail/A 14414-2020.docx")</f>
        <v/>
      </c>
      <c r="X40">
        <f>HYPERLINK("https://klasma.github.io/Logging_MARIESTAD/tillsyn/A 14414-2020.docx")</f>
        <v/>
      </c>
      <c r="Y40">
        <f>HYPERLINK("https://klasma.github.io/Logging_MARIESTAD/tillsynsmail/A 14414-2020.docx")</f>
        <v/>
      </c>
    </row>
    <row r="41" ht="15" customHeight="1">
      <c r="A41" t="inlineStr">
        <is>
          <t>A 22578-2021</t>
        </is>
      </c>
      <c r="B41" s="1" t="n">
        <v>44327</v>
      </c>
      <c r="C41" s="1" t="n">
        <v>45182</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c r="T41">
        <f>HYPERLINK("https://klasma.github.io/Logging_STROMSTAD/kartor/A 22578-2021.png")</f>
        <v/>
      </c>
      <c r="V41">
        <f>HYPERLINK("https://klasma.github.io/Logging_STROMSTAD/klagomål/A 22578-2021.docx")</f>
        <v/>
      </c>
      <c r="W41">
        <f>HYPERLINK("https://klasma.github.io/Logging_STROMSTAD/klagomålsmail/A 22578-2021.docx")</f>
        <v/>
      </c>
      <c r="X41">
        <f>HYPERLINK("https://klasma.github.io/Logging_STROMSTAD/tillsyn/A 22578-2021.docx")</f>
        <v/>
      </c>
      <c r="Y41">
        <f>HYPERLINK("https://klasma.github.io/Logging_STROMSTAD/tillsynsmail/A 22578-2021.docx")</f>
        <v/>
      </c>
    </row>
    <row r="42" ht="15" customHeight="1">
      <c r="A42" t="inlineStr">
        <is>
          <t>A 70420-2018</t>
        </is>
      </c>
      <c r="B42" s="1" t="n">
        <v>43451</v>
      </c>
      <c r="C42" s="1" t="n">
        <v>45182</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c r="T42">
        <f>HYPERLINK("https://klasma.github.io/Logging_BORAS/kartor/A 70420-2018.png")</f>
        <v/>
      </c>
      <c r="V42">
        <f>HYPERLINK("https://klasma.github.io/Logging_BORAS/klagomål/A 70420-2018.docx")</f>
        <v/>
      </c>
      <c r="W42">
        <f>HYPERLINK("https://klasma.github.io/Logging_BORAS/klagomålsmail/A 70420-2018.docx")</f>
        <v/>
      </c>
      <c r="X42">
        <f>HYPERLINK("https://klasma.github.io/Logging_BORAS/tillsyn/A 70420-2018.docx")</f>
        <v/>
      </c>
      <c r="Y42">
        <f>HYPERLINK("https://klasma.github.io/Logging_BORAS/tillsynsmail/A 70420-2018.docx")</f>
        <v/>
      </c>
    </row>
    <row r="43" ht="15" customHeight="1">
      <c r="A43" t="inlineStr">
        <is>
          <t>A 72292-2018</t>
        </is>
      </c>
      <c r="B43" s="1" t="n">
        <v>43455</v>
      </c>
      <c r="C43" s="1" t="n">
        <v>45182</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c r="T43">
        <f>HYPERLINK("https://klasma.github.io/Logging_SKOVDE/kartor/A 72292-2018.png")</f>
        <v/>
      </c>
      <c r="V43">
        <f>HYPERLINK("https://klasma.github.io/Logging_SKOVDE/klagomål/A 72292-2018.docx")</f>
        <v/>
      </c>
      <c r="W43">
        <f>HYPERLINK("https://klasma.github.io/Logging_SKOVDE/klagomålsmail/A 72292-2018.docx")</f>
        <v/>
      </c>
      <c r="X43">
        <f>HYPERLINK("https://klasma.github.io/Logging_SKOVDE/tillsyn/A 72292-2018.docx")</f>
        <v/>
      </c>
      <c r="Y43">
        <f>HYPERLINK("https://klasma.github.io/Logging_SKOVDE/tillsynsmail/A 72292-2018.docx")</f>
        <v/>
      </c>
    </row>
    <row r="44" ht="15" customHeight="1">
      <c r="A44" t="inlineStr">
        <is>
          <t>A 5653-2019</t>
        </is>
      </c>
      <c r="B44" s="1" t="n">
        <v>43489</v>
      </c>
      <c r="C44" s="1" t="n">
        <v>45182</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c r="T44">
        <f>HYPERLINK("https://klasma.github.io/Logging_ALE/kartor/A 5653-2019.png")</f>
        <v/>
      </c>
      <c r="U44">
        <f>HYPERLINK("https://klasma.github.io/Logging_ALE/knärot/A 5653-2019.png")</f>
        <v/>
      </c>
      <c r="V44">
        <f>HYPERLINK("https://klasma.github.io/Logging_ALE/klagomål/A 5653-2019.docx")</f>
        <v/>
      </c>
      <c r="W44">
        <f>HYPERLINK("https://klasma.github.io/Logging_ALE/klagomålsmail/A 5653-2019.docx")</f>
        <v/>
      </c>
      <c r="X44">
        <f>HYPERLINK("https://klasma.github.io/Logging_ALE/tillsyn/A 5653-2019.docx")</f>
        <v/>
      </c>
      <c r="Y44">
        <f>HYPERLINK("https://klasma.github.io/Logging_ALE/tillsynsmail/A 5653-2019.docx")</f>
        <v/>
      </c>
    </row>
    <row r="45" ht="15" customHeight="1">
      <c r="A45" t="inlineStr">
        <is>
          <t>A 7651-2019</t>
        </is>
      </c>
      <c r="B45" s="1" t="n">
        <v>43500</v>
      </c>
      <c r="C45" s="1" t="n">
        <v>45182</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c r="T45">
        <f>HYPERLINK("https://klasma.github.io/Logging_TRANEMO/kartor/A 7651-2019.png")</f>
        <v/>
      </c>
      <c r="V45">
        <f>HYPERLINK("https://klasma.github.io/Logging_TRANEMO/klagomål/A 7651-2019.docx")</f>
        <v/>
      </c>
      <c r="W45">
        <f>HYPERLINK("https://klasma.github.io/Logging_TRANEMO/klagomålsmail/A 7651-2019.docx")</f>
        <v/>
      </c>
      <c r="X45">
        <f>HYPERLINK("https://klasma.github.io/Logging_TRANEMO/tillsyn/A 7651-2019.docx")</f>
        <v/>
      </c>
      <c r="Y45">
        <f>HYPERLINK("https://klasma.github.io/Logging_TRANEMO/tillsynsmail/A 7651-2019.docx")</f>
        <v/>
      </c>
    </row>
    <row r="46" ht="15" customHeight="1">
      <c r="A46" t="inlineStr">
        <is>
          <t>A 20974-2019</t>
        </is>
      </c>
      <c r="B46" s="1" t="n">
        <v>43578</v>
      </c>
      <c r="C46" s="1" t="n">
        <v>45182</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c r="T46">
        <f>HYPERLINK("https://klasma.github.io/Logging_MUNKEDAL/kartor/A 20974-2019.png")</f>
        <v/>
      </c>
      <c r="V46">
        <f>HYPERLINK("https://klasma.github.io/Logging_MUNKEDAL/klagomål/A 20974-2019.docx")</f>
        <v/>
      </c>
      <c r="W46">
        <f>HYPERLINK("https://klasma.github.io/Logging_MUNKEDAL/klagomålsmail/A 20974-2019.docx")</f>
        <v/>
      </c>
      <c r="X46">
        <f>HYPERLINK("https://klasma.github.io/Logging_MUNKEDAL/tillsyn/A 20974-2019.docx")</f>
        <v/>
      </c>
      <c r="Y46">
        <f>HYPERLINK("https://klasma.github.io/Logging_MUNKEDAL/tillsynsmail/A 20974-2019.docx")</f>
        <v/>
      </c>
    </row>
    <row r="47" ht="15" customHeight="1">
      <c r="A47" t="inlineStr">
        <is>
          <t>A 45388-2019</t>
        </is>
      </c>
      <c r="B47" s="1" t="n">
        <v>43707</v>
      </c>
      <c r="C47" s="1" t="n">
        <v>45182</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c r="T47">
        <f>HYPERLINK("https://klasma.github.io/Logging_TANUM/kartor/A 45388-2019.png")</f>
        <v/>
      </c>
      <c r="V47">
        <f>HYPERLINK("https://klasma.github.io/Logging_TANUM/klagomål/A 45388-2019.docx")</f>
        <v/>
      </c>
      <c r="W47">
        <f>HYPERLINK("https://klasma.github.io/Logging_TANUM/klagomålsmail/A 45388-2019.docx")</f>
        <v/>
      </c>
      <c r="X47">
        <f>HYPERLINK("https://klasma.github.io/Logging_TANUM/tillsyn/A 45388-2019.docx")</f>
        <v/>
      </c>
      <c r="Y47">
        <f>HYPERLINK("https://klasma.github.io/Logging_TANUM/tillsynsmail/A 45388-2019.docx")</f>
        <v/>
      </c>
    </row>
    <row r="48" ht="15" customHeight="1">
      <c r="A48" t="inlineStr">
        <is>
          <t>A 31007-2020</t>
        </is>
      </c>
      <c r="B48" s="1" t="n">
        <v>44011</v>
      </c>
      <c r="C48" s="1" t="n">
        <v>45182</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c r="T48">
        <f>HYPERLINK("https://klasma.github.io/Logging_SKOVDE/kartor/A 31007-2020.png")</f>
        <v/>
      </c>
      <c r="V48">
        <f>HYPERLINK("https://klasma.github.io/Logging_SKOVDE/klagomål/A 31007-2020.docx")</f>
        <v/>
      </c>
      <c r="W48">
        <f>HYPERLINK("https://klasma.github.io/Logging_SKOVDE/klagomålsmail/A 31007-2020.docx")</f>
        <v/>
      </c>
      <c r="X48">
        <f>HYPERLINK("https://klasma.github.io/Logging_SKOVDE/tillsyn/A 31007-2020.docx")</f>
        <v/>
      </c>
      <c r="Y48">
        <f>HYPERLINK("https://klasma.github.io/Logging_SKOVDE/tillsynsmail/A 31007-2020.docx")</f>
        <v/>
      </c>
    </row>
    <row r="49" ht="15" customHeight="1">
      <c r="A49" t="inlineStr">
        <is>
          <t>A 51075-2020</t>
        </is>
      </c>
      <c r="B49" s="1" t="n">
        <v>44112</v>
      </c>
      <c r="C49" s="1" t="n">
        <v>45182</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c r="T49">
        <f>HYPERLINK("https://klasma.github.io/Logging_ORUST/kartor/A 51075-2020.png")</f>
        <v/>
      </c>
      <c r="V49">
        <f>HYPERLINK("https://klasma.github.io/Logging_ORUST/klagomål/A 51075-2020.docx")</f>
        <v/>
      </c>
      <c r="W49">
        <f>HYPERLINK("https://klasma.github.io/Logging_ORUST/klagomålsmail/A 51075-2020.docx")</f>
        <v/>
      </c>
      <c r="X49">
        <f>HYPERLINK("https://klasma.github.io/Logging_ORUST/tillsyn/A 51075-2020.docx")</f>
        <v/>
      </c>
      <c r="Y49">
        <f>HYPERLINK("https://klasma.github.io/Logging_ORUST/tillsynsmail/A 51075-2020.docx")</f>
        <v/>
      </c>
    </row>
    <row r="50" ht="15" customHeight="1">
      <c r="A50" t="inlineStr">
        <is>
          <t>A 1293-2021</t>
        </is>
      </c>
      <c r="B50" s="1" t="n">
        <v>44208</v>
      </c>
      <c r="C50" s="1" t="n">
        <v>45182</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c r="T50">
        <f>HYPERLINK("https://klasma.github.io/Logging_TANUM/kartor/A 1293-2021.png")</f>
        <v/>
      </c>
      <c r="U50">
        <f>HYPERLINK("https://klasma.github.io/Logging_TANUM/knärot/A 1293-2021.png")</f>
        <v/>
      </c>
      <c r="V50">
        <f>HYPERLINK("https://klasma.github.io/Logging_TANUM/klagomål/A 1293-2021.docx")</f>
        <v/>
      </c>
      <c r="W50">
        <f>HYPERLINK("https://klasma.github.io/Logging_TANUM/klagomålsmail/A 1293-2021.docx")</f>
        <v/>
      </c>
      <c r="X50">
        <f>HYPERLINK("https://klasma.github.io/Logging_TANUM/tillsyn/A 1293-2021.docx")</f>
        <v/>
      </c>
      <c r="Y50">
        <f>HYPERLINK("https://klasma.github.io/Logging_TANUM/tillsynsmail/A 1293-2021.docx")</f>
        <v/>
      </c>
    </row>
    <row r="51" ht="15" customHeight="1">
      <c r="A51" t="inlineStr">
        <is>
          <t>A 4921-2021</t>
        </is>
      </c>
      <c r="B51" s="1" t="n">
        <v>44226</v>
      </c>
      <c r="C51" s="1" t="n">
        <v>45182</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c r="T51">
        <f>HYPERLINK("https://klasma.github.io/Logging_SKOVDE/kartor/A 4921-2021.png")</f>
        <v/>
      </c>
      <c r="V51">
        <f>HYPERLINK("https://klasma.github.io/Logging_SKOVDE/klagomål/A 4921-2021.docx")</f>
        <v/>
      </c>
      <c r="W51">
        <f>HYPERLINK("https://klasma.github.io/Logging_SKOVDE/klagomålsmail/A 4921-2021.docx")</f>
        <v/>
      </c>
      <c r="X51">
        <f>HYPERLINK("https://klasma.github.io/Logging_SKOVDE/tillsyn/A 4921-2021.docx")</f>
        <v/>
      </c>
      <c r="Y51">
        <f>HYPERLINK("https://klasma.github.io/Logging_SKOVDE/tillsynsmail/A 4921-2021.docx")</f>
        <v/>
      </c>
    </row>
    <row r="52" ht="15" customHeight="1">
      <c r="A52" t="inlineStr">
        <is>
          <t>A 13848-2021</t>
        </is>
      </c>
      <c r="B52" s="1" t="n">
        <v>44277</v>
      </c>
      <c r="C52" s="1" t="n">
        <v>45182</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c r="T52">
        <f>HYPERLINK("https://klasma.github.io/Logging_SKOVDE/kartor/A 13848-2021.png")</f>
        <v/>
      </c>
      <c r="V52">
        <f>HYPERLINK("https://klasma.github.io/Logging_SKOVDE/klagomål/A 13848-2021.docx")</f>
        <v/>
      </c>
      <c r="W52">
        <f>HYPERLINK("https://klasma.github.io/Logging_SKOVDE/klagomålsmail/A 13848-2021.docx")</f>
        <v/>
      </c>
      <c r="X52">
        <f>HYPERLINK("https://klasma.github.io/Logging_SKOVDE/tillsyn/A 13848-2021.docx")</f>
        <v/>
      </c>
      <c r="Y52">
        <f>HYPERLINK("https://klasma.github.io/Logging_SKOVDE/tillsynsmail/A 13848-2021.docx")</f>
        <v/>
      </c>
    </row>
    <row r="53" ht="15" customHeight="1">
      <c r="A53" t="inlineStr">
        <is>
          <t>A 35998-2021</t>
        </is>
      </c>
      <c r="B53" s="1" t="n">
        <v>44385</v>
      </c>
      <c r="C53" s="1" t="n">
        <v>45182</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c r="T53">
        <f>HYPERLINK("https://klasma.github.io/Logging_SKOVDE/kartor/A 35998-2021.png")</f>
        <v/>
      </c>
      <c r="V53">
        <f>HYPERLINK("https://klasma.github.io/Logging_SKOVDE/klagomål/A 35998-2021.docx")</f>
        <v/>
      </c>
      <c r="W53">
        <f>HYPERLINK("https://klasma.github.io/Logging_SKOVDE/klagomålsmail/A 35998-2021.docx")</f>
        <v/>
      </c>
      <c r="X53">
        <f>HYPERLINK("https://klasma.github.io/Logging_SKOVDE/tillsyn/A 35998-2021.docx")</f>
        <v/>
      </c>
      <c r="Y53">
        <f>HYPERLINK("https://klasma.github.io/Logging_SKOVDE/tillsynsmail/A 35998-2021.docx")</f>
        <v/>
      </c>
    </row>
    <row r="54" ht="15" customHeight="1">
      <c r="A54" t="inlineStr">
        <is>
          <t>A 45174-2021</t>
        </is>
      </c>
      <c r="B54" s="1" t="n">
        <v>44439</v>
      </c>
      <c r="C54" s="1" t="n">
        <v>45182</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c r="T54">
        <f>HYPERLINK("https://klasma.github.io/Logging_MARK/kartor/A 45174-2021.png")</f>
        <v/>
      </c>
      <c r="V54">
        <f>HYPERLINK("https://klasma.github.io/Logging_MARK/klagomål/A 45174-2021.docx")</f>
        <v/>
      </c>
      <c r="W54">
        <f>HYPERLINK("https://klasma.github.io/Logging_MARK/klagomålsmail/A 45174-2021.docx")</f>
        <v/>
      </c>
      <c r="X54">
        <f>HYPERLINK("https://klasma.github.io/Logging_MARK/tillsyn/A 45174-2021.docx")</f>
        <v/>
      </c>
      <c r="Y54">
        <f>HYPERLINK("https://klasma.github.io/Logging_MARK/tillsynsmail/A 45174-2021.docx")</f>
        <v/>
      </c>
    </row>
    <row r="55" ht="15" customHeight="1">
      <c r="A55" t="inlineStr">
        <is>
          <t>A 55776-2021</t>
        </is>
      </c>
      <c r="B55" s="1" t="n">
        <v>44476</v>
      </c>
      <c r="C55" s="1" t="n">
        <v>45182</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c r="T55">
        <f>HYPERLINK("https://klasma.github.io/Logging_ORUST/kartor/A 55776-2021.png")</f>
        <v/>
      </c>
      <c r="U55">
        <f>HYPERLINK("https://klasma.github.io/Logging_ORUST/knärot/A 55776-2021.png")</f>
        <v/>
      </c>
      <c r="V55">
        <f>HYPERLINK("https://klasma.github.io/Logging_ORUST/klagomål/A 55776-2021.docx")</f>
        <v/>
      </c>
      <c r="W55">
        <f>HYPERLINK("https://klasma.github.io/Logging_ORUST/klagomålsmail/A 55776-2021.docx")</f>
        <v/>
      </c>
      <c r="X55">
        <f>HYPERLINK("https://klasma.github.io/Logging_ORUST/tillsyn/A 55776-2021.docx")</f>
        <v/>
      </c>
      <c r="Y55">
        <f>HYPERLINK("https://klasma.github.io/Logging_ORUST/tillsynsmail/A 55776-2021.docx")</f>
        <v/>
      </c>
    </row>
    <row r="56" ht="15" customHeight="1">
      <c r="A56" t="inlineStr">
        <is>
          <t>A 63067-2021</t>
        </is>
      </c>
      <c r="B56" s="1" t="n">
        <v>44505</v>
      </c>
      <c r="C56" s="1" t="n">
        <v>45182</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c r="T56">
        <f>HYPERLINK("https://klasma.github.io/Logging_BENGTSFORS/kartor/A 63067-2021.png")</f>
        <v/>
      </c>
      <c r="V56">
        <f>HYPERLINK("https://klasma.github.io/Logging_BENGTSFORS/klagomål/A 63067-2021.docx")</f>
        <v/>
      </c>
      <c r="W56">
        <f>HYPERLINK("https://klasma.github.io/Logging_BENGTSFORS/klagomålsmail/A 63067-2021.docx")</f>
        <v/>
      </c>
      <c r="X56">
        <f>HYPERLINK("https://klasma.github.io/Logging_BENGTSFORS/tillsyn/A 63067-2021.docx")</f>
        <v/>
      </c>
      <c r="Y56">
        <f>HYPERLINK("https://klasma.github.io/Logging_BENGTSFORS/tillsynsmail/A 63067-2021.docx")</f>
        <v/>
      </c>
    </row>
    <row r="57" ht="15" customHeight="1">
      <c r="A57" t="inlineStr">
        <is>
          <t>A 72685-2021</t>
        </is>
      </c>
      <c r="B57" s="1" t="n">
        <v>44546</v>
      </c>
      <c r="C57" s="1" t="n">
        <v>45182</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c r="T57">
        <f>HYPERLINK("https://klasma.github.io/Logging_SKOVDE/kartor/A 72685-2021.png")</f>
        <v/>
      </c>
      <c r="V57">
        <f>HYPERLINK("https://klasma.github.io/Logging_SKOVDE/klagomål/A 72685-2021.docx")</f>
        <v/>
      </c>
      <c r="W57">
        <f>HYPERLINK("https://klasma.github.io/Logging_SKOVDE/klagomålsmail/A 72685-2021.docx")</f>
        <v/>
      </c>
      <c r="X57">
        <f>HYPERLINK("https://klasma.github.io/Logging_SKOVDE/tillsyn/A 72685-2021.docx")</f>
        <v/>
      </c>
      <c r="Y57">
        <f>HYPERLINK("https://klasma.github.io/Logging_SKOVDE/tillsynsmail/A 72685-2021.docx")</f>
        <v/>
      </c>
    </row>
    <row r="58" ht="15" customHeight="1">
      <c r="A58" t="inlineStr">
        <is>
          <t>A 2457-2022</t>
        </is>
      </c>
      <c r="B58" s="1" t="n">
        <v>44579</v>
      </c>
      <c r="C58" s="1" t="n">
        <v>45182</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c r="T58">
        <f>HYPERLINK("https://klasma.github.io/Logging_SVENLJUNGA/kartor/A 2457-2022.png")</f>
        <v/>
      </c>
      <c r="V58">
        <f>HYPERLINK("https://klasma.github.io/Logging_SVENLJUNGA/klagomål/A 2457-2022.docx")</f>
        <v/>
      </c>
      <c r="W58">
        <f>HYPERLINK("https://klasma.github.io/Logging_SVENLJUNGA/klagomålsmail/A 2457-2022.docx")</f>
        <v/>
      </c>
      <c r="X58">
        <f>HYPERLINK("https://klasma.github.io/Logging_SVENLJUNGA/tillsyn/A 2457-2022.docx")</f>
        <v/>
      </c>
      <c r="Y58">
        <f>HYPERLINK("https://klasma.github.io/Logging_SVENLJUNGA/tillsynsmail/A 2457-2022.docx")</f>
        <v/>
      </c>
    </row>
    <row r="59" ht="15" customHeight="1">
      <c r="A59" t="inlineStr">
        <is>
          <t>A 33191-2022</t>
        </is>
      </c>
      <c r="B59" s="1" t="n">
        <v>44785</v>
      </c>
      <c r="C59" s="1" t="n">
        <v>45182</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f>
        <v/>
      </c>
      <c r="T59">
        <f>HYPERLINK("https://klasma.github.io/Logging_FARGELANDA/kartor/A 33191-2022.png")</f>
        <v/>
      </c>
      <c r="U59">
        <f>HYPERLINK("https://klasma.github.io/Logging_FARGELANDA/knärot/A 33191-2022.png")</f>
        <v/>
      </c>
      <c r="V59">
        <f>HYPERLINK("https://klasma.github.io/Logging_FARGELANDA/klagomål/A 33191-2022.docx")</f>
        <v/>
      </c>
      <c r="W59">
        <f>HYPERLINK("https://klasma.github.io/Logging_FARGELANDA/klagomålsmail/A 33191-2022.docx")</f>
        <v/>
      </c>
      <c r="X59">
        <f>HYPERLINK("https://klasma.github.io/Logging_FARGELANDA/tillsyn/A 33191-2022.docx")</f>
        <v/>
      </c>
      <c r="Y59">
        <f>HYPERLINK("https://klasma.github.io/Logging_FARGELANDA/tillsynsmail/A 33191-2022.docx")</f>
        <v/>
      </c>
    </row>
    <row r="60" ht="15" customHeight="1">
      <c r="A60" t="inlineStr">
        <is>
          <t>A 412-2023</t>
        </is>
      </c>
      <c r="B60" s="1" t="n">
        <v>44929</v>
      </c>
      <c r="C60" s="1" t="n">
        <v>45182</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f>
        <v/>
      </c>
      <c r="T60">
        <f>HYPERLINK("https://klasma.github.io/Logging_KARLSBORG/kartor/A 412-2023.png")</f>
        <v/>
      </c>
      <c r="V60">
        <f>HYPERLINK("https://klasma.github.io/Logging_KARLSBORG/klagomål/A 412-2023.docx")</f>
        <v/>
      </c>
      <c r="W60">
        <f>HYPERLINK("https://klasma.github.io/Logging_KARLSBORG/klagomålsmail/A 412-2023.docx")</f>
        <v/>
      </c>
      <c r="X60">
        <f>HYPERLINK("https://klasma.github.io/Logging_KARLSBORG/tillsyn/A 412-2023.docx")</f>
        <v/>
      </c>
      <c r="Y60">
        <f>HYPERLINK("https://klasma.github.io/Logging_KARLSBORG/tillsynsmail/A 412-2023.docx")</f>
        <v/>
      </c>
    </row>
    <row r="61" ht="15" customHeight="1">
      <c r="A61" t="inlineStr">
        <is>
          <t>A 3607-2023</t>
        </is>
      </c>
      <c r="B61" s="1" t="n">
        <v>44950</v>
      </c>
      <c r="C61" s="1" t="n">
        <v>45182</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f>
        <v/>
      </c>
      <c r="T61">
        <f>HYPERLINK("https://klasma.github.io/Logging_FALKOPING/kartor/A 3607-2023.png")</f>
        <v/>
      </c>
      <c r="V61">
        <f>HYPERLINK("https://klasma.github.io/Logging_FALKOPING/klagomål/A 3607-2023.docx")</f>
        <v/>
      </c>
      <c r="W61">
        <f>HYPERLINK("https://klasma.github.io/Logging_FALKOPING/klagomålsmail/A 3607-2023.docx")</f>
        <v/>
      </c>
      <c r="X61">
        <f>HYPERLINK("https://klasma.github.io/Logging_FALKOPING/tillsyn/A 3607-2023.docx")</f>
        <v/>
      </c>
      <c r="Y61">
        <f>HYPERLINK("https://klasma.github.io/Logging_FALKOPING/tillsynsmail/A 3607-2023.docx")</f>
        <v/>
      </c>
    </row>
    <row r="62" ht="15" customHeight="1">
      <c r="A62" t="inlineStr">
        <is>
          <t>A 71925-2018</t>
        </is>
      </c>
      <c r="B62" s="1" t="n">
        <v>43455</v>
      </c>
      <c r="C62" s="1" t="n">
        <v>45182</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f>
        <v/>
      </c>
      <c r="T62">
        <f>HYPERLINK("https://klasma.github.io/Logging_TRANEMO/kartor/A 71925-2018.png")</f>
        <v/>
      </c>
      <c r="V62">
        <f>HYPERLINK("https://klasma.github.io/Logging_TRANEMO/klagomål/A 71925-2018.docx")</f>
        <v/>
      </c>
      <c r="W62">
        <f>HYPERLINK("https://klasma.github.io/Logging_TRANEMO/klagomålsmail/A 71925-2018.docx")</f>
        <v/>
      </c>
      <c r="X62">
        <f>HYPERLINK("https://klasma.github.io/Logging_TRANEMO/tillsyn/A 71925-2018.docx")</f>
        <v/>
      </c>
      <c r="Y62">
        <f>HYPERLINK("https://klasma.github.io/Logging_TRANEMO/tillsynsmail/A 71925-2018.docx")</f>
        <v/>
      </c>
    </row>
    <row r="63" ht="15" customHeight="1">
      <c r="A63" t="inlineStr">
        <is>
          <t>A 25385-2019</t>
        </is>
      </c>
      <c r="B63" s="1" t="n">
        <v>43606</v>
      </c>
      <c r="C63" s="1" t="n">
        <v>45182</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f>
        <v/>
      </c>
      <c r="T63">
        <f>HYPERLINK("https://klasma.github.io/Logging_STENUNGSUND/kartor/A 25385-2019.png")</f>
        <v/>
      </c>
      <c r="V63">
        <f>HYPERLINK("https://klasma.github.io/Logging_STENUNGSUND/klagomål/A 25385-2019.docx")</f>
        <v/>
      </c>
      <c r="W63">
        <f>HYPERLINK("https://klasma.github.io/Logging_STENUNGSUND/klagomålsmail/A 25385-2019.docx")</f>
        <v/>
      </c>
      <c r="X63">
        <f>HYPERLINK("https://klasma.github.io/Logging_STENUNGSUND/tillsyn/A 25385-2019.docx")</f>
        <v/>
      </c>
      <c r="Y63">
        <f>HYPERLINK("https://klasma.github.io/Logging_STENUNGSUND/tillsynsmail/A 25385-2019.docx")</f>
        <v/>
      </c>
    </row>
    <row r="64" ht="15" customHeight="1">
      <c r="A64" t="inlineStr">
        <is>
          <t>A 28474-2019</t>
        </is>
      </c>
      <c r="B64" s="1" t="n">
        <v>43626</v>
      </c>
      <c r="C64" s="1" t="n">
        <v>45182</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f>
        <v/>
      </c>
      <c r="T64">
        <f>HYPERLINK("https://klasma.github.io/Logging_SKOVDE/kartor/A 28474-2019.png")</f>
        <v/>
      </c>
      <c r="V64">
        <f>HYPERLINK("https://klasma.github.io/Logging_SKOVDE/klagomål/A 28474-2019.docx")</f>
        <v/>
      </c>
      <c r="W64">
        <f>HYPERLINK("https://klasma.github.io/Logging_SKOVDE/klagomålsmail/A 28474-2019.docx")</f>
        <v/>
      </c>
      <c r="X64">
        <f>HYPERLINK("https://klasma.github.io/Logging_SKOVDE/tillsyn/A 28474-2019.docx")</f>
        <v/>
      </c>
      <c r="Y64">
        <f>HYPERLINK("https://klasma.github.io/Logging_SKOVDE/tillsynsmail/A 28474-2019.docx")</f>
        <v/>
      </c>
    </row>
    <row r="65" ht="15" customHeight="1">
      <c r="A65" t="inlineStr">
        <is>
          <t>A 38001-2019</t>
        </is>
      </c>
      <c r="B65" s="1" t="n">
        <v>43683</v>
      </c>
      <c r="C65" s="1" t="n">
        <v>45182</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f>
        <v/>
      </c>
      <c r="T65">
        <f>HYPERLINK("https://klasma.github.io/Logging_STROMSTAD/kartor/A 38001-2019.png")</f>
        <v/>
      </c>
      <c r="V65">
        <f>HYPERLINK("https://klasma.github.io/Logging_STROMSTAD/klagomål/A 38001-2019.docx")</f>
        <v/>
      </c>
      <c r="W65">
        <f>HYPERLINK("https://klasma.github.io/Logging_STROMSTAD/klagomålsmail/A 38001-2019.docx")</f>
        <v/>
      </c>
      <c r="X65">
        <f>HYPERLINK("https://klasma.github.io/Logging_STROMSTAD/tillsyn/A 38001-2019.docx")</f>
        <v/>
      </c>
      <c r="Y65">
        <f>HYPERLINK("https://klasma.github.io/Logging_STROMSTAD/tillsynsmail/A 38001-2019.docx")</f>
        <v/>
      </c>
    </row>
    <row r="66" ht="15" customHeight="1">
      <c r="A66" t="inlineStr">
        <is>
          <t>A 43448-2019</t>
        </is>
      </c>
      <c r="B66" s="1" t="n">
        <v>43703</v>
      </c>
      <c r="C66" s="1" t="n">
        <v>45182</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f>
        <v/>
      </c>
      <c r="T66">
        <f>HYPERLINK("https://klasma.github.io/Logging_MELLERUD/kartor/A 43448-2019.png")</f>
        <v/>
      </c>
      <c r="V66">
        <f>HYPERLINK("https://klasma.github.io/Logging_MELLERUD/klagomål/A 43448-2019.docx")</f>
        <v/>
      </c>
      <c r="W66">
        <f>HYPERLINK("https://klasma.github.io/Logging_MELLERUD/klagomålsmail/A 43448-2019.docx")</f>
        <v/>
      </c>
      <c r="X66">
        <f>HYPERLINK("https://klasma.github.io/Logging_MELLERUD/tillsyn/A 43448-2019.docx")</f>
        <v/>
      </c>
      <c r="Y66">
        <f>HYPERLINK("https://klasma.github.io/Logging_MELLERUD/tillsynsmail/A 43448-2019.docx")</f>
        <v/>
      </c>
    </row>
    <row r="67" ht="15" customHeight="1">
      <c r="A67" t="inlineStr">
        <is>
          <t>A 65473-2019</t>
        </is>
      </c>
      <c r="B67" s="1" t="n">
        <v>43803</v>
      </c>
      <c r="C67" s="1" t="n">
        <v>45182</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f>
        <v/>
      </c>
      <c r="T67">
        <f>HYPERLINK("https://klasma.github.io/Logging_KARLSBORG/kartor/A 65473-2019.png")</f>
        <v/>
      </c>
      <c r="V67">
        <f>HYPERLINK("https://klasma.github.io/Logging_KARLSBORG/klagomål/A 65473-2019.docx")</f>
        <v/>
      </c>
      <c r="W67">
        <f>HYPERLINK("https://klasma.github.io/Logging_KARLSBORG/klagomålsmail/A 65473-2019.docx")</f>
        <v/>
      </c>
      <c r="X67">
        <f>HYPERLINK("https://klasma.github.io/Logging_KARLSBORG/tillsyn/A 65473-2019.docx")</f>
        <v/>
      </c>
      <c r="Y67">
        <f>HYPERLINK("https://klasma.github.io/Logging_KARLSBORG/tillsynsmail/A 65473-2019.docx")</f>
        <v/>
      </c>
    </row>
    <row r="68" ht="15" customHeight="1">
      <c r="A68" t="inlineStr">
        <is>
          <t>A 65650-2019</t>
        </is>
      </c>
      <c r="B68" s="1" t="n">
        <v>43804</v>
      </c>
      <c r="C68" s="1" t="n">
        <v>45182</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f>
        <v/>
      </c>
      <c r="T68">
        <f>HYPERLINK("https://klasma.github.io/Logging_KARLSBORG/kartor/A 65650-2019.png")</f>
        <v/>
      </c>
      <c r="V68">
        <f>HYPERLINK("https://klasma.github.io/Logging_KARLSBORG/klagomål/A 65650-2019.docx")</f>
        <v/>
      </c>
      <c r="W68">
        <f>HYPERLINK("https://klasma.github.io/Logging_KARLSBORG/klagomålsmail/A 65650-2019.docx")</f>
        <v/>
      </c>
      <c r="X68">
        <f>HYPERLINK("https://klasma.github.io/Logging_KARLSBORG/tillsyn/A 65650-2019.docx")</f>
        <v/>
      </c>
      <c r="Y68">
        <f>HYPERLINK("https://klasma.github.io/Logging_KARLSBORG/tillsynsmail/A 65650-2019.docx")</f>
        <v/>
      </c>
    </row>
    <row r="69" ht="15" customHeight="1">
      <c r="A69" t="inlineStr">
        <is>
          <t>A 41180-2020</t>
        </is>
      </c>
      <c r="B69" s="1" t="n">
        <v>44069</v>
      </c>
      <c r="C69" s="1" t="n">
        <v>45182</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f>
        <v/>
      </c>
      <c r="T69">
        <f>HYPERLINK("https://klasma.github.io/Logging_KARLSBORG/kartor/A 41180-2020.png")</f>
        <v/>
      </c>
      <c r="V69">
        <f>HYPERLINK("https://klasma.github.io/Logging_KARLSBORG/klagomål/A 41180-2020.docx")</f>
        <v/>
      </c>
      <c r="W69">
        <f>HYPERLINK("https://klasma.github.io/Logging_KARLSBORG/klagomålsmail/A 41180-2020.docx")</f>
        <v/>
      </c>
      <c r="X69">
        <f>HYPERLINK("https://klasma.github.io/Logging_KARLSBORG/tillsyn/A 41180-2020.docx")</f>
        <v/>
      </c>
      <c r="Y69">
        <f>HYPERLINK("https://klasma.github.io/Logging_KARLSBORG/tillsynsmail/A 41180-2020.docx")</f>
        <v/>
      </c>
    </row>
    <row r="70" ht="15" customHeight="1">
      <c r="A70" t="inlineStr">
        <is>
          <t>A 41233-2020</t>
        </is>
      </c>
      <c r="B70" s="1" t="n">
        <v>44071</v>
      </c>
      <c r="C70" s="1" t="n">
        <v>45182</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f>
        <v/>
      </c>
      <c r="T70">
        <f>HYPERLINK("https://klasma.github.io/Logging_STROMSTAD/kartor/A 41233-2020.png")</f>
        <v/>
      </c>
      <c r="V70">
        <f>HYPERLINK("https://klasma.github.io/Logging_STROMSTAD/klagomål/A 41233-2020.docx")</f>
        <v/>
      </c>
      <c r="W70">
        <f>HYPERLINK("https://klasma.github.io/Logging_STROMSTAD/klagomålsmail/A 41233-2020.docx")</f>
        <v/>
      </c>
      <c r="X70">
        <f>HYPERLINK("https://klasma.github.io/Logging_STROMSTAD/tillsyn/A 41233-2020.docx")</f>
        <v/>
      </c>
      <c r="Y70">
        <f>HYPERLINK("https://klasma.github.io/Logging_STROMSTAD/tillsynsmail/A 41233-2020.docx")</f>
        <v/>
      </c>
    </row>
    <row r="71" ht="15" customHeight="1">
      <c r="A71" t="inlineStr">
        <is>
          <t>A 7577-2021</t>
        </is>
      </c>
      <c r="B71" s="1" t="n">
        <v>44240</v>
      </c>
      <c r="C71" s="1" t="n">
        <v>45182</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f>
        <v/>
      </c>
      <c r="T71">
        <f>HYPERLINK("https://klasma.github.io/Logging_TANUM/kartor/A 7577-2021.png")</f>
        <v/>
      </c>
      <c r="V71">
        <f>HYPERLINK("https://klasma.github.io/Logging_TANUM/klagomål/A 7577-2021.docx")</f>
        <v/>
      </c>
      <c r="W71">
        <f>HYPERLINK("https://klasma.github.io/Logging_TANUM/klagomålsmail/A 7577-2021.docx")</f>
        <v/>
      </c>
      <c r="X71">
        <f>HYPERLINK("https://klasma.github.io/Logging_TANUM/tillsyn/A 7577-2021.docx")</f>
        <v/>
      </c>
      <c r="Y71">
        <f>HYPERLINK("https://klasma.github.io/Logging_TANUM/tillsynsmail/A 7577-2021.docx")</f>
        <v/>
      </c>
    </row>
    <row r="72" ht="15" customHeight="1">
      <c r="A72" t="inlineStr">
        <is>
          <t>A 17902-2021</t>
        </is>
      </c>
      <c r="B72" s="1" t="n">
        <v>44300</v>
      </c>
      <c r="C72" s="1" t="n">
        <v>45182</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f>
        <v/>
      </c>
      <c r="T72">
        <f>HYPERLINK("https://klasma.github.io/Logging_STROMSTAD/kartor/A 17902-2021.png")</f>
        <v/>
      </c>
      <c r="V72">
        <f>HYPERLINK("https://klasma.github.io/Logging_STROMSTAD/klagomål/A 17902-2021.docx")</f>
        <v/>
      </c>
      <c r="W72">
        <f>HYPERLINK("https://klasma.github.io/Logging_STROMSTAD/klagomålsmail/A 17902-2021.docx")</f>
        <v/>
      </c>
      <c r="X72">
        <f>HYPERLINK("https://klasma.github.io/Logging_STROMSTAD/tillsyn/A 17902-2021.docx")</f>
        <v/>
      </c>
      <c r="Y72">
        <f>HYPERLINK("https://klasma.github.io/Logging_STROMSTAD/tillsynsmail/A 17902-2021.docx")</f>
        <v/>
      </c>
    </row>
    <row r="73" ht="15" customHeight="1">
      <c r="A73" t="inlineStr">
        <is>
          <t>A 32397-2021</t>
        </is>
      </c>
      <c r="B73" s="1" t="n">
        <v>44371</v>
      </c>
      <c r="C73" s="1" t="n">
        <v>45182</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f>
        <v/>
      </c>
      <c r="T73">
        <f>HYPERLINK("https://klasma.github.io/Logging_MELLERUD/kartor/A 32397-2021.png")</f>
        <v/>
      </c>
      <c r="V73">
        <f>HYPERLINK("https://klasma.github.io/Logging_MELLERUD/klagomål/A 32397-2021.docx")</f>
        <v/>
      </c>
      <c r="W73">
        <f>HYPERLINK("https://klasma.github.io/Logging_MELLERUD/klagomålsmail/A 32397-2021.docx")</f>
        <v/>
      </c>
      <c r="X73">
        <f>HYPERLINK("https://klasma.github.io/Logging_MELLERUD/tillsyn/A 32397-2021.docx")</f>
        <v/>
      </c>
      <c r="Y73">
        <f>HYPERLINK("https://klasma.github.io/Logging_MELLERUD/tillsynsmail/A 32397-2021.docx")</f>
        <v/>
      </c>
    </row>
    <row r="74" ht="15" customHeight="1">
      <c r="A74" t="inlineStr">
        <is>
          <t>A 49356-2021</t>
        </is>
      </c>
      <c r="B74" s="1" t="n">
        <v>44454</v>
      </c>
      <c r="C74" s="1" t="n">
        <v>45182</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f>
        <v/>
      </c>
      <c r="T74">
        <f>HYPERLINK("https://klasma.github.io/Logging_STROMSTAD/kartor/A 49356-2021.png")</f>
        <v/>
      </c>
      <c r="U74">
        <f>HYPERLINK("https://klasma.github.io/Logging_STROMSTAD/knärot/A 49356-2021.png")</f>
        <v/>
      </c>
      <c r="V74">
        <f>HYPERLINK("https://klasma.github.io/Logging_STROMSTAD/klagomål/A 49356-2021.docx")</f>
        <v/>
      </c>
      <c r="W74">
        <f>HYPERLINK("https://klasma.github.io/Logging_STROMSTAD/klagomålsmail/A 49356-2021.docx")</f>
        <v/>
      </c>
      <c r="X74">
        <f>HYPERLINK("https://klasma.github.io/Logging_STROMSTAD/tillsyn/A 49356-2021.docx")</f>
        <v/>
      </c>
      <c r="Y74">
        <f>HYPERLINK("https://klasma.github.io/Logging_STROMSTAD/tillsynsmail/A 49356-2021.docx")</f>
        <v/>
      </c>
    </row>
    <row r="75" ht="15" customHeight="1">
      <c r="A75" t="inlineStr">
        <is>
          <t>A 57566-2021</t>
        </is>
      </c>
      <c r="B75" s="1" t="n">
        <v>44484</v>
      </c>
      <c r="C75" s="1" t="n">
        <v>45182</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f>
        <v/>
      </c>
      <c r="T75">
        <f>HYPERLINK("https://klasma.github.io/Logging_TOREBODA/kartor/A 57566-2021.png")</f>
        <v/>
      </c>
      <c r="V75">
        <f>HYPERLINK("https://klasma.github.io/Logging_TOREBODA/klagomål/A 57566-2021.docx")</f>
        <v/>
      </c>
      <c r="W75">
        <f>HYPERLINK("https://klasma.github.io/Logging_TOREBODA/klagomålsmail/A 57566-2021.docx")</f>
        <v/>
      </c>
      <c r="X75">
        <f>HYPERLINK("https://klasma.github.io/Logging_TOREBODA/tillsyn/A 57566-2021.docx")</f>
        <v/>
      </c>
      <c r="Y75">
        <f>HYPERLINK("https://klasma.github.io/Logging_TOREBODA/tillsynsmail/A 57566-2021.docx")</f>
        <v/>
      </c>
    </row>
    <row r="76" ht="15" customHeight="1">
      <c r="A76" t="inlineStr">
        <is>
          <t>A 63367-2021</t>
        </is>
      </c>
      <c r="B76" s="1" t="n">
        <v>44506</v>
      </c>
      <c r="C76" s="1" t="n">
        <v>45182</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f>
        <v/>
      </c>
      <c r="T76">
        <f>HYPERLINK("https://klasma.github.io/Logging_TANUM/kartor/A 63367-2021.png")</f>
        <v/>
      </c>
      <c r="V76">
        <f>HYPERLINK("https://klasma.github.io/Logging_TANUM/klagomål/A 63367-2021.docx")</f>
        <v/>
      </c>
      <c r="W76">
        <f>HYPERLINK("https://klasma.github.io/Logging_TANUM/klagomålsmail/A 63367-2021.docx")</f>
        <v/>
      </c>
      <c r="X76">
        <f>HYPERLINK("https://klasma.github.io/Logging_TANUM/tillsyn/A 63367-2021.docx")</f>
        <v/>
      </c>
      <c r="Y76">
        <f>HYPERLINK("https://klasma.github.io/Logging_TANUM/tillsynsmail/A 63367-2021.docx")</f>
        <v/>
      </c>
    </row>
    <row r="77" ht="15" customHeight="1">
      <c r="A77" t="inlineStr">
        <is>
          <t>A 74306-2021</t>
        </is>
      </c>
      <c r="B77" s="1" t="n">
        <v>44559</v>
      </c>
      <c r="C77" s="1" t="n">
        <v>45182</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f>
        <v/>
      </c>
      <c r="T77">
        <f>HYPERLINK("https://klasma.github.io/Logging_ORUST/kartor/A 74306-2021.png")</f>
        <v/>
      </c>
      <c r="V77">
        <f>HYPERLINK("https://klasma.github.io/Logging_ORUST/klagomål/A 74306-2021.docx")</f>
        <v/>
      </c>
      <c r="W77">
        <f>HYPERLINK("https://klasma.github.io/Logging_ORUST/klagomålsmail/A 74306-2021.docx")</f>
        <v/>
      </c>
      <c r="X77">
        <f>HYPERLINK("https://klasma.github.io/Logging_ORUST/tillsyn/A 74306-2021.docx")</f>
        <v/>
      </c>
      <c r="Y77">
        <f>HYPERLINK("https://klasma.github.io/Logging_ORUST/tillsynsmail/A 74306-2021.docx")</f>
        <v/>
      </c>
    </row>
    <row r="78" ht="15" customHeight="1">
      <c r="A78" t="inlineStr">
        <is>
          <t>A 5481-2022</t>
        </is>
      </c>
      <c r="B78" s="1" t="n">
        <v>44595</v>
      </c>
      <c r="C78" s="1" t="n">
        <v>45182</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f>
        <v/>
      </c>
      <c r="T78">
        <f>HYPERLINK("https://klasma.github.io/Logging_SKOVDE/kartor/A 5481-2022.png")</f>
        <v/>
      </c>
      <c r="U78">
        <f>HYPERLINK("https://klasma.github.io/Logging_SKOVDE/knärot/A 5481-2022.png")</f>
        <v/>
      </c>
      <c r="V78">
        <f>HYPERLINK("https://klasma.github.io/Logging_SKOVDE/klagomål/A 5481-2022.docx")</f>
        <v/>
      </c>
      <c r="W78">
        <f>HYPERLINK("https://klasma.github.io/Logging_SKOVDE/klagomålsmail/A 5481-2022.docx")</f>
        <v/>
      </c>
      <c r="X78">
        <f>HYPERLINK("https://klasma.github.io/Logging_SKOVDE/tillsyn/A 5481-2022.docx")</f>
        <v/>
      </c>
      <c r="Y78">
        <f>HYPERLINK("https://klasma.github.io/Logging_SKOVDE/tillsynsmail/A 5481-2022.docx")</f>
        <v/>
      </c>
    </row>
    <row r="79" ht="15" customHeight="1">
      <c r="A79" t="inlineStr">
        <is>
          <t>A 12865-2022</t>
        </is>
      </c>
      <c r="B79" s="1" t="n">
        <v>44642</v>
      </c>
      <c r="C79" s="1" t="n">
        <v>45182</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f>
        <v/>
      </c>
      <c r="T79">
        <f>HYPERLINK("https://klasma.github.io/Logging_GOTENE/kartor/A 12865-2022.png")</f>
        <v/>
      </c>
      <c r="V79">
        <f>HYPERLINK("https://klasma.github.io/Logging_GOTENE/klagomål/A 12865-2022.docx")</f>
        <v/>
      </c>
      <c r="W79">
        <f>HYPERLINK("https://klasma.github.io/Logging_GOTENE/klagomålsmail/A 12865-2022.docx")</f>
        <v/>
      </c>
      <c r="X79">
        <f>HYPERLINK("https://klasma.github.io/Logging_GOTENE/tillsyn/A 12865-2022.docx")</f>
        <v/>
      </c>
      <c r="Y79">
        <f>HYPERLINK("https://klasma.github.io/Logging_GOTENE/tillsynsmail/A 12865-2022.docx")</f>
        <v/>
      </c>
    </row>
    <row r="80" ht="15" customHeight="1">
      <c r="A80" t="inlineStr">
        <is>
          <t>A 44523-2022</t>
        </is>
      </c>
      <c r="B80" s="1" t="n">
        <v>44840</v>
      </c>
      <c r="C80" s="1" t="n">
        <v>45182</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c r="T80">
        <f>HYPERLINK("https://klasma.github.io/Logging_MELLERUD/kartor/A 44523-2022.png")</f>
        <v/>
      </c>
      <c r="V80">
        <f>HYPERLINK("https://klasma.github.io/Logging_MELLERUD/klagomål/A 44523-2022.docx")</f>
        <v/>
      </c>
      <c r="W80">
        <f>HYPERLINK("https://klasma.github.io/Logging_MELLERUD/klagomålsmail/A 44523-2022.docx")</f>
        <v/>
      </c>
      <c r="X80">
        <f>HYPERLINK("https://klasma.github.io/Logging_MELLERUD/tillsyn/A 44523-2022.docx")</f>
        <v/>
      </c>
      <c r="Y80">
        <f>HYPERLINK("https://klasma.github.io/Logging_MELLERUD/tillsynsmail/A 44523-2022.docx")</f>
        <v/>
      </c>
    </row>
    <row r="81" ht="15" customHeight="1">
      <c r="A81" t="inlineStr">
        <is>
          <t>A 29487-2023</t>
        </is>
      </c>
      <c r="B81" s="1" t="n">
        <v>45106</v>
      </c>
      <c r="C81" s="1" t="n">
        <v>45182</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c r="T81">
        <f>HYPERLINK("https://klasma.github.io/Logging_UDDEVALLA/kartor/A 29487-2023.png")</f>
        <v/>
      </c>
      <c r="V81">
        <f>HYPERLINK("https://klasma.github.io/Logging_UDDEVALLA/klagomål/A 29487-2023.docx")</f>
        <v/>
      </c>
      <c r="W81">
        <f>HYPERLINK("https://klasma.github.io/Logging_UDDEVALLA/klagomålsmail/A 29487-2023.docx")</f>
        <v/>
      </c>
      <c r="X81">
        <f>HYPERLINK("https://klasma.github.io/Logging_UDDEVALLA/tillsyn/A 29487-2023.docx")</f>
        <v/>
      </c>
      <c r="Y81">
        <f>HYPERLINK("https://klasma.github.io/Logging_UDDEVALLA/tillsynsmail/A 29487-2023.docx")</f>
        <v/>
      </c>
    </row>
    <row r="82" ht="15" customHeight="1">
      <c r="A82" t="inlineStr">
        <is>
          <t>A 38230-2018</t>
        </is>
      </c>
      <c r="B82" s="1" t="n">
        <v>43338</v>
      </c>
      <c r="C82" s="1" t="n">
        <v>45182</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c r="T82">
        <f>HYPERLINK("https://klasma.github.io/Logging_AMAL/kartor/A 38230-2018.png")</f>
        <v/>
      </c>
      <c r="V82">
        <f>HYPERLINK("https://klasma.github.io/Logging_AMAL/klagomål/A 38230-2018.docx")</f>
        <v/>
      </c>
      <c r="W82">
        <f>HYPERLINK("https://klasma.github.io/Logging_AMAL/klagomålsmail/A 38230-2018.docx")</f>
        <v/>
      </c>
      <c r="X82">
        <f>HYPERLINK("https://klasma.github.io/Logging_AMAL/tillsyn/A 38230-2018.docx")</f>
        <v/>
      </c>
      <c r="Y82">
        <f>HYPERLINK("https://klasma.github.io/Logging_AMAL/tillsynsmail/A 38230-2018.docx")</f>
        <v/>
      </c>
    </row>
    <row r="83" ht="15" customHeight="1">
      <c r="A83" t="inlineStr">
        <is>
          <t>A 40399-2018</t>
        </is>
      </c>
      <c r="B83" s="1" t="n">
        <v>43346</v>
      </c>
      <c r="C83" s="1" t="n">
        <v>45182</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c r="T83">
        <f>HYPERLINK("https://klasma.github.io/Logging_BOLLEBYGD/kartor/A 40399-2018.png")</f>
        <v/>
      </c>
      <c r="V83">
        <f>HYPERLINK("https://klasma.github.io/Logging_BOLLEBYGD/klagomål/A 40399-2018.docx")</f>
        <v/>
      </c>
      <c r="W83">
        <f>HYPERLINK("https://klasma.github.io/Logging_BOLLEBYGD/klagomålsmail/A 40399-2018.docx")</f>
        <v/>
      </c>
      <c r="X83">
        <f>HYPERLINK("https://klasma.github.io/Logging_BOLLEBYGD/tillsyn/A 40399-2018.docx")</f>
        <v/>
      </c>
      <c r="Y83">
        <f>HYPERLINK("https://klasma.github.io/Logging_BOLLEBYGD/tillsynsmail/A 40399-2018.docx")</f>
        <v/>
      </c>
    </row>
    <row r="84" ht="15" customHeight="1">
      <c r="A84" t="inlineStr">
        <is>
          <t>A 41818-2018</t>
        </is>
      </c>
      <c r="B84" s="1" t="n">
        <v>43350</v>
      </c>
      <c r="C84" s="1" t="n">
        <v>45182</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c r="T84">
        <f>HYPERLINK("https://klasma.github.io/Logging_BORAS/kartor/A 41818-2018.png")</f>
        <v/>
      </c>
      <c r="V84">
        <f>HYPERLINK("https://klasma.github.io/Logging_BORAS/klagomål/A 41818-2018.docx")</f>
        <v/>
      </c>
      <c r="W84">
        <f>HYPERLINK("https://klasma.github.io/Logging_BORAS/klagomålsmail/A 41818-2018.docx")</f>
        <v/>
      </c>
      <c r="X84">
        <f>HYPERLINK("https://klasma.github.io/Logging_BORAS/tillsyn/A 41818-2018.docx")</f>
        <v/>
      </c>
      <c r="Y84">
        <f>HYPERLINK("https://klasma.github.io/Logging_BORAS/tillsynsmail/A 41818-2018.docx")</f>
        <v/>
      </c>
    </row>
    <row r="85" ht="15" customHeight="1">
      <c r="A85" t="inlineStr">
        <is>
          <t>A 48098-2018</t>
        </is>
      </c>
      <c r="B85" s="1" t="n">
        <v>43371</v>
      </c>
      <c r="C85" s="1" t="n">
        <v>45182</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c r="T85">
        <f>HYPERLINK("https://klasma.github.io/Logging_MELLERUD/kartor/A 48098-2018.png")</f>
        <v/>
      </c>
      <c r="V85">
        <f>HYPERLINK("https://klasma.github.io/Logging_MELLERUD/klagomål/A 48098-2018.docx")</f>
        <v/>
      </c>
      <c r="W85">
        <f>HYPERLINK("https://klasma.github.io/Logging_MELLERUD/klagomålsmail/A 48098-2018.docx")</f>
        <v/>
      </c>
      <c r="X85">
        <f>HYPERLINK("https://klasma.github.io/Logging_MELLERUD/tillsyn/A 48098-2018.docx")</f>
        <v/>
      </c>
      <c r="Y85">
        <f>HYPERLINK("https://klasma.github.io/Logging_MELLERUD/tillsynsmail/A 48098-2018.docx")</f>
        <v/>
      </c>
    </row>
    <row r="86" ht="15" customHeight="1">
      <c r="A86" t="inlineStr">
        <is>
          <t>A 61434-2018</t>
        </is>
      </c>
      <c r="B86" s="1" t="n">
        <v>43424</v>
      </c>
      <c r="C86" s="1" t="n">
        <v>45182</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c r="T86">
        <f>HYPERLINK("https://klasma.github.io/Logging_SKARA/kartor/A 61434-2018.png")</f>
        <v/>
      </c>
      <c r="V86">
        <f>HYPERLINK("https://klasma.github.io/Logging_SKARA/klagomål/A 61434-2018.docx")</f>
        <v/>
      </c>
      <c r="W86">
        <f>HYPERLINK("https://klasma.github.io/Logging_SKARA/klagomålsmail/A 61434-2018.docx")</f>
        <v/>
      </c>
      <c r="X86">
        <f>HYPERLINK("https://klasma.github.io/Logging_SKARA/tillsyn/A 61434-2018.docx")</f>
        <v/>
      </c>
      <c r="Y86">
        <f>HYPERLINK("https://klasma.github.io/Logging_SKARA/tillsynsmail/A 61434-2018.docx")</f>
        <v/>
      </c>
    </row>
    <row r="87" ht="15" customHeight="1">
      <c r="A87" t="inlineStr">
        <is>
          <t>A 69614-2018</t>
        </is>
      </c>
      <c r="B87" s="1" t="n">
        <v>43447</v>
      </c>
      <c r="C87" s="1" t="n">
        <v>45182</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c r="T87">
        <f>HYPERLINK("https://klasma.github.io/Logging_MARK/kartor/A 69614-2018.png")</f>
        <v/>
      </c>
      <c r="V87">
        <f>HYPERLINK("https://klasma.github.io/Logging_MARK/klagomål/A 69614-2018.docx")</f>
        <v/>
      </c>
      <c r="W87">
        <f>HYPERLINK("https://klasma.github.io/Logging_MARK/klagomålsmail/A 69614-2018.docx")</f>
        <v/>
      </c>
      <c r="X87">
        <f>HYPERLINK("https://klasma.github.io/Logging_MARK/tillsyn/A 69614-2018.docx")</f>
        <v/>
      </c>
      <c r="Y87">
        <f>HYPERLINK("https://klasma.github.io/Logging_MARK/tillsynsmail/A 69614-2018.docx")</f>
        <v/>
      </c>
    </row>
    <row r="88" ht="15" customHeight="1">
      <c r="A88" t="inlineStr">
        <is>
          <t>A 9721-2019</t>
        </is>
      </c>
      <c r="B88" s="1" t="n">
        <v>43508</v>
      </c>
      <c r="C88" s="1" t="n">
        <v>45182</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c r="T88">
        <f>HYPERLINK("https://klasma.github.io/Logging_BENGTSFORS/kartor/A 9721-2019.png")</f>
        <v/>
      </c>
      <c r="V88">
        <f>HYPERLINK("https://klasma.github.io/Logging_BENGTSFORS/klagomål/A 9721-2019.docx")</f>
        <v/>
      </c>
      <c r="W88">
        <f>HYPERLINK("https://klasma.github.io/Logging_BENGTSFORS/klagomålsmail/A 9721-2019.docx")</f>
        <v/>
      </c>
      <c r="X88">
        <f>HYPERLINK("https://klasma.github.io/Logging_BENGTSFORS/tillsyn/A 9721-2019.docx")</f>
        <v/>
      </c>
      <c r="Y88">
        <f>HYPERLINK("https://klasma.github.io/Logging_BENGTSFORS/tillsynsmail/A 9721-2019.docx")</f>
        <v/>
      </c>
    </row>
    <row r="89" ht="15" customHeight="1">
      <c r="A89" t="inlineStr">
        <is>
          <t>A 11376-2019</t>
        </is>
      </c>
      <c r="B89" s="1" t="n">
        <v>43517</v>
      </c>
      <c r="C89" s="1" t="n">
        <v>45182</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c r="T89">
        <f>HYPERLINK("https://klasma.github.io/Logging_MARIESTAD/kartor/A 11376-2019.png")</f>
        <v/>
      </c>
      <c r="V89">
        <f>HYPERLINK("https://klasma.github.io/Logging_MARIESTAD/klagomål/A 11376-2019.docx")</f>
        <v/>
      </c>
      <c r="W89">
        <f>HYPERLINK("https://klasma.github.io/Logging_MARIESTAD/klagomålsmail/A 11376-2019.docx")</f>
        <v/>
      </c>
      <c r="X89">
        <f>HYPERLINK("https://klasma.github.io/Logging_MARIESTAD/tillsyn/A 11376-2019.docx")</f>
        <v/>
      </c>
      <c r="Y89">
        <f>HYPERLINK("https://klasma.github.io/Logging_MARIESTAD/tillsynsmail/A 11376-2019.docx")</f>
        <v/>
      </c>
    </row>
    <row r="90" ht="15" customHeight="1">
      <c r="A90" t="inlineStr">
        <is>
          <t>A 14609-2019</t>
        </is>
      </c>
      <c r="B90" s="1" t="n">
        <v>43537</v>
      </c>
      <c r="C90" s="1" t="n">
        <v>45182</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c r="T90">
        <f>HYPERLINK("https://klasma.github.io/Logging_SKARA/kartor/A 14609-2019.png")</f>
        <v/>
      </c>
      <c r="V90">
        <f>HYPERLINK("https://klasma.github.io/Logging_SKARA/klagomål/A 14609-2019.docx")</f>
        <v/>
      </c>
      <c r="W90">
        <f>HYPERLINK("https://klasma.github.io/Logging_SKARA/klagomålsmail/A 14609-2019.docx")</f>
        <v/>
      </c>
      <c r="X90">
        <f>HYPERLINK("https://klasma.github.io/Logging_SKARA/tillsyn/A 14609-2019.docx")</f>
        <v/>
      </c>
      <c r="Y90">
        <f>HYPERLINK("https://klasma.github.io/Logging_SKARA/tillsynsmail/A 14609-2019.docx")</f>
        <v/>
      </c>
    </row>
    <row r="91" ht="15" customHeight="1">
      <c r="A91" t="inlineStr">
        <is>
          <t>A 19823-2019</t>
        </is>
      </c>
      <c r="B91" s="1" t="n">
        <v>43567</v>
      </c>
      <c r="C91" s="1" t="n">
        <v>45182</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c r="T91">
        <f>HYPERLINK("https://klasma.github.io/Logging_HARRYDA/kartor/A 19823-2019.png")</f>
        <v/>
      </c>
      <c r="V91">
        <f>HYPERLINK("https://klasma.github.io/Logging_HARRYDA/klagomål/A 19823-2019.docx")</f>
        <v/>
      </c>
      <c r="W91">
        <f>HYPERLINK("https://klasma.github.io/Logging_HARRYDA/klagomålsmail/A 19823-2019.docx")</f>
        <v/>
      </c>
      <c r="X91">
        <f>HYPERLINK("https://klasma.github.io/Logging_HARRYDA/tillsyn/A 19823-2019.docx")</f>
        <v/>
      </c>
      <c r="Y91">
        <f>HYPERLINK("https://klasma.github.io/Logging_HARRYDA/tillsynsmail/A 19823-2019.docx")</f>
        <v/>
      </c>
    </row>
    <row r="92" ht="15" customHeight="1">
      <c r="A92" t="inlineStr">
        <is>
          <t>A 25131-2019</t>
        </is>
      </c>
      <c r="B92" s="1" t="n">
        <v>43605</v>
      </c>
      <c r="C92" s="1" t="n">
        <v>45182</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c r="T92">
        <f>HYPERLINK("https://klasma.github.io/Logging_KUNGALV/kartor/A 25131-2019.png")</f>
        <v/>
      </c>
      <c r="V92">
        <f>HYPERLINK("https://klasma.github.io/Logging_KUNGALV/klagomål/A 25131-2019.docx")</f>
        <v/>
      </c>
      <c r="W92">
        <f>HYPERLINK("https://klasma.github.io/Logging_KUNGALV/klagomålsmail/A 25131-2019.docx")</f>
        <v/>
      </c>
      <c r="X92">
        <f>HYPERLINK("https://klasma.github.io/Logging_KUNGALV/tillsyn/A 25131-2019.docx")</f>
        <v/>
      </c>
      <c r="Y92">
        <f>HYPERLINK("https://klasma.github.io/Logging_KUNGALV/tillsynsmail/A 25131-2019.docx")</f>
        <v/>
      </c>
    </row>
    <row r="93" ht="15" customHeight="1">
      <c r="A93" t="inlineStr">
        <is>
          <t>A 29458-2019</t>
        </is>
      </c>
      <c r="B93" s="1" t="n">
        <v>43629</v>
      </c>
      <c r="C93" s="1" t="n">
        <v>45182</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c r="T93">
        <f>HYPERLINK("https://klasma.github.io/Logging_SKARA/kartor/A 29458-2019.png")</f>
        <v/>
      </c>
      <c r="V93">
        <f>HYPERLINK("https://klasma.github.io/Logging_SKARA/klagomål/A 29458-2019.docx")</f>
        <v/>
      </c>
      <c r="W93">
        <f>HYPERLINK("https://klasma.github.io/Logging_SKARA/klagomålsmail/A 29458-2019.docx")</f>
        <v/>
      </c>
      <c r="X93">
        <f>HYPERLINK("https://klasma.github.io/Logging_SKARA/tillsyn/A 29458-2019.docx")</f>
        <v/>
      </c>
      <c r="Y93">
        <f>HYPERLINK("https://klasma.github.io/Logging_SKARA/tillsynsmail/A 29458-2019.docx")</f>
        <v/>
      </c>
    </row>
    <row r="94" ht="15" customHeight="1">
      <c r="A94" t="inlineStr">
        <is>
          <t>A 30913-2019</t>
        </is>
      </c>
      <c r="B94" s="1" t="n">
        <v>43636</v>
      </c>
      <c r="C94" s="1" t="n">
        <v>45182</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c r="T94">
        <f>HYPERLINK("https://klasma.github.io/Logging_FARGELANDA/kartor/A 30913-2019.png")</f>
        <v/>
      </c>
      <c r="V94">
        <f>HYPERLINK("https://klasma.github.io/Logging_FARGELANDA/klagomål/A 30913-2019.docx")</f>
        <v/>
      </c>
      <c r="W94">
        <f>HYPERLINK("https://klasma.github.io/Logging_FARGELANDA/klagomålsmail/A 30913-2019.docx")</f>
        <v/>
      </c>
      <c r="X94">
        <f>HYPERLINK("https://klasma.github.io/Logging_FARGELANDA/tillsyn/A 30913-2019.docx")</f>
        <v/>
      </c>
      <c r="Y94">
        <f>HYPERLINK("https://klasma.github.io/Logging_FARGELANDA/tillsynsmail/A 30913-2019.docx")</f>
        <v/>
      </c>
    </row>
    <row r="95" ht="15" customHeight="1">
      <c r="A95" t="inlineStr">
        <is>
          <t>A 33148-2019</t>
        </is>
      </c>
      <c r="B95" s="1" t="n">
        <v>43649</v>
      </c>
      <c r="C95" s="1" t="n">
        <v>45182</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c r="T95">
        <f>HYPERLINK("https://klasma.github.io/Logging_KUNGALV/kartor/A 33148-2019.png")</f>
        <v/>
      </c>
      <c r="V95">
        <f>HYPERLINK("https://klasma.github.io/Logging_KUNGALV/klagomål/A 33148-2019.docx")</f>
        <v/>
      </c>
      <c r="W95">
        <f>HYPERLINK("https://klasma.github.io/Logging_KUNGALV/klagomålsmail/A 33148-2019.docx")</f>
        <v/>
      </c>
      <c r="X95">
        <f>HYPERLINK("https://klasma.github.io/Logging_KUNGALV/tillsyn/A 33148-2019.docx")</f>
        <v/>
      </c>
      <c r="Y95">
        <f>HYPERLINK("https://klasma.github.io/Logging_KUNGALV/tillsynsmail/A 33148-2019.docx")</f>
        <v/>
      </c>
    </row>
    <row r="96" ht="15" customHeight="1">
      <c r="A96" t="inlineStr">
        <is>
          <t>A 39255-2019</t>
        </is>
      </c>
      <c r="B96" s="1" t="n">
        <v>43690</v>
      </c>
      <c r="C96" s="1" t="n">
        <v>45182</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c r="T96">
        <f>HYPERLINK("https://klasma.github.io/Logging_GOTEBORG/kartor/A 39255-2019.png")</f>
        <v/>
      </c>
      <c r="V96">
        <f>HYPERLINK("https://klasma.github.io/Logging_GOTEBORG/klagomål/A 39255-2019.docx")</f>
        <v/>
      </c>
      <c r="W96">
        <f>HYPERLINK("https://klasma.github.io/Logging_GOTEBORG/klagomålsmail/A 39255-2019.docx")</f>
        <v/>
      </c>
      <c r="X96">
        <f>HYPERLINK("https://klasma.github.io/Logging_GOTEBORG/tillsyn/A 39255-2019.docx")</f>
        <v/>
      </c>
      <c r="Y96">
        <f>HYPERLINK("https://klasma.github.io/Logging_GOTEBORG/tillsynsmail/A 39255-2019.docx")</f>
        <v/>
      </c>
    </row>
    <row r="97" ht="15" customHeight="1">
      <c r="A97" t="inlineStr">
        <is>
          <t>A 42309-2019</t>
        </is>
      </c>
      <c r="B97" s="1" t="n">
        <v>43698</v>
      </c>
      <c r="C97" s="1" t="n">
        <v>45182</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c r="T97">
        <f>HYPERLINK("https://klasma.github.io/Logging_TANUM/kartor/A 42309-2019.png")</f>
        <v/>
      </c>
      <c r="V97">
        <f>HYPERLINK("https://klasma.github.io/Logging_TANUM/klagomål/A 42309-2019.docx")</f>
        <v/>
      </c>
      <c r="W97">
        <f>HYPERLINK("https://klasma.github.io/Logging_TANUM/klagomålsmail/A 42309-2019.docx")</f>
        <v/>
      </c>
      <c r="X97">
        <f>HYPERLINK("https://klasma.github.io/Logging_TANUM/tillsyn/A 42309-2019.docx")</f>
        <v/>
      </c>
      <c r="Y97">
        <f>HYPERLINK("https://klasma.github.io/Logging_TANUM/tillsynsmail/A 42309-2019.docx")</f>
        <v/>
      </c>
    </row>
    <row r="98" ht="15" customHeight="1">
      <c r="A98" t="inlineStr">
        <is>
          <t>A 45791-2019</t>
        </is>
      </c>
      <c r="B98" s="1" t="n">
        <v>43717</v>
      </c>
      <c r="C98" s="1" t="n">
        <v>45182</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c r="T98">
        <f>HYPERLINK("https://klasma.github.io/Logging_HERRLJUNGA/kartor/A 45791-2019.png")</f>
        <v/>
      </c>
      <c r="V98">
        <f>HYPERLINK("https://klasma.github.io/Logging_HERRLJUNGA/klagomål/A 45791-2019.docx")</f>
        <v/>
      </c>
      <c r="W98">
        <f>HYPERLINK("https://klasma.github.io/Logging_HERRLJUNGA/klagomålsmail/A 45791-2019.docx")</f>
        <v/>
      </c>
      <c r="X98">
        <f>HYPERLINK("https://klasma.github.io/Logging_HERRLJUNGA/tillsyn/A 45791-2019.docx")</f>
        <v/>
      </c>
      <c r="Y98">
        <f>HYPERLINK("https://klasma.github.io/Logging_HERRLJUNGA/tillsynsmail/A 45791-2019.docx")</f>
        <v/>
      </c>
    </row>
    <row r="99" ht="15" customHeight="1">
      <c r="A99" t="inlineStr">
        <is>
          <t>A 49533-2019</t>
        </is>
      </c>
      <c r="B99" s="1" t="n">
        <v>43732</v>
      </c>
      <c r="C99" s="1" t="n">
        <v>45182</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c r="T99">
        <f>HYPERLINK("https://klasma.github.io/Logging_AMAL/kartor/A 49533-2019.png")</f>
        <v/>
      </c>
      <c r="V99">
        <f>HYPERLINK("https://klasma.github.io/Logging_AMAL/klagomål/A 49533-2019.docx")</f>
        <v/>
      </c>
      <c r="W99">
        <f>HYPERLINK("https://klasma.github.io/Logging_AMAL/klagomålsmail/A 49533-2019.docx")</f>
        <v/>
      </c>
      <c r="X99">
        <f>HYPERLINK("https://klasma.github.io/Logging_AMAL/tillsyn/A 49533-2019.docx")</f>
        <v/>
      </c>
      <c r="Y99">
        <f>HYPERLINK("https://klasma.github.io/Logging_AMAL/tillsynsmail/A 49533-2019.docx")</f>
        <v/>
      </c>
    </row>
    <row r="100" ht="15" customHeight="1">
      <c r="A100" t="inlineStr">
        <is>
          <t>A 56461-2019</t>
        </is>
      </c>
      <c r="B100" s="1" t="n">
        <v>43762</v>
      </c>
      <c r="C100" s="1" t="n">
        <v>45182</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c r="T100">
        <f>HYPERLINK("https://klasma.github.io/Logging_KUNGALV/kartor/A 56461-2019.png")</f>
        <v/>
      </c>
      <c r="V100">
        <f>HYPERLINK("https://klasma.github.io/Logging_KUNGALV/klagomål/A 56461-2019.docx")</f>
        <v/>
      </c>
      <c r="W100">
        <f>HYPERLINK("https://klasma.github.io/Logging_KUNGALV/klagomålsmail/A 56461-2019.docx")</f>
        <v/>
      </c>
      <c r="X100">
        <f>HYPERLINK("https://klasma.github.io/Logging_KUNGALV/tillsyn/A 56461-2019.docx")</f>
        <v/>
      </c>
      <c r="Y100">
        <f>HYPERLINK("https://klasma.github.io/Logging_KUNGALV/tillsynsmail/A 56461-2019.docx")</f>
        <v/>
      </c>
    </row>
    <row r="101" ht="15" customHeight="1">
      <c r="A101" t="inlineStr">
        <is>
          <t>A 1067-2020</t>
        </is>
      </c>
      <c r="B101" s="1" t="n">
        <v>43819</v>
      </c>
      <c r="C101" s="1" t="n">
        <v>45182</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c r="T101">
        <f>HYPERLINK("https://klasma.github.io/Logging_MUNKEDAL/kartor/A 1067-2020.png")</f>
        <v/>
      </c>
      <c r="V101">
        <f>HYPERLINK("https://klasma.github.io/Logging_MUNKEDAL/klagomål/A 1067-2020.docx")</f>
        <v/>
      </c>
      <c r="W101">
        <f>HYPERLINK("https://klasma.github.io/Logging_MUNKEDAL/klagomålsmail/A 1067-2020.docx")</f>
        <v/>
      </c>
      <c r="X101">
        <f>HYPERLINK("https://klasma.github.io/Logging_MUNKEDAL/tillsyn/A 1067-2020.docx")</f>
        <v/>
      </c>
      <c r="Y101">
        <f>HYPERLINK("https://klasma.github.io/Logging_MUNKEDAL/tillsynsmail/A 1067-2020.docx")</f>
        <v/>
      </c>
    </row>
    <row r="102" ht="15" customHeight="1">
      <c r="A102" t="inlineStr">
        <is>
          <t>A 1456-2020</t>
        </is>
      </c>
      <c r="B102" s="1" t="n">
        <v>43843</v>
      </c>
      <c r="C102" s="1" t="n">
        <v>45182</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c r="T102">
        <f>HYPERLINK("https://klasma.github.io/Logging_ALE/kartor/A 1456-2020.png")</f>
        <v/>
      </c>
      <c r="V102">
        <f>HYPERLINK("https://klasma.github.io/Logging_ALE/klagomål/A 1456-2020.docx")</f>
        <v/>
      </c>
      <c r="W102">
        <f>HYPERLINK("https://klasma.github.io/Logging_ALE/klagomålsmail/A 1456-2020.docx")</f>
        <v/>
      </c>
      <c r="X102">
        <f>HYPERLINK("https://klasma.github.io/Logging_ALE/tillsyn/A 1456-2020.docx")</f>
        <v/>
      </c>
      <c r="Y102">
        <f>HYPERLINK("https://klasma.github.io/Logging_ALE/tillsynsmail/A 1456-2020.docx")</f>
        <v/>
      </c>
    </row>
    <row r="103" ht="15" customHeight="1">
      <c r="A103" t="inlineStr">
        <is>
          <t>A 5516-2020</t>
        </is>
      </c>
      <c r="B103" s="1" t="n">
        <v>43858</v>
      </c>
      <c r="C103" s="1" t="n">
        <v>45182</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c r="T103">
        <f>HYPERLINK("https://klasma.github.io/Logging_MUNKEDAL/kartor/A 5516-2020.png")</f>
        <v/>
      </c>
      <c r="V103">
        <f>HYPERLINK("https://klasma.github.io/Logging_MUNKEDAL/klagomål/A 5516-2020.docx")</f>
        <v/>
      </c>
      <c r="W103">
        <f>HYPERLINK("https://klasma.github.io/Logging_MUNKEDAL/klagomålsmail/A 5516-2020.docx")</f>
        <v/>
      </c>
      <c r="X103">
        <f>HYPERLINK("https://klasma.github.io/Logging_MUNKEDAL/tillsyn/A 5516-2020.docx")</f>
        <v/>
      </c>
      <c r="Y103">
        <f>HYPERLINK("https://klasma.github.io/Logging_MUNKEDAL/tillsynsmail/A 5516-2020.docx")</f>
        <v/>
      </c>
    </row>
    <row r="104" ht="15" customHeight="1">
      <c r="A104" t="inlineStr">
        <is>
          <t>A 5490-2020</t>
        </is>
      </c>
      <c r="B104" s="1" t="n">
        <v>43858</v>
      </c>
      <c r="C104" s="1" t="n">
        <v>45182</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c r="T104">
        <f>HYPERLINK("https://klasma.github.io/Logging_MUNKEDAL/kartor/A 5490-2020.png")</f>
        <v/>
      </c>
      <c r="V104">
        <f>HYPERLINK("https://klasma.github.io/Logging_MUNKEDAL/klagomål/A 5490-2020.docx")</f>
        <v/>
      </c>
      <c r="W104">
        <f>HYPERLINK("https://klasma.github.io/Logging_MUNKEDAL/klagomålsmail/A 5490-2020.docx")</f>
        <v/>
      </c>
      <c r="X104">
        <f>HYPERLINK("https://klasma.github.io/Logging_MUNKEDAL/tillsyn/A 5490-2020.docx")</f>
        <v/>
      </c>
      <c r="Y104">
        <f>HYPERLINK("https://klasma.github.io/Logging_MUNKEDAL/tillsynsmail/A 5490-2020.docx")</f>
        <v/>
      </c>
    </row>
    <row r="105" ht="15" customHeight="1">
      <c r="A105" t="inlineStr">
        <is>
          <t>A 5620-2020</t>
        </is>
      </c>
      <c r="B105" s="1" t="n">
        <v>43861</v>
      </c>
      <c r="C105" s="1" t="n">
        <v>45182</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c r="T105">
        <f>HYPERLINK("https://klasma.github.io/Logging_TROLLHATTAN/kartor/A 5620-2020.png")</f>
        <v/>
      </c>
      <c r="V105">
        <f>HYPERLINK("https://klasma.github.io/Logging_TROLLHATTAN/klagomål/A 5620-2020.docx")</f>
        <v/>
      </c>
      <c r="W105">
        <f>HYPERLINK("https://klasma.github.io/Logging_TROLLHATTAN/klagomålsmail/A 5620-2020.docx")</f>
        <v/>
      </c>
      <c r="X105">
        <f>HYPERLINK("https://klasma.github.io/Logging_TROLLHATTAN/tillsyn/A 5620-2020.docx")</f>
        <v/>
      </c>
      <c r="Y105">
        <f>HYPERLINK("https://klasma.github.io/Logging_TROLLHATTAN/tillsynsmail/A 5620-2020.docx")</f>
        <v/>
      </c>
    </row>
    <row r="106" ht="15" customHeight="1">
      <c r="A106" t="inlineStr">
        <is>
          <t>A 13029-2020</t>
        </is>
      </c>
      <c r="B106" s="1" t="n">
        <v>43900</v>
      </c>
      <c r="C106" s="1" t="n">
        <v>45182</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c r="T106">
        <f>HYPERLINK("https://klasma.github.io/Logging_ALE/kartor/A 13029-2020.png")</f>
        <v/>
      </c>
      <c r="V106">
        <f>HYPERLINK("https://klasma.github.io/Logging_ALE/klagomål/A 13029-2020.docx")</f>
        <v/>
      </c>
      <c r="W106">
        <f>HYPERLINK("https://klasma.github.io/Logging_ALE/klagomålsmail/A 13029-2020.docx")</f>
        <v/>
      </c>
      <c r="X106">
        <f>HYPERLINK("https://klasma.github.io/Logging_ALE/tillsyn/A 13029-2020.docx")</f>
        <v/>
      </c>
      <c r="Y106">
        <f>HYPERLINK("https://klasma.github.io/Logging_ALE/tillsynsmail/A 13029-2020.docx")</f>
        <v/>
      </c>
    </row>
    <row r="107" ht="15" customHeight="1">
      <c r="A107" t="inlineStr">
        <is>
          <t>A 17382-2020</t>
        </is>
      </c>
      <c r="B107" s="1" t="n">
        <v>43923</v>
      </c>
      <c r="C107" s="1" t="n">
        <v>45182</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c r="T107">
        <f>HYPERLINK("https://klasma.github.io/Logging_MARK/kartor/A 17382-2020.png")</f>
        <v/>
      </c>
      <c r="V107">
        <f>HYPERLINK("https://klasma.github.io/Logging_MARK/klagomål/A 17382-2020.docx")</f>
        <v/>
      </c>
      <c r="W107">
        <f>HYPERLINK("https://klasma.github.io/Logging_MARK/klagomålsmail/A 17382-2020.docx")</f>
        <v/>
      </c>
      <c r="X107">
        <f>HYPERLINK("https://klasma.github.io/Logging_MARK/tillsyn/A 17382-2020.docx")</f>
        <v/>
      </c>
      <c r="Y107">
        <f>HYPERLINK("https://klasma.github.io/Logging_MARK/tillsynsmail/A 17382-2020.docx")</f>
        <v/>
      </c>
    </row>
    <row r="108" ht="15" customHeight="1">
      <c r="A108" t="inlineStr">
        <is>
          <t>A 36315-2020</t>
        </is>
      </c>
      <c r="B108" s="1" t="n">
        <v>44049</v>
      </c>
      <c r="C108" s="1" t="n">
        <v>45182</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c r="T108">
        <f>HYPERLINK("https://klasma.github.io/Logging_STENUNGSUND/kartor/A 36315-2020.png")</f>
        <v/>
      </c>
      <c r="V108">
        <f>HYPERLINK("https://klasma.github.io/Logging_STENUNGSUND/klagomål/A 36315-2020.docx")</f>
        <v/>
      </c>
      <c r="W108">
        <f>HYPERLINK("https://klasma.github.io/Logging_STENUNGSUND/klagomålsmail/A 36315-2020.docx")</f>
        <v/>
      </c>
      <c r="X108">
        <f>HYPERLINK("https://klasma.github.io/Logging_STENUNGSUND/tillsyn/A 36315-2020.docx")</f>
        <v/>
      </c>
      <c r="Y108">
        <f>HYPERLINK("https://klasma.github.io/Logging_STENUNGSUND/tillsynsmail/A 36315-2020.docx")</f>
        <v/>
      </c>
    </row>
    <row r="109" ht="15" customHeight="1">
      <c r="A109" t="inlineStr">
        <is>
          <t>A 39025-2020</t>
        </is>
      </c>
      <c r="B109" s="1" t="n">
        <v>44062</v>
      </c>
      <c r="C109" s="1" t="n">
        <v>45182</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c r="T109">
        <f>HYPERLINK("https://klasma.github.io/Logging_UDDEVALLA/kartor/A 39025-2020.png")</f>
        <v/>
      </c>
      <c r="V109">
        <f>HYPERLINK("https://klasma.github.io/Logging_UDDEVALLA/klagomål/A 39025-2020.docx")</f>
        <v/>
      </c>
      <c r="W109">
        <f>HYPERLINK("https://klasma.github.io/Logging_UDDEVALLA/klagomålsmail/A 39025-2020.docx")</f>
        <v/>
      </c>
      <c r="X109">
        <f>HYPERLINK("https://klasma.github.io/Logging_UDDEVALLA/tillsyn/A 39025-2020.docx")</f>
        <v/>
      </c>
      <c r="Y109">
        <f>HYPERLINK("https://klasma.github.io/Logging_UDDEVALLA/tillsynsmail/A 39025-2020.docx")</f>
        <v/>
      </c>
    </row>
    <row r="110" ht="15" customHeight="1">
      <c r="A110" t="inlineStr">
        <is>
          <t>A 57107-2020</t>
        </is>
      </c>
      <c r="B110" s="1" t="n">
        <v>44139</v>
      </c>
      <c r="C110" s="1" t="n">
        <v>45182</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c r="T110">
        <f>HYPERLINK("https://klasma.github.io/Logging_STROMSTAD/kartor/A 57107-2020.png")</f>
        <v/>
      </c>
      <c r="V110">
        <f>HYPERLINK("https://klasma.github.io/Logging_STROMSTAD/klagomål/A 57107-2020.docx")</f>
        <v/>
      </c>
      <c r="W110">
        <f>HYPERLINK("https://klasma.github.io/Logging_STROMSTAD/klagomålsmail/A 57107-2020.docx")</f>
        <v/>
      </c>
      <c r="X110">
        <f>HYPERLINK("https://klasma.github.io/Logging_STROMSTAD/tillsyn/A 57107-2020.docx")</f>
        <v/>
      </c>
      <c r="Y110">
        <f>HYPERLINK("https://klasma.github.io/Logging_STROMSTAD/tillsynsmail/A 57107-2020.docx")</f>
        <v/>
      </c>
    </row>
    <row r="111" ht="15" customHeight="1">
      <c r="A111" t="inlineStr">
        <is>
          <t>A 58801-2020</t>
        </is>
      </c>
      <c r="B111" s="1" t="n">
        <v>44146</v>
      </c>
      <c r="C111" s="1" t="n">
        <v>45182</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c r="T111">
        <f>HYPERLINK("https://klasma.github.io/Logging_GOTEBORG/kartor/A 58801-2020.png")</f>
        <v/>
      </c>
      <c r="V111">
        <f>HYPERLINK("https://klasma.github.io/Logging_GOTEBORG/klagomål/A 58801-2020.docx")</f>
        <v/>
      </c>
      <c r="W111">
        <f>HYPERLINK("https://klasma.github.io/Logging_GOTEBORG/klagomålsmail/A 58801-2020.docx")</f>
        <v/>
      </c>
      <c r="X111">
        <f>HYPERLINK("https://klasma.github.io/Logging_GOTEBORG/tillsyn/A 58801-2020.docx")</f>
        <v/>
      </c>
      <c r="Y111">
        <f>HYPERLINK("https://klasma.github.io/Logging_GOTEBORG/tillsynsmail/A 58801-2020.docx")</f>
        <v/>
      </c>
    </row>
    <row r="112" ht="15" customHeight="1">
      <c r="A112" t="inlineStr">
        <is>
          <t>A 1383-2021</t>
        </is>
      </c>
      <c r="B112" s="1" t="n">
        <v>44208</v>
      </c>
      <c r="C112" s="1" t="n">
        <v>45182</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c r="T112">
        <f>HYPERLINK("https://klasma.github.io/Logging_MELLERUD/kartor/A 1383-2021.png")</f>
        <v/>
      </c>
      <c r="V112">
        <f>HYPERLINK("https://klasma.github.io/Logging_MELLERUD/klagomål/A 1383-2021.docx")</f>
        <v/>
      </c>
      <c r="W112">
        <f>HYPERLINK("https://klasma.github.io/Logging_MELLERUD/klagomålsmail/A 1383-2021.docx")</f>
        <v/>
      </c>
      <c r="X112">
        <f>HYPERLINK("https://klasma.github.io/Logging_MELLERUD/tillsyn/A 1383-2021.docx")</f>
        <v/>
      </c>
      <c r="Y112">
        <f>HYPERLINK("https://klasma.github.io/Logging_MELLERUD/tillsynsmail/A 1383-2021.docx")</f>
        <v/>
      </c>
    </row>
    <row r="113" ht="15" customHeight="1">
      <c r="A113" t="inlineStr">
        <is>
          <t>A 12626-2021</t>
        </is>
      </c>
      <c r="B113" s="1" t="n">
        <v>44270</v>
      </c>
      <c r="C113" s="1" t="n">
        <v>45182</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c r="T113">
        <f>HYPERLINK("https://klasma.github.io/Logging_VANERSBORG/kartor/A 12626-2021.png")</f>
        <v/>
      </c>
      <c r="V113">
        <f>HYPERLINK("https://klasma.github.io/Logging_VANERSBORG/klagomål/A 12626-2021.docx")</f>
        <v/>
      </c>
      <c r="W113">
        <f>HYPERLINK("https://klasma.github.io/Logging_VANERSBORG/klagomålsmail/A 12626-2021.docx")</f>
        <v/>
      </c>
      <c r="X113">
        <f>HYPERLINK("https://klasma.github.io/Logging_VANERSBORG/tillsyn/A 12626-2021.docx")</f>
        <v/>
      </c>
      <c r="Y113">
        <f>HYPERLINK("https://klasma.github.io/Logging_VANERSBORG/tillsynsmail/A 12626-2021.docx")</f>
        <v/>
      </c>
    </row>
    <row r="114" ht="15" customHeight="1">
      <c r="A114" t="inlineStr">
        <is>
          <t>A 20145-2021</t>
        </is>
      </c>
      <c r="B114" s="1" t="n">
        <v>44314</v>
      </c>
      <c r="C114" s="1" t="n">
        <v>45182</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c r="T114">
        <f>HYPERLINK("https://klasma.github.io/Logging_BORAS/kartor/A 20145-2021.png")</f>
        <v/>
      </c>
      <c r="V114">
        <f>HYPERLINK("https://klasma.github.io/Logging_BORAS/klagomål/A 20145-2021.docx")</f>
        <v/>
      </c>
      <c r="W114">
        <f>HYPERLINK("https://klasma.github.io/Logging_BORAS/klagomålsmail/A 20145-2021.docx")</f>
        <v/>
      </c>
      <c r="X114">
        <f>HYPERLINK("https://klasma.github.io/Logging_BORAS/tillsyn/A 20145-2021.docx")</f>
        <v/>
      </c>
      <c r="Y114">
        <f>HYPERLINK("https://klasma.github.io/Logging_BORAS/tillsynsmail/A 20145-2021.docx")</f>
        <v/>
      </c>
    </row>
    <row r="115" ht="15" customHeight="1">
      <c r="A115" t="inlineStr">
        <is>
          <t>A 35302-2021</t>
        </is>
      </c>
      <c r="B115" s="1" t="n">
        <v>44384</v>
      </c>
      <c r="C115" s="1" t="n">
        <v>45182</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c r="T115">
        <f>HYPERLINK("https://klasma.github.io/Logging_GRASTORP/kartor/A 35302-2021.png")</f>
        <v/>
      </c>
      <c r="V115">
        <f>HYPERLINK("https://klasma.github.io/Logging_GRASTORP/klagomål/A 35302-2021.docx")</f>
        <v/>
      </c>
      <c r="W115">
        <f>HYPERLINK("https://klasma.github.io/Logging_GRASTORP/klagomålsmail/A 35302-2021.docx")</f>
        <v/>
      </c>
      <c r="X115">
        <f>HYPERLINK("https://klasma.github.io/Logging_GRASTORP/tillsyn/A 35302-2021.docx")</f>
        <v/>
      </c>
      <c r="Y115">
        <f>HYPERLINK("https://klasma.github.io/Logging_GRASTORP/tillsynsmail/A 35302-2021.docx")</f>
        <v/>
      </c>
    </row>
    <row r="116" ht="15" customHeight="1">
      <c r="A116" t="inlineStr">
        <is>
          <t>A 42644-2021</t>
        </is>
      </c>
      <c r="B116" s="1" t="n">
        <v>44428</v>
      </c>
      <c r="C116" s="1" t="n">
        <v>45182</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c r="T116">
        <f>HYPERLINK("https://klasma.github.io/Logging_MARK/kartor/A 42644-2021.png")</f>
        <v/>
      </c>
      <c r="V116">
        <f>HYPERLINK("https://klasma.github.io/Logging_MARK/klagomål/A 42644-2021.docx")</f>
        <v/>
      </c>
      <c r="W116">
        <f>HYPERLINK("https://klasma.github.io/Logging_MARK/klagomålsmail/A 42644-2021.docx")</f>
        <v/>
      </c>
      <c r="X116">
        <f>HYPERLINK("https://klasma.github.io/Logging_MARK/tillsyn/A 42644-2021.docx")</f>
        <v/>
      </c>
      <c r="Y116">
        <f>HYPERLINK("https://klasma.github.io/Logging_MARK/tillsynsmail/A 42644-2021.docx")</f>
        <v/>
      </c>
    </row>
    <row r="117" ht="15" customHeight="1">
      <c r="A117" t="inlineStr">
        <is>
          <t>A 54706-2021</t>
        </is>
      </c>
      <c r="B117" s="1" t="n">
        <v>44473</v>
      </c>
      <c r="C117" s="1" t="n">
        <v>45182</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c r="T117">
        <f>HYPERLINK("https://klasma.github.io/Logging_MARIESTAD/kartor/A 54706-2021.png")</f>
        <v/>
      </c>
      <c r="V117">
        <f>HYPERLINK("https://klasma.github.io/Logging_MARIESTAD/klagomål/A 54706-2021.docx")</f>
        <v/>
      </c>
      <c r="W117">
        <f>HYPERLINK("https://klasma.github.io/Logging_MARIESTAD/klagomålsmail/A 54706-2021.docx")</f>
        <v/>
      </c>
      <c r="X117">
        <f>HYPERLINK("https://klasma.github.io/Logging_MARIESTAD/tillsyn/A 54706-2021.docx")</f>
        <v/>
      </c>
      <c r="Y117">
        <f>HYPERLINK("https://klasma.github.io/Logging_MARIESTAD/tillsynsmail/A 54706-2021.docx")</f>
        <v/>
      </c>
    </row>
    <row r="118" ht="15" customHeight="1">
      <c r="A118" t="inlineStr">
        <is>
          <t>A 60176-2021</t>
        </is>
      </c>
      <c r="B118" s="1" t="n">
        <v>44495</v>
      </c>
      <c r="C118" s="1" t="n">
        <v>45182</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c r="T118">
        <f>HYPERLINK("https://klasma.github.io/Logging_SKOVDE/kartor/A 60176-2021.png")</f>
        <v/>
      </c>
      <c r="V118">
        <f>HYPERLINK("https://klasma.github.io/Logging_SKOVDE/klagomål/A 60176-2021.docx")</f>
        <v/>
      </c>
      <c r="W118">
        <f>HYPERLINK("https://klasma.github.io/Logging_SKOVDE/klagomålsmail/A 60176-2021.docx")</f>
        <v/>
      </c>
      <c r="X118">
        <f>HYPERLINK("https://klasma.github.io/Logging_SKOVDE/tillsyn/A 60176-2021.docx")</f>
        <v/>
      </c>
      <c r="Y118">
        <f>HYPERLINK("https://klasma.github.io/Logging_SKOVDE/tillsynsmail/A 60176-2021.docx")</f>
        <v/>
      </c>
    </row>
    <row r="119" ht="15" customHeight="1">
      <c r="A119" t="inlineStr">
        <is>
          <t>A 72588-2021</t>
        </is>
      </c>
      <c r="B119" s="1" t="n">
        <v>44546</v>
      </c>
      <c r="C119" s="1" t="n">
        <v>45182</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c r="T119">
        <f>HYPERLINK("https://klasma.github.io/Logging_ORUST/kartor/A 72588-2021.png")</f>
        <v/>
      </c>
      <c r="U119">
        <f>HYPERLINK("https://klasma.github.io/Logging_ORUST/knärot/A 72588-2021.png")</f>
        <v/>
      </c>
      <c r="V119">
        <f>HYPERLINK("https://klasma.github.io/Logging_ORUST/klagomål/A 72588-2021.docx")</f>
        <v/>
      </c>
      <c r="W119">
        <f>HYPERLINK("https://klasma.github.io/Logging_ORUST/klagomålsmail/A 72588-2021.docx")</f>
        <v/>
      </c>
      <c r="X119">
        <f>HYPERLINK("https://klasma.github.io/Logging_ORUST/tillsyn/A 72588-2021.docx")</f>
        <v/>
      </c>
      <c r="Y119">
        <f>HYPERLINK("https://klasma.github.io/Logging_ORUST/tillsynsmail/A 72588-2021.docx")</f>
        <v/>
      </c>
    </row>
    <row r="120" ht="15" customHeight="1">
      <c r="A120" t="inlineStr">
        <is>
          <t>A 18152-2022</t>
        </is>
      </c>
      <c r="B120" s="1" t="n">
        <v>44684</v>
      </c>
      <c r="C120" s="1" t="n">
        <v>45182</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c r="T120">
        <f>HYPERLINK("https://klasma.github.io/Logging_VANERSBORG/kartor/A 18152-2022.png")</f>
        <v/>
      </c>
      <c r="V120">
        <f>HYPERLINK("https://klasma.github.io/Logging_VANERSBORG/klagomål/A 18152-2022.docx")</f>
        <v/>
      </c>
      <c r="W120">
        <f>HYPERLINK("https://klasma.github.io/Logging_VANERSBORG/klagomålsmail/A 18152-2022.docx")</f>
        <v/>
      </c>
      <c r="X120">
        <f>HYPERLINK("https://klasma.github.io/Logging_VANERSBORG/tillsyn/A 18152-2022.docx")</f>
        <v/>
      </c>
      <c r="Y120">
        <f>HYPERLINK("https://klasma.github.io/Logging_VANERSBORG/tillsynsmail/A 18152-2022.docx")</f>
        <v/>
      </c>
    </row>
    <row r="121" ht="15" customHeight="1">
      <c r="A121" t="inlineStr">
        <is>
          <t>A 25441-2022</t>
        </is>
      </c>
      <c r="B121" s="1" t="n">
        <v>44732</v>
      </c>
      <c r="C121" s="1" t="n">
        <v>45182</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c r="T121">
        <f>HYPERLINK("https://klasma.github.io/Logging_HARRYDA/kartor/A 25441-2022.png")</f>
        <v/>
      </c>
      <c r="V121">
        <f>HYPERLINK("https://klasma.github.io/Logging_HARRYDA/klagomål/A 25441-2022.docx")</f>
        <v/>
      </c>
      <c r="W121">
        <f>HYPERLINK("https://klasma.github.io/Logging_HARRYDA/klagomålsmail/A 25441-2022.docx")</f>
        <v/>
      </c>
      <c r="X121">
        <f>HYPERLINK("https://klasma.github.io/Logging_HARRYDA/tillsyn/A 25441-2022.docx")</f>
        <v/>
      </c>
      <c r="Y121">
        <f>HYPERLINK("https://klasma.github.io/Logging_HARRYDA/tillsynsmail/A 25441-2022.docx")</f>
        <v/>
      </c>
    </row>
    <row r="122" ht="15" customHeight="1">
      <c r="A122" t="inlineStr">
        <is>
          <t>A 36627-2022</t>
        </is>
      </c>
      <c r="B122" s="1" t="n">
        <v>44804</v>
      </c>
      <c r="C122" s="1" t="n">
        <v>45182</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c r="T122">
        <f>HYPERLINK("https://klasma.github.io/Logging_SKOVDE/kartor/A 36627-2022.png")</f>
        <v/>
      </c>
      <c r="V122">
        <f>HYPERLINK("https://klasma.github.io/Logging_SKOVDE/klagomål/A 36627-2022.docx")</f>
        <v/>
      </c>
      <c r="W122">
        <f>HYPERLINK("https://klasma.github.io/Logging_SKOVDE/klagomålsmail/A 36627-2022.docx")</f>
        <v/>
      </c>
      <c r="X122">
        <f>HYPERLINK("https://klasma.github.io/Logging_SKOVDE/tillsyn/A 36627-2022.docx")</f>
        <v/>
      </c>
      <c r="Y122">
        <f>HYPERLINK("https://klasma.github.io/Logging_SKOVDE/tillsynsmail/A 36627-2022.docx")</f>
        <v/>
      </c>
    </row>
    <row r="123" ht="15" customHeight="1">
      <c r="A123" t="inlineStr">
        <is>
          <t>A 41152-2022</t>
        </is>
      </c>
      <c r="B123" s="1" t="n">
        <v>44825</v>
      </c>
      <c r="C123" s="1" t="n">
        <v>45182</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c r="T123">
        <f>HYPERLINK("https://klasma.github.io/Logging_DALS-ED/kartor/A 41152-2022.png")</f>
        <v/>
      </c>
      <c r="V123">
        <f>HYPERLINK("https://klasma.github.io/Logging_DALS-ED/klagomål/A 41152-2022.docx")</f>
        <v/>
      </c>
      <c r="W123">
        <f>HYPERLINK("https://klasma.github.io/Logging_DALS-ED/klagomålsmail/A 41152-2022.docx")</f>
        <v/>
      </c>
      <c r="X123">
        <f>HYPERLINK("https://klasma.github.io/Logging_DALS-ED/tillsyn/A 41152-2022.docx")</f>
        <v/>
      </c>
      <c r="Y123">
        <f>HYPERLINK("https://klasma.github.io/Logging_DALS-ED/tillsynsmail/A 41152-2022.docx")</f>
        <v/>
      </c>
    </row>
    <row r="124" ht="15" customHeight="1">
      <c r="A124" t="inlineStr">
        <is>
          <t>A 43911-2022</t>
        </is>
      </c>
      <c r="B124" s="1" t="n">
        <v>44838</v>
      </c>
      <c r="C124" s="1" t="n">
        <v>45182</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c r="T124">
        <f>HYPERLINK("https://klasma.github.io/Logging_SVENLJUNGA/kartor/A 43911-2022.png")</f>
        <v/>
      </c>
      <c r="V124">
        <f>HYPERLINK("https://klasma.github.io/Logging_SVENLJUNGA/klagomål/A 43911-2022.docx")</f>
        <v/>
      </c>
      <c r="W124">
        <f>HYPERLINK("https://klasma.github.io/Logging_SVENLJUNGA/klagomålsmail/A 43911-2022.docx")</f>
        <v/>
      </c>
      <c r="X124">
        <f>HYPERLINK("https://klasma.github.io/Logging_SVENLJUNGA/tillsyn/A 43911-2022.docx")</f>
        <v/>
      </c>
      <c r="Y124">
        <f>HYPERLINK("https://klasma.github.io/Logging_SVENLJUNGA/tillsynsmail/A 43911-2022.docx")</f>
        <v/>
      </c>
    </row>
    <row r="125" ht="15" customHeight="1">
      <c r="A125" t="inlineStr">
        <is>
          <t>A 47947-2022</t>
        </is>
      </c>
      <c r="B125" s="1" t="n">
        <v>44855</v>
      </c>
      <c r="C125" s="1" t="n">
        <v>45182</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c r="T125">
        <f>HYPERLINK("https://klasma.github.io/Logging_ALINGSAS/kartor/A 47947-2022.png")</f>
        <v/>
      </c>
      <c r="V125">
        <f>HYPERLINK("https://klasma.github.io/Logging_ALINGSAS/klagomål/A 47947-2022.docx")</f>
        <v/>
      </c>
      <c r="W125">
        <f>HYPERLINK("https://klasma.github.io/Logging_ALINGSAS/klagomålsmail/A 47947-2022.docx")</f>
        <v/>
      </c>
      <c r="X125">
        <f>HYPERLINK("https://klasma.github.io/Logging_ALINGSAS/tillsyn/A 47947-2022.docx")</f>
        <v/>
      </c>
      <c r="Y125">
        <f>HYPERLINK("https://klasma.github.io/Logging_ALINGSAS/tillsynsmail/A 47947-2022.docx")</f>
        <v/>
      </c>
    </row>
    <row r="126" ht="15" customHeight="1">
      <c r="A126" t="inlineStr">
        <is>
          <t>A 51852-2022</t>
        </is>
      </c>
      <c r="B126" s="1" t="n">
        <v>44872</v>
      </c>
      <c r="C126" s="1" t="n">
        <v>45182</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c r="T126">
        <f>HYPERLINK("https://klasma.github.io/Logging_TRANEMO/kartor/A 51852-2022.png")</f>
        <v/>
      </c>
      <c r="V126">
        <f>HYPERLINK("https://klasma.github.io/Logging_TRANEMO/klagomål/A 51852-2022.docx")</f>
        <v/>
      </c>
      <c r="W126">
        <f>HYPERLINK("https://klasma.github.io/Logging_TRANEMO/klagomålsmail/A 51852-2022.docx")</f>
        <v/>
      </c>
      <c r="X126">
        <f>HYPERLINK("https://klasma.github.io/Logging_TRANEMO/tillsyn/A 51852-2022.docx")</f>
        <v/>
      </c>
      <c r="Y126">
        <f>HYPERLINK("https://klasma.github.io/Logging_TRANEMO/tillsynsmail/A 51852-2022.docx")</f>
        <v/>
      </c>
    </row>
    <row r="127" ht="15" customHeight="1">
      <c r="A127" t="inlineStr">
        <is>
          <t>A 56381-2022</t>
        </is>
      </c>
      <c r="B127" s="1" t="n">
        <v>44890</v>
      </c>
      <c r="C127" s="1" t="n">
        <v>45182</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c r="T127">
        <f>HYPERLINK("https://klasma.github.io/Logging_FALKOPING/kartor/A 56381-2022.png")</f>
        <v/>
      </c>
      <c r="V127">
        <f>HYPERLINK("https://klasma.github.io/Logging_FALKOPING/klagomål/A 56381-2022.docx")</f>
        <v/>
      </c>
      <c r="W127">
        <f>HYPERLINK("https://klasma.github.io/Logging_FALKOPING/klagomålsmail/A 56381-2022.docx")</f>
        <v/>
      </c>
      <c r="X127">
        <f>HYPERLINK("https://klasma.github.io/Logging_FALKOPING/tillsyn/A 56381-2022.docx")</f>
        <v/>
      </c>
      <c r="Y127">
        <f>HYPERLINK("https://klasma.github.io/Logging_FALKOPING/tillsynsmail/A 56381-2022.docx")</f>
        <v/>
      </c>
    </row>
    <row r="128" ht="15" customHeight="1">
      <c r="A128" t="inlineStr">
        <is>
          <t>A 62104-2022</t>
        </is>
      </c>
      <c r="B128" s="1" t="n">
        <v>44920</v>
      </c>
      <c r="C128" s="1" t="n">
        <v>45182</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c r="T128">
        <f>HYPERLINK("https://klasma.github.io/Logging_MUNKEDAL/kartor/A 62104-2022.png")</f>
        <v/>
      </c>
      <c r="V128">
        <f>HYPERLINK("https://klasma.github.io/Logging_MUNKEDAL/klagomål/A 62104-2022.docx")</f>
        <v/>
      </c>
      <c r="W128">
        <f>HYPERLINK("https://klasma.github.io/Logging_MUNKEDAL/klagomålsmail/A 62104-2022.docx")</f>
        <v/>
      </c>
      <c r="X128">
        <f>HYPERLINK("https://klasma.github.io/Logging_MUNKEDAL/tillsyn/A 62104-2022.docx")</f>
        <v/>
      </c>
      <c r="Y128">
        <f>HYPERLINK("https://klasma.github.io/Logging_MUNKEDAL/tillsynsmail/A 62104-2022.docx")</f>
        <v/>
      </c>
    </row>
    <row r="129" ht="15" customHeight="1">
      <c r="A129" t="inlineStr">
        <is>
          <t>A 14805-2023</t>
        </is>
      </c>
      <c r="B129" s="1" t="n">
        <v>45014</v>
      </c>
      <c r="C129" s="1" t="n">
        <v>45182</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c r="T129">
        <f>HYPERLINK("https://klasma.github.io/Logging_ORUST/kartor/A 14805-2023.png")</f>
        <v/>
      </c>
      <c r="U129">
        <f>HYPERLINK("https://klasma.github.io/Logging_ORUST/knärot/A 14805-2023.png")</f>
        <v/>
      </c>
      <c r="V129">
        <f>HYPERLINK("https://klasma.github.io/Logging_ORUST/klagomål/A 14805-2023.docx")</f>
        <v/>
      </c>
      <c r="W129">
        <f>HYPERLINK("https://klasma.github.io/Logging_ORUST/klagomålsmail/A 14805-2023.docx")</f>
        <v/>
      </c>
      <c r="X129">
        <f>HYPERLINK("https://klasma.github.io/Logging_ORUST/tillsyn/A 14805-2023.docx")</f>
        <v/>
      </c>
      <c r="Y129">
        <f>HYPERLINK("https://klasma.github.io/Logging_ORUST/tillsynsmail/A 14805-2023.docx")</f>
        <v/>
      </c>
    </row>
    <row r="130" ht="15" customHeight="1">
      <c r="A130" t="inlineStr">
        <is>
          <t>A 29908-2023</t>
        </is>
      </c>
      <c r="B130" s="1" t="n">
        <v>45099</v>
      </c>
      <c r="C130" s="1" t="n">
        <v>45182</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c r="T130">
        <f>HYPERLINK("https://klasma.github.io/Logging_BORAS/kartor/A 29908-2023.png")</f>
        <v/>
      </c>
      <c r="V130">
        <f>HYPERLINK("https://klasma.github.io/Logging_BORAS/klagomål/A 29908-2023.docx")</f>
        <v/>
      </c>
      <c r="W130">
        <f>HYPERLINK("https://klasma.github.io/Logging_BORAS/klagomålsmail/A 29908-2023.docx")</f>
        <v/>
      </c>
      <c r="X130">
        <f>HYPERLINK("https://klasma.github.io/Logging_BORAS/tillsyn/A 29908-2023.docx")</f>
        <v/>
      </c>
      <c r="Y130">
        <f>HYPERLINK("https://klasma.github.io/Logging_BORAS/tillsynsmail/A 29908-2023.docx")</f>
        <v/>
      </c>
    </row>
    <row r="131" ht="15" customHeight="1">
      <c r="A131" t="inlineStr">
        <is>
          <t>A 38501-2018</t>
        </is>
      </c>
      <c r="B131" s="1" t="n">
        <v>43339</v>
      </c>
      <c r="C131" s="1" t="n">
        <v>45182</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c r="T131">
        <f>HYPERLINK("https://klasma.github.io/Logging_TRANEMO/kartor/A 38501-2018.png")</f>
        <v/>
      </c>
      <c r="V131">
        <f>HYPERLINK("https://klasma.github.io/Logging_TRANEMO/klagomål/A 38501-2018.docx")</f>
        <v/>
      </c>
      <c r="W131">
        <f>HYPERLINK("https://klasma.github.io/Logging_TRANEMO/klagomålsmail/A 38501-2018.docx")</f>
        <v/>
      </c>
      <c r="X131">
        <f>HYPERLINK("https://klasma.github.io/Logging_TRANEMO/tillsyn/A 38501-2018.docx")</f>
        <v/>
      </c>
      <c r="Y131">
        <f>HYPERLINK("https://klasma.github.io/Logging_TRANEMO/tillsynsmail/A 38501-2018.docx")</f>
        <v/>
      </c>
    </row>
    <row r="132" ht="15" customHeight="1">
      <c r="A132" t="inlineStr">
        <is>
          <t>A 55448-2018</t>
        </is>
      </c>
      <c r="B132" s="1" t="n">
        <v>43397</v>
      </c>
      <c r="C132" s="1" t="n">
        <v>45182</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c r="T132">
        <f>HYPERLINK("https://klasma.github.io/Logging_KUNGALV/kartor/A 55448-2018.png")</f>
        <v/>
      </c>
      <c r="V132">
        <f>HYPERLINK("https://klasma.github.io/Logging_KUNGALV/klagomål/A 55448-2018.docx")</f>
        <v/>
      </c>
      <c r="W132">
        <f>HYPERLINK("https://klasma.github.io/Logging_KUNGALV/klagomålsmail/A 55448-2018.docx")</f>
        <v/>
      </c>
      <c r="X132">
        <f>HYPERLINK("https://klasma.github.io/Logging_KUNGALV/tillsyn/A 55448-2018.docx")</f>
        <v/>
      </c>
      <c r="Y132">
        <f>HYPERLINK("https://klasma.github.io/Logging_KUNGALV/tillsynsmail/A 55448-2018.docx")</f>
        <v/>
      </c>
    </row>
    <row r="133" ht="15" customHeight="1">
      <c r="A133" t="inlineStr">
        <is>
          <t>A 62597-2018</t>
        </is>
      </c>
      <c r="B133" s="1" t="n">
        <v>43426</v>
      </c>
      <c r="C133" s="1" t="n">
        <v>45182</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c r="T133">
        <f>HYPERLINK("https://klasma.github.io/Logging_STENUNGSUND/kartor/A 62597-2018.png")</f>
        <v/>
      </c>
      <c r="V133">
        <f>HYPERLINK("https://klasma.github.io/Logging_STENUNGSUND/klagomål/A 62597-2018.docx")</f>
        <v/>
      </c>
      <c r="W133">
        <f>HYPERLINK("https://klasma.github.io/Logging_STENUNGSUND/klagomålsmail/A 62597-2018.docx")</f>
        <v/>
      </c>
      <c r="X133">
        <f>HYPERLINK("https://klasma.github.io/Logging_STENUNGSUND/tillsyn/A 62597-2018.docx")</f>
        <v/>
      </c>
      <c r="Y133">
        <f>HYPERLINK("https://klasma.github.io/Logging_STENUNGSUND/tillsynsmail/A 62597-2018.docx")</f>
        <v/>
      </c>
    </row>
    <row r="134" ht="15" customHeight="1">
      <c r="A134" t="inlineStr">
        <is>
          <t>A 5968-2019</t>
        </is>
      </c>
      <c r="B134" s="1" t="n">
        <v>43493</v>
      </c>
      <c r="C134" s="1" t="n">
        <v>45182</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c r="T134">
        <f>HYPERLINK("https://klasma.github.io/Logging_ORUST/kartor/A 5968-2019.png")</f>
        <v/>
      </c>
      <c r="U134">
        <f>HYPERLINK("https://klasma.github.io/Logging_ORUST/knärot/A 5968-2019.png")</f>
        <v/>
      </c>
      <c r="V134">
        <f>HYPERLINK("https://klasma.github.io/Logging_ORUST/klagomål/A 5968-2019.docx")</f>
        <v/>
      </c>
      <c r="W134">
        <f>HYPERLINK("https://klasma.github.io/Logging_ORUST/klagomålsmail/A 5968-2019.docx")</f>
        <v/>
      </c>
      <c r="X134">
        <f>HYPERLINK("https://klasma.github.io/Logging_ORUST/tillsyn/A 5968-2019.docx")</f>
        <v/>
      </c>
      <c r="Y134">
        <f>HYPERLINK("https://klasma.github.io/Logging_ORUST/tillsynsmail/A 5968-2019.docx")</f>
        <v/>
      </c>
    </row>
    <row r="135" ht="15" customHeight="1">
      <c r="A135" t="inlineStr">
        <is>
          <t>A 10583-2019</t>
        </is>
      </c>
      <c r="B135" s="1" t="n">
        <v>43514</v>
      </c>
      <c r="C135" s="1" t="n">
        <v>45182</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c r="T135">
        <f>HYPERLINK("https://klasma.github.io/Logging_ORUST/kartor/A 10583-2019.png")</f>
        <v/>
      </c>
      <c r="V135">
        <f>HYPERLINK("https://klasma.github.io/Logging_ORUST/klagomål/A 10583-2019.docx")</f>
        <v/>
      </c>
      <c r="W135">
        <f>HYPERLINK("https://klasma.github.io/Logging_ORUST/klagomålsmail/A 10583-2019.docx")</f>
        <v/>
      </c>
      <c r="X135">
        <f>HYPERLINK("https://klasma.github.io/Logging_ORUST/tillsyn/A 10583-2019.docx")</f>
        <v/>
      </c>
      <c r="Y135">
        <f>HYPERLINK("https://klasma.github.io/Logging_ORUST/tillsynsmail/A 10583-2019.docx")</f>
        <v/>
      </c>
    </row>
    <row r="136" ht="15" customHeight="1">
      <c r="A136" t="inlineStr">
        <is>
          <t>A 10931-2019</t>
        </is>
      </c>
      <c r="B136" s="1" t="n">
        <v>43515</v>
      </c>
      <c r="C136" s="1" t="n">
        <v>45182</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c r="T136">
        <f>HYPERLINK("https://klasma.github.io/Logging_TRANEMO/kartor/A 10931-2019.png")</f>
        <v/>
      </c>
      <c r="V136">
        <f>HYPERLINK("https://klasma.github.io/Logging_TRANEMO/klagomål/A 10931-2019.docx")</f>
        <v/>
      </c>
      <c r="W136">
        <f>HYPERLINK("https://klasma.github.io/Logging_TRANEMO/klagomålsmail/A 10931-2019.docx")</f>
        <v/>
      </c>
      <c r="X136">
        <f>HYPERLINK("https://klasma.github.io/Logging_TRANEMO/tillsyn/A 10931-2019.docx")</f>
        <v/>
      </c>
      <c r="Y136">
        <f>HYPERLINK("https://klasma.github.io/Logging_TRANEMO/tillsynsmail/A 10931-2019.docx")</f>
        <v/>
      </c>
    </row>
    <row r="137" ht="15" customHeight="1">
      <c r="A137" t="inlineStr">
        <is>
          <t>A 12217-2019</t>
        </is>
      </c>
      <c r="B137" s="1" t="n">
        <v>43522</v>
      </c>
      <c r="C137" s="1" t="n">
        <v>45182</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c r="T137">
        <f>HYPERLINK("https://klasma.github.io/Logging_BORAS/kartor/A 12217-2019.png")</f>
        <v/>
      </c>
      <c r="V137">
        <f>HYPERLINK("https://klasma.github.io/Logging_BORAS/klagomål/A 12217-2019.docx")</f>
        <v/>
      </c>
      <c r="W137">
        <f>HYPERLINK("https://klasma.github.io/Logging_BORAS/klagomålsmail/A 12217-2019.docx")</f>
        <v/>
      </c>
      <c r="X137">
        <f>HYPERLINK("https://klasma.github.io/Logging_BORAS/tillsyn/A 12217-2019.docx")</f>
        <v/>
      </c>
      <c r="Y137">
        <f>HYPERLINK("https://klasma.github.io/Logging_BORAS/tillsynsmail/A 12217-2019.docx")</f>
        <v/>
      </c>
    </row>
    <row r="138" ht="15" customHeight="1">
      <c r="A138" t="inlineStr">
        <is>
          <t>A 17141-2019</t>
        </is>
      </c>
      <c r="B138" s="1" t="n">
        <v>43549</v>
      </c>
      <c r="C138" s="1" t="n">
        <v>45182</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c r="T138">
        <f>HYPERLINK("https://klasma.github.io/Logging_LYSEKIL/kartor/A 17141-2019.png")</f>
        <v/>
      </c>
      <c r="V138">
        <f>HYPERLINK("https://klasma.github.io/Logging_LYSEKIL/klagomål/A 17141-2019.docx")</f>
        <v/>
      </c>
      <c r="W138">
        <f>HYPERLINK("https://klasma.github.io/Logging_LYSEKIL/klagomålsmail/A 17141-2019.docx")</f>
        <v/>
      </c>
      <c r="X138">
        <f>HYPERLINK("https://klasma.github.io/Logging_LYSEKIL/tillsyn/A 17141-2019.docx")</f>
        <v/>
      </c>
      <c r="Y138">
        <f>HYPERLINK("https://klasma.github.io/Logging_LYSEKIL/tillsynsmail/A 17141-2019.docx")</f>
        <v/>
      </c>
    </row>
    <row r="139" ht="15" customHeight="1">
      <c r="A139" t="inlineStr">
        <is>
          <t>A 24713-2019</t>
        </is>
      </c>
      <c r="B139" s="1" t="n">
        <v>43601</v>
      </c>
      <c r="C139" s="1" t="n">
        <v>45182</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c r="T139">
        <f>HYPERLINK("https://klasma.github.io/Logging_LERUM/kartor/A 24713-2019.png")</f>
        <v/>
      </c>
      <c r="V139">
        <f>HYPERLINK("https://klasma.github.io/Logging_LERUM/klagomål/A 24713-2019.docx")</f>
        <v/>
      </c>
      <c r="W139">
        <f>HYPERLINK("https://klasma.github.io/Logging_LERUM/klagomålsmail/A 24713-2019.docx")</f>
        <v/>
      </c>
      <c r="X139">
        <f>HYPERLINK("https://klasma.github.io/Logging_LERUM/tillsyn/A 24713-2019.docx")</f>
        <v/>
      </c>
      <c r="Y139">
        <f>HYPERLINK("https://klasma.github.io/Logging_LERUM/tillsynsmail/A 24713-2019.docx")</f>
        <v/>
      </c>
    </row>
    <row r="140" ht="15" customHeight="1">
      <c r="A140" t="inlineStr">
        <is>
          <t>A 25432-2019</t>
        </is>
      </c>
      <c r="B140" s="1" t="n">
        <v>43606</v>
      </c>
      <c r="C140" s="1" t="n">
        <v>45182</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c r="T140">
        <f>HYPERLINK("https://klasma.github.io/Logging_ALE/kartor/A 25432-2019.png")</f>
        <v/>
      </c>
      <c r="V140">
        <f>HYPERLINK("https://klasma.github.io/Logging_ALE/klagomål/A 25432-2019.docx")</f>
        <v/>
      </c>
      <c r="W140">
        <f>HYPERLINK("https://klasma.github.io/Logging_ALE/klagomålsmail/A 25432-2019.docx")</f>
        <v/>
      </c>
      <c r="X140">
        <f>HYPERLINK("https://klasma.github.io/Logging_ALE/tillsyn/A 25432-2019.docx")</f>
        <v/>
      </c>
      <c r="Y140">
        <f>HYPERLINK("https://klasma.github.io/Logging_ALE/tillsynsmail/A 25432-2019.docx")</f>
        <v/>
      </c>
    </row>
    <row r="141" ht="15" customHeight="1">
      <c r="A141" t="inlineStr">
        <is>
          <t>A 26114-2019</t>
        </is>
      </c>
      <c r="B141" s="1" t="n">
        <v>43609</v>
      </c>
      <c r="C141" s="1" t="n">
        <v>45182</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c r="T141">
        <f>HYPERLINK("https://klasma.github.io/Logging_TJORN/kartor/A 26114-2019.png")</f>
        <v/>
      </c>
      <c r="V141">
        <f>HYPERLINK("https://klasma.github.io/Logging_TJORN/klagomål/A 26114-2019.docx")</f>
        <v/>
      </c>
      <c r="W141">
        <f>HYPERLINK("https://klasma.github.io/Logging_TJORN/klagomålsmail/A 26114-2019.docx")</f>
        <v/>
      </c>
      <c r="X141">
        <f>HYPERLINK("https://klasma.github.io/Logging_TJORN/tillsyn/A 26114-2019.docx")</f>
        <v/>
      </c>
      <c r="Y141">
        <f>HYPERLINK("https://klasma.github.io/Logging_TJORN/tillsynsmail/A 26114-2019.docx")</f>
        <v/>
      </c>
    </row>
    <row r="142" ht="15" customHeight="1">
      <c r="A142" t="inlineStr">
        <is>
          <t>A 28477-2019</t>
        </is>
      </c>
      <c r="B142" s="1" t="n">
        <v>43626</v>
      </c>
      <c r="C142" s="1" t="n">
        <v>45182</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c r="T142">
        <f>HYPERLINK("https://klasma.github.io/Logging_SKOVDE/kartor/A 28477-2019.png")</f>
        <v/>
      </c>
      <c r="V142">
        <f>HYPERLINK("https://klasma.github.io/Logging_SKOVDE/klagomål/A 28477-2019.docx")</f>
        <v/>
      </c>
      <c r="W142">
        <f>HYPERLINK("https://klasma.github.io/Logging_SKOVDE/klagomålsmail/A 28477-2019.docx")</f>
        <v/>
      </c>
      <c r="X142">
        <f>HYPERLINK("https://klasma.github.io/Logging_SKOVDE/tillsyn/A 28477-2019.docx")</f>
        <v/>
      </c>
      <c r="Y142">
        <f>HYPERLINK("https://klasma.github.io/Logging_SKOVDE/tillsynsmail/A 28477-2019.docx")</f>
        <v/>
      </c>
    </row>
    <row r="143" ht="15" customHeight="1">
      <c r="A143" t="inlineStr">
        <is>
          <t>A 29573-2019</t>
        </is>
      </c>
      <c r="B143" s="1" t="n">
        <v>43628</v>
      </c>
      <c r="C143" s="1" t="n">
        <v>45182</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c r="T143">
        <f>HYPERLINK("https://klasma.github.io/Logging_BENGTSFORS/kartor/A 29573-2019.png")</f>
        <v/>
      </c>
      <c r="V143">
        <f>HYPERLINK("https://klasma.github.io/Logging_BENGTSFORS/klagomål/A 29573-2019.docx")</f>
        <v/>
      </c>
      <c r="W143">
        <f>HYPERLINK("https://klasma.github.io/Logging_BENGTSFORS/klagomålsmail/A 29573-2019.docx")</f>
        <v/>
      </c>
      <c r="X143">
        <f>HYPERLINK("https://klasma.github.io/Logging_BENGTSFORS/tillsyn/A 29573-2019.docx")</f>
        <v/>
      </c>
      <c r="Y143">
        <f>HYPERLINK("https://klasma.github.io/Logging_BENGTSFORS/tillsynsmail/A 29573-2019.docx")</f>
        <v/>
      </c>
    </row>
    <row r="144" ht="15" customHeight="1">
      <c r="A144" t="inlineStr">
        <is>
          <t>A 31881-2019</t>
        </is>
      </c>
      <c r="B144" s="1" t="n">
        <v>43641</v>
      </c>
      <c r="C144" s="1" t="n">
        <v>45182</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c r="T144">
        <f>HYPERLINK("https://klasma.github.io/Logging_BORAS/kartor/A 31881-2019.png")</f>
        <v/>
      </c>
      <c r="V144">
        <f>HYPERLINK("https://klasma.github.io/Logging_BORAS/klagomål/A 31881-2019.docx")</f>
        <v/>
      </c>
      <c r="W144">
        <f>HYPERLINK("https://klasma.github.io/Logging_BORAS/klagomålsmail/A 31881-2019.docx")</f>
        <v/>
      </c>
      <c r="X144">
        <f>HYPERLINK("https://klasma.github.io/Logging_BORAS/tillsyn/A 31881-2019.docx")</f>
        <v/>
      </c>
      <c r="Y144">
        <f>HYPERLINK("https://klasma.github.io/Logging_BORAS/tillsynsmail/A 31881-2019.docx")</f>
        <v/>
      </c>
    </row>
    <row r="145" ht="15" customHeight="1">
      <c r="A145" t="inlineStr">
        <is>
          <t>A 34860-2019</t>
        </is>
      </c>
      <c r="B145" s="1" t="n">
        <v>43658</v>
      </c>
      <c r="C145" s="1" t="n">
        <v>45182</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c r="T145">
        <f>HYPERLINK("https://klasma.github.io/Logging_STROMSTAD/kartor/A 34860-2019.png")</f>
        <v/>
      </c>
      <c r="V145">
        <f>HYPERLINK("https://klasma.github.io/Logging_STROMSTAD/klagomål/A 34860-2019.docx")</f>
        <v/>
      </c>
      <c r="W145">
        <f>HYPERLINK("https://klasma.github.io/Logging_STROMSTAD/klagomålsmail/A 34860-2019.docx")</f>
        <v/>
      </c>
      <c r="X145">
        <f>HYPERLINK("https://klasma.github.io/Logging_STROMSTAD/tillsyn/A 34860-2019.docx")</f>
        <v/>
      </c>
      <c r="Y145">
        <f>HYPERLINK("https://klasma.github.io/Logging_STROMSTAD/tillsynsmail/A 34860-2019.docx")</f>
        <v/>
      </c>
    </row>
    <row r="146" ht="15" customHeight="1">
      <c r="A146" t="inlineStr">
        <is>
          <t>A 38382-2019</t>
        </is>
      </c>
      <c r="B146" s="1" t="n">
        <v>43685</v>
      </c>
      <c r="C146" s="1" t="n">
        <v>45182</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c r="T146">
        <f>HYPERLINK("https://klasma.github.io/Logging_ALE/kartor/A 38382-2019.png")</f>
        <v/>
      </c>
      <c r="V146">
        <f>HYPERLINK("https://klasma.github.io/Logging_ALE/klagomål/A 38382-2019.docx")</f>
        <v/>
      </c>
      <c r="W146">
        <f>HYPERLINK("https://klasma.github.io/Logging_ALE/klagomålsmail/A 38382-2019.docx")</f>
        <v/>
      </c>
      <c r="X146">
        <f>HYPERLINK("https://klasma.github.io/Logging_ALE/tillsyn/A 38382-2019.docx")</f>
        <v/>
      </c>
      <c r="Y146">
        <f>HYPERLINK("https://klasma.github.io/Logging_ALE/tillsynsmail/A 38382-2019.docx")</f>
        <v/>
      </c>
    </row>
    <row r="147" ht="15" customHeight="1">
      <c r="A147" t="inlineStr">
        <is>
          <t>A 41077-2019</t>
        </is>
      </c>
      <c r="B147" s="1" t="n">
        <v>43695</v>
      </c>
      <c r="C147" s="1" t="n">
        <v>45182</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c r="T147">
        <f>HYPERLINK("https://klasma.github.io/Logging_MUNKEDAL/kartor/A 41077-2019.png")</f>
        <v/>
      </c>
      <c r="V147">
        <f>HYPERLINK("https://klasma.github.io/Logging_MUNKEDAL/klagomål/A 41077-2019.docx")</f>
        <v/>
      </c>
      <c r="W147">
        <f>HYPERLINK("https://klasma.github.io/Logging_MUNKEDAL/klagomålsmail/A 41077-2019.docx")</f>
        <v/>
      </c>
      <c r="X147">
        <f>HYPERLINK("https://klasma.github.io/Logging_MUNKEDAL/tillsyn/A 41077-2019.docx")</f>
        <v/>
      </c>
      <c r="Y147">
        <f>HYPERLINK("https://klasma.github.io/Logging_MUNKEDAL/tillsynsmail/A 41077-2019.docx")</f>
        <v/>
      </c>
    </row>
    <row r="148" ht="15" customHeight="1">
      <c r="A148" t="inlineStr">
        <is>
          <t>A 43855-2019</t>
        </is>
      </c>
      <c r="B148" s="1" t="n">
        <v>43703</v>
      </c>
      <c r="C148" s="1" t="n">
        <v>45182</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c r="T148">
        <f>HYPERLINK("https://klasma.github.io/Logging_MELLERUD/kartor/A 43855-2019.png")</f>
        <v/>
      </c>
      <c r="V148">
        <f>HYPERLINK("https://klasma.github.io/Logging_MELLERUD/klagomål/A 43855-2019.docx")</f>
        <v/>
      </c>
      <c r="W148">
        <f>HYPERLINK("https://klasma.github.io/Logging_MELLERUD/klagomålsmail/A 43855-2019.docx")</f>
        <v/>
      </c>
      <c r="X148">
        <f>HYPERLINK("https://klasma.github.io/Logging_MELLERUD/tillsyn/A 43855-2019.docx")</f>
        <v/>
      </c>
      <c r="Y148">
        <f>HYPERLINK("https://klasma.github.io/Logging_MELLERUD/tillsynsmail/A 43855-2019.docx")</f>
        <v/>
      </c>
    </row>
    <row r="149" ht="15" customHeight="1">
      <c r="A149" t="inlineStr">
        <is>
          <t>A 46759-2019</t>
        </is>
      </c>
      <c r="B149" s="1" t="n">
        <v>43718</v>
      </c>
      <c r="C149" s="1" t="n">
        <v>45182</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c r="T149">
        <f>HYPERLINK("https://klasma.github.io/Logging_GULLSPANG/kartor/A 46759-2019.png")</f>
        <v/>
      </c>
      <c r="V149">
        <f>HYPERLINK("https://klasma.github.io/Logging_GULLSPANG/klagomål/A 46759-2019.docx")</f>
        <v/>
      </c>
      <c r="W149">
        <f>HYPERLINK("https://klasma.github.io/Logging_GULLSPANG/klagomålsmail/A 46759-2019.docx")</f>
        <v/>
      </c>
      <c r="X149">
        <f>HYPERLINK("https://klasma.github.io/Logging_GULLSPANG/tillsyn/A 46759-2019.docx")</f>
        <v/>
      </c>
      <c r="Y149">
        <f>HYPERLINK("https://klasma.github.io/Logging_GULLSPANG/tillsynsmail/A 46759-2019.docx")</f>
        <v/>
      </c>
    </row>
    <row r="150" ht="15" customHeight="1">
      <c r="A150" t="inlineStr">
        <is>
          <t>A 46463-2019</t>
        </is>
      </c>
      <c r="B150" s="1" t="n">
        <v>43719</v>
      </c>
      <c r="C150" s="1" t="n">
        <v>45182</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c r="T150">
        <f>HYPERLINK("https://klasma.github.io/Logging_MOLNDAL/kartor/A 46463-2019.png")</f>
        <v/>
      </c>
      <c r="V150">
        <f>HYPERLINK("https://klasma.github.io/Logging_MOLNDAL/klagomål/A 46463-2019.docx")</f>
        <v/>
      </c>
      <c r="W150">
        <f>HYPERLINK("https://klasma.github.io/Logging_MOLNDAL/klagomålsmail/A 46463-2019.docx")</f>
        <v/>
      </c>
      <c r="X150">
        <f>HYPERLINK("https://klasma.github.io/Logging_MOLNDAL/tillsyn/A 46463-2019.docx")</f>
        <v/>
      </c>
      <c r="Y150">
        <f>HYPERLINK("https://klasma.github.io/Logging_MOLNDAL/tillsynsmail/A 46463-2019.docx")</f>
        <v/>
      </c>
    </row>
    <row r="151" ht="15" customHeight="1">
      <c r="A151" t="inlineStr">
        <is>
          <t>A 50910-2019</t>
        </is>
      </c>
      <c r="B151" s="1" t="n">
        <v>43738</v>
      </c>
      <c r="C151" s="1" t="n">
        <v>45182</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c r="T151">
        <f>HYPERLINK("https://klasma.github.io/Logging_ALINGSAS/kartor/A 50910-2019.png")</f>
        <v/>
      </c>
      <c r="V151">
        <f>HYPERLINK("https://klasma.github.io/Logging_ALINGSAS/klagomål/A 50910-2019.docx")</f>
        <v/>
      </c>
      <c r="W151">
        <f>HYPERLINK("https://klasma.github.io/Logging_ALINGSAS/klagomålsmail/A 50910-2019.docx")</f>
        <v/>
      </c>
      <c r="X151">
        <f>HYPERLINK("https://klasma.github.io/Logging_ALINGSAS/tillsyn/A 50910-2019.docx")</f>
        <v/>
      </c>
      <c r="Y151">
        <f>HYPERLINK("https://klasma.github.io/Logging_ALINGSAS/tillsynsmail/A 50910-2019.docx")</f>
        <v/>
      </c>
    </row>
    <row r="152" ht="15" customHeight="1">
      <c r="A152" t="inlineStr">
        <is>
          <t>A 58206-2019</t>
        </is>
      </c>
      <c r="B152" s="1" t="n">
        <v>43770</v>
      </c>
      <c r="C152" s="1" t="n">
        <v>45182</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c r="T152">
        <f>HYPERLINK("https://klasma.github.io/Logging_ALINGSAS/kartor/A 58206-2019.png")</f>
        <v/>
      </c>
      <c r="V152">
        <f>HYPERLINK("https://klasma.github.io/Logging_ALINGSAS/klagomål/A 58206-2019.docx")</f>
        <v/>
      </c>
      <c r="W152">
        <f>HYPERLINK("https://klasma.github.io/Logging_ALINGSAS/klagomålsmail/A 58206-2019.docx")</f>
        <v/>
      </c>
      <c r="X152">
        <f>HYPERLINK("https://klasma.github.io/Logging_ALINGSAS/tillsyn/A 58206-2019.docx")</f>
        <v/>
      </c>
      <c r="Y152">
        <f>HYPERLINK("https://klasma.github.io/Logging_ALINGSAS/tillsynsmail/A 58206-2019.docx")</f>
        <v/>
      </c>
    </row>
    <row r="153" ht="15" customHeight="1">
      <c r="A153" t="inlineStr">
        <is>
          <t>A 61052-2019</t>
        </is>
      </c>
      <c r="B153" s="1" t="n">
        <v>43782</v>
      </c>
      <c r="C153" s="1" t="n">
        <v>45182</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c r="T153">
        <f>HYPERLINK("https://klasma.github.io/Logging_BORAS/kartor/A 61052-2019.png")</f>
        <v/>
      </c>
      <c r="V153">
        <f>HYPERLINK("https://klasma.github.io/Logging_BORAS/klagomål/A 61052-2019.docx")</f>
        <v/>
      </c>
      <c r="W153">
        <f>HYPERLINK("https://klasma.github.io/Logging_BORAS/klagomålsmail/A 61052-2019.docx")</f>
        <v/>
      </c>
      <c r="X153">
        <f>HYPERLINK("https://klasma.github.io/Logging_BORAS/tillsyn/A 61052-2019.docx")</f>
        <v/>
      </c>
      <c r="Y153">
        <f>HYPERLINK("https://klasma.github.io/Logging_BORAS/tillsynsmail/A 61052-2019.docx")</f>
        <v/>
      </c>
    </row>
    <row r="154" ht="15" customHeight="1">
      <c r="A154" t="inlineStr">
        <is>
          <t>A 65336-2019</t>
        </is>
      </c>
      <c r="B154" s="1" t="n">
        <v>43802</v>
      </c>
      <c r="C154" s="1" t="n">
        <v>45182</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c r="T154">
        <f>HYPERLINK("https://klasma.github.io/Logging_ULRICEHAMN/kartor/A 65336-2019.png")</f>
        <v/>
      </c>
      <c r="V154">
        <f>HYPERLINK("https://klasma.github.io/Logging_ULRICEHAMN/klagomål/A 65336-2019.docx")</f>
        <v/>
      </c>
      <c r="W154">
        <f>HYPERLINK("https://klasma.github.io/Logging_ULRICEHAMN/klagomålsmail/A 65336-2019.docx")</f>
        <v/>
      </c>
      <c r="X154">
        <f>HYPERLINK("https://klasma.github.io/Logging_ULRICEHAMN/tillsyn/A 65336-2019.docx")</f>
        <v/>
      </c>
      <c r="Y154">
        <f>HYPERLINK("https://klasma.github.io/Logging_ULRICEHAMN/tillsynsmail/A 65336-2019.docx")</f>
        <v/>
      </c>
    </row>
    <row r="155" ht="15" customHeight="1">
      <c r="A155" t="inlineStr">
        <is>
          <t>A 1486-2020</t>
        </is>
      </c>
      <c r="B155" s="1" t="n">
        <v>43843</v>
      </c>
      <c r="C155" s="1" t="n">
        <v>45182</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c r="T155">
        <f>HYPERLINK("https://klasma.github.io/Logging_GOTENE/kartor/A 1486-2020.png")</f>
        <v/>
      </c>
      <c r="V155">
        <f>HYPERLINK("https://klasma.github.io/Logging_GOTENE/klagomål/A 1486-2020.docx")</f>
        <v/>
      </c>
      <c r="W155">
        <f>HYPERLINK("https://klasma.github.io/Logging_GOTENE/klagomålsmail/A 1486-2020.docx")</f>
        <v/>
      </c>
      <c r="X155">
        <f>HYPERLINK("https://klasma.github.io/Logging_GOTENE/tillsyn/A 1486-2020.docx")</f>
        <v/>
      </c>
      <c r="Y155">
        <f>HYPERLINK("https://klasma.github.io/Logging_GOTENE/tillsynsmail/A 1486-2020.docx")</f>
        <v/>
      </c>
    </row>
    <row r="156" ht="15" customHeight="1">
      <c r="A156" t="inlineStr">
        <is>
          <t>A 2233-2020</t>
        </is>
      </c>
      <c r="B156" s="1" t="n">
        <v>43846</v>
      </c>
      <c r="C156" s="1" t="n">
        <v>45182</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c r="T156">
        <f>HYPERLINK("https://klasma.github.io/Logging_TJORN/kartor/A 2233-2020.png")</f>
        <v/>
      </c>
      <c r="V156">
        <f>HYPERLINK("https://klasma.github.io/Logging_TJORN/klagomål/A 2233-2020.docx")</f>
        <v/>
      </c>
      <c r="W156">
        <f>HYPERLINK("https://klasma.github.io/Logging_TJORN/klagomålsmail/A 2233-2020.docx")</f>
        <v/>
      </c>
      <c r="X156">
        <f>HYPERLINK("https://klasma.github.io/Logging_TJORN/tillsyn/A 2233-2020.docx")</f>
        <v/>
      </c>
      <c r="Y156">
        <f>HYPERLINK("https://klasma.github.io/Logging_TJORN/tillsynsmail/A 2233-2020.docx")</f>
        <v/>
      </c>
    </row>
    <row r="157" ht="15" customHeight="1">
      <c r="A157" t="inlineStr">
        <is>
          <t>A 7169-2020</t>
        </is>
      </c>
      <c r="B157" s="1" t="n">
        <v>43870</v>
      </c>
      <c r="C157" s="1" t="n">
        <v>45182</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c r="T157">
        <f>HYPERLINK("https://klasma.github.io/Logging_ORUST/kartor/A 7169-2020.png")</f>
        <v/>
      </c>
      <c r="U157">
        <f>HYPERLINK("https://klasma.github.io/Logging_ORUST/knärot/A 7169-2020.png")</f>
        <v/>
      </c>
      <c r="V157">
        <f>HYPERLINK("https://klasma.github.io/Logging_ORUST/klagomål/A 7169-2020.docx")</f>
        <v/>
      </c>
      <c r="W157">
        <f>HYPERLINK("https://klasma.github.io/Logging_ORUST/klagomålsmail/A 7169-2020.docx")</f>
        <v/>
      </c>
      <c r="X157">
        <f>HYPERLINK("https://klasma.github.io/Logging_ORUST/tillsyn/A 7169-2020.docx")</f>
        <v/>
      </c>
      <c r="Y157">
        <f>HYPERLINK("https://klasma.github.io/Logging_ORUST/tillsynsmail/A 7169-2020.docx")</f>
        <v/>
      </c>
    </row>
    <row r="158" ht="15" customHeight="1">
      <c r="A158" t="inlineStr">
        <is>
          <t>A 9953-2020</t>
        </is>
      </c>
      <c r="B158" s="1" t="n">
        <v>43882</v>
      </c>
      <c r="C158" s="1" t="n">
        <v>45182</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c r="T158">
        <f>HYPERLINK("https://klasma.github.io/Logging_TANUM/kartor/A 9953-2020.png")</f>
        <v/>
      </c>
      <c r="V158">
        <f>HYPERLINK("https://klasma.github.io/Logging_TANUM/klagomål/A 9953-2020.docx")</f>
        <v/>
      </c>
      <c r="W158">
        <f>HYPERLINK("https://klasma.github.io/Logging_TANUM/klagomålsmail/A 9953-2020.docx")</f>
        <v/>
      </c>
      <c r="X158">
        <f>HYPERLINK("https://klasma.github.io/Logging_TANUM/tillsyn/A 9953-2020.docx")</f>
        <v/>
      </c>
      <c r="Y158">
        <f>HYPERLINK("https://klasma.github.io/Logging_TANUM/tillsynsmail/A 9953-2020.docx")</f>
        <v/>
      </c>
    </row>
    <row r="159" ht="15" customHeight="1">
      <c r="A159" t="inlineStr">
        <is>
          <t>A 11099-2020</t>
        </is>
      </c>
      <c r="B159" s="1" t="n">
        <v>43889</v>
      </c>
      <c r="C159" s="1" t="n">
        <v>45182</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c r="T159">
        <f>HYPERLINK("https://klasma.github.io/Logging_SKOVDE/kartor/A 11099-2020.png")</f>
        <v/>
      </c>
      <c r="V159">
        <f>HYPERLINK("https://klasma.github.io/Logging_SKOVDE/klagomål/A 11099-2020.docx")</f>
        <v/>
      </c>
      <c r="W159">
        <f>HYPERLINK("https://klasma.github.io/Logging_SKOVDE/klagomålsmail/A 11099-2020.docx")</f>
        <v/>
      </c>
      <c r="X159">
        <f>HYPERLINK("https://klasma.github.io/Logging_SKOVDE/tillsyn/A 11099-2020.docx")</f>
        <v/>
      </c>
      <c r="Y159">
        <f>HYPERLINK("https://klasma.github.io/Logging_SKOVDE/tillsynsmail/A 11099-2020.docx")</f>
        <v/>
      </c>
    </row>
    <row r="160" ht="15" customHeight="1">
      <c r="A160" t="inlineStr">
        <is>
          <t>A 12972-2020</t>
        </is>
      </c>
      <c r="B160" s="1" t="n">
        <v>43900</v>
      </c>
      <c r="C160" s="1" t="n">
        <v>45182</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c r="T160">
        <f>HYPERLINK("https://klasma.github.io/Logging_LILLA_EDET/kartor/A 12972-2020.png")</f>
        <v/>
      </c>
      <c r="V160">
        <f>HYPERLINK("https://klasma.github.io/Logging_LILLA_EDET/klagomål/A 12972-2020.docx")</f>
        <v/>
      </c>
      <c r="W160">
        <f>HYPERLINK("https://klasma.github.io/Logging_LILLA_EDET/klagomålsmail/A 12972-2020.docx")</f>
        <v/>
      </c>
      <c r="X160">
        <f>HYPERLINK("https://klasma.github.io/Logging_LILLA_EDET/tillsyn/A 12972-2020.docx")</f>
        <v/>
      </c>
      <c r="Y160">
        <f>HYPERLINK("https://klasma.github.io/Logging_LILLA_EDET/tillsynsmail/A 12972-2020.docx")</f>
        <v/>
      </c>
    </row>
    <row r="161" ht="15" customHeight="1">
      <c r="A161" t="inlineStr">
        <is>
          <t>A 15284-2020</t>
        </is>
      </c>
      <c r="B161" s="1" t="n">
        <v>43908</v>
      </c>
      <c r="C161" s="1" t="n">
        <v>45182</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c r="T161">
        <f>HYPERLINK("https://klasma.github.io/Logging_LIDKOPING/kartor/A 15284-2020.png")</f>
        <v/>
      </c>
      <c r="U161">
        <f>HYPERLINK("https://klasma.github.io/Logging_LIDKOPING/knärot/A 15284-2020.png")</f>
        <v/>
      </c>
      <c r="V161">
        <f>HYPERLINK("https://klasma.github.io/Logging_LIDKOPING/klagomål/A 15284-2020.docx")</f>
        <v/>
      </c>
      <c r="W161">
        <f>HYPERLINK("https://klasma.github.io/Logging_LIDKOPING/klagomålsmail/A 15284-2020.docx")</f>
        <v/>
      </c>
      <c r="X161">
        <f>HYPERLINK("https://klasma.github.io/Logging_LIDKOPING/tillsyn/A 15284-2020.docx")</f>
        <v/>
      </c>
      <c r="Y161">
        <f>HYPERLINK("https://klasma.github.io/Logging_LIDKOPING/tillsynsmail/A 15284-2020.docx")</f>
        <v/>
      </c>
    </row>
    <row r="162" ht="15" customHeight="1">
      <c r="A162" t="inlineStr">
        <is>
          <t>A 14675-2020</t>
        </is>
      </c>
      <c r="B162" s="1" t="n">
        <v>43909</v>
      </c>
      <c r="C162" s="1" t="n">
        <v>45182</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c r="T162">
        <f>HYPERLINK("https://klasma.github.io/Logging_BORAS/kartor/A 14675-2020.png")</f>
        <v/>
      </c>
      <c r="V162">
        <f>HYPERLINK("https://klasma.github.io/Logging_BORAS/klagomål/A 14675-2020.docx")</f>
        <v/>
      </c>
      <c r="W162">
        <f>HYPERLINK("https://klasma.github.io/Logging_BORAS/klagomålsmail/A 14675-2020.docx")</f>
        <v/>
      </c>
      <c r="X162">
        <f>HYPERLINK("https://klasma.github.io/Logging_BORAS/tillsyn/A 14675-2020.docx")</f>
        <v/>
      </c>
      <c r="Y162">
        <f>HYPERLINK("https://klasma.github.io/Logging_BORAS/tillsynsmail/A 14675-2020.docx")</f>
        <v/>
      </c>
    </row>
    <row r="163" ht="15" customHeight="1">
      <c r="A163" t="inlineStr">
        <is>
          <t>A 19775-2020</t>
        </is>
      </c>
      <c r="B163" s="1" t="n">
        <v>43942</v>
      </c>
      <c r="C163" s="1" t="n">
        <v>45182</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c r="T163">
        <f>HYPERLINK("https://klasma.github.io/Logging_SKOVDE/kartor/A 19775-2020.png")</f>
        <v/>
      </c>
      <c r="V163">
        <f>HYPERLINK("https://klasma.github.io/Logging_SKOVDE/klagomål/A 19775-2020.docx")</f>
        <v/>
      </c>
      <c r="W163">
        <f>HYPERLINK("https://klasma.github.io/Logging_SKOVDE/klagomålsmail/A 19775-2020.docx")</f>
        <v/>
      </c>
      <c r="X163">
        <f>HYPERLINK("https://klasma.github.io/Logging_SKOVDE/tillsyn/A 19775-2020.docx")</f>
        <v/>
      </c>
      <c r="Y163">
        <f>HYPERLINK("https://klasma.github.io/Logging_SKOVDE/tillsynsmail/A 19775-2020.docx")</f>
        <v/>
      </c>
    </row>
    <row r="164" ht="15" customHeight="1">
      <c r="A164" t="inlineStr">
        <is>
          <t>A 23847-2020</t>
        </is>
      </c>
      <c r="B164" s="1" t="n">
        <v>43970</v>
      </c>
      <c r="C164" s="1" t="n">
        <v>45182</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c r="T164">
        <f>HYPERLINK("https://klasma.github.io/Logging_BENGTSFORS/kartor/A 23847-2020.png")</f>
        <v/>
      </c>
      <c r="V164">
        <f>HYPERLINK("https://klasma.github.io/Logging_BENGTSFORS/klagomål/A 23847-2020.docx")</f>
        <v/>
      </c>
      <c r="W164">
        <f>HYPERLINK("https://klasma.github.io/Logging_BENGTSFORS/klagomålsmail/A 23847-2020.docx")</f>
        <v/>
      </c>
      <c r="X164">
        <f>HYPERLINK("https://klasma.github.io/Logging_BENGTSFORS/tillsyn/A 23847-2020.docx")</f>
        <v/>
      </c>
      <c r="Y164">
        <f>HYPERLINK("https://klasma.github.io/Logging_BENGTSFORS/tillsynsmail/A 23847-2020.docx")</f>
        <v/>
      </c>
    </row>
    <row r="165" ht="15" customHeight="1">
      <c r="A165" t="inlineStr">
        <is>
          <t>A 27439-2020</t>
        </is>
      </c>
      <c r="B165" s="1" t="n">
        <v>43993</v>
      </c>
      <c r="C165" s="1" t="n">
        <v>45182</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c r="T165">
        <f>HYPERLINK("https://klasma.github.io/Logging_GOTENE/kartor/A 27439-2020.png")</f>
        <v/>
      </c>
      <c r="V165">
        <f>HYPERLINK("https://klasma.github.io/Logging_GOTENE/klagomål/A 27439-2020.docx")</f>
        <v/>
      </c>
      <c r="W165">
        <f>HYPERLINK("https://klasma.github.io/Logging_GOTENE/klagomålsmail/A 27439-2020.docx")</f>
        <v/>
      </c>
      <c r="X165">
        <f>HYPERLINK("https://klasma.github.io/Logging_GOTENE/tillsyn/A 27439-2020.docx")</f>
        <v/>
      </c>
      <c r="Y165">
        <f>HYPERLINK("https://klasma.github.io/Logging_GOTENE/tillsynsmail/A 27439-2020.docx")</f>
        <v/>
      </c>
    </row>
    <row r="166" ht="15" customHeight="1">
      <c r="A166" t="inlineStr">
        <is>
          <t>A 30704-2020</t>
        </is>
      </c>
      <c r="B166" s="1" t="n">
        <v>44007</v>
      </c>
      <c r="C166" s="1" t="n">
        <v>45182</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c r="T166">
        <f>HYPERLINK("https://klasma.github.io/Logging_TANUM/kartor/A 30704-2020.png")</f>
        <v/>
      </c>
      <c r="V166">
        <f>HYPERLINK("https://klasma.github.io/Logging_TANUM/klagomål/A 30704-2020.docx")</f>
        <v/>
      </c>
      <c r="W166">
        <f>HYPERLINK("https://klasma.github.io/Logging_TANUM/klagomålsmail/A 30704-2020.docx")</f>
        <v/>
      </c>
      <c r="X166">
        <f>HYPERLINK("https://klasma.github.io/Logging_TANUM/tillsyn/A 30704-2020.docx")</f>
        <v/>
      </c>
      <c r="Y166">
        <f>HYPERLINK("https://klasma.github.io/Logging_TANUM/tillsynsmail/A 30704-2020.docx")</f>
        <v/>
      </c>
    </row>
    <row r="167" ht="15" customHeight="1">
      <c r="A167" t="inlineStr">
        <is>
          <t>A 30638-2020</t>
        </is>
      </c>
      <c r="B167" s="1" t="n">
        <v>44008</v>
      </c>
      <c r="C167" s="1" t="n">
        <v>45182</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c r="T167">
        <f>HYPERLINK("https://klasma.github.io/Logging_TRANEMO/kartor/A 30638-2020.png")</f>
        <v/>
      </c>
      <c r="V167">
        <f>HYPERLINK("https://klasma.github.io/Logging_TRANEMO/klagomål/A 30638-2020.docx")</f>
        <v/>
      </c>
      <c r="W167">
        <f>HYPERLINK("https://klasma.github.io/Logging_TRANEMO/klagomålsmail/A 30638-2020.docx")</f>
        <v/>
      </c>
      <c r="X167">
        <f>HYPERLINK("https://klasma.github.io/Logging_TRANEMO/tillsyn/A 30638-2020.docx")</f>
        <v/>
      </c>
      <c r="Y167">
        <f>HYPERLINK("https://klasma.github.io/Logging_TRANEMO/tillsynsmail/A 30638-2020.docx")</f>
        <v/>
      </c>
    </row>
    <row r="168" ht="15" customHeight="1">
      <c r="A168" t="inlineStr">
        <is>
          <t>A 30824-2020</t>
        </is>
      </c>
      <c r="B168" s="1" t="n">
        <v>44011</v>
      </c>
      <c r="C168" s="1" t="n">
        <v>45182</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c r="T168">
        <f>HYPERLINK("https://klasma.github.io/Logging_TRANEMO/kartor/A 30824-2020.png")</f>
        <v/>
      </c>
      <c r="V168">
        <f>HYPERLINK("https://klasma.github.io/Logging_TRANEMO/klagomål/A 30824-2020.docx")</f>
        <v/>
      </c>
      <c r="W168">
        <f>HYPERLINK("https://klasma.github.io/Logging_TRANEMO/klagomålsmail/A 30824-2020.docx")</f>
        <v/>
      </c>
      <c r="X168">
        <f>HYPERLINK("https://klasma.github.io/Logging_TRANEMO/tillsyn/A 30824-2020.docx")</f>
        <v/>
      </c>
      <c r="Y168">
        <f>HYPERLINK("https://klasma.github.io/Logging_TRANEMO/tillsynsmail/A 30824-2020.docx")</f>
        <v/>
      </c>
    </row>
    <row r="169" ht="15" customHeight="1">
      <c r="A169" t="inlineStr">
        <is>
          <t>A 36339-2020</t>
        </is>
      </c>
      <c r="B169" s="1" t="n">
        <v>44049</v>
      </c>
      <c r="C169" s="1" t="n">
        <v>45182</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c r="T169">
        <f>HYPERLINK("https://klasma.github.io/Logging_STENUNGSUND/kartor/A 36339-2020.png")</f>
        <v/>
      </c>
      <c r="V169">
        <f>HYPERLINK("https://klasma.github.io/Logging_STENUNGSUND/klagomål/A 36339-2020.docx")</f>
        <v/>
      </c>
      <c r="W169">
        <f>HYPERLINK("https://klasma.github.io/Logging_STENUNGSUND/klagomålsmail/A 36339-2020.docx")</f>
        <v/>
      </c>
      <c r="X169">
        <f>HYPERLINK("https://klasma.github.io/Logging_STENUNGSUND/tillsyn/A 36339-2020.docx")</f>
        <v/>
      </c>
      <c r="Y169">
        <f>HYPERLINK("https://klasma.github.io/Logging_STENUNGSUND/tillsynsmail/A 36339-2020.docx")</f>
        <v/>
      </c>
    </row>
    <row r="170" ht="15" customHeight="1">
      <c r="A170" t="inlineStr">
        <is>
          <t>A 36337-2020</t>
        </is>
      </c>
      <c r="B170" s="1" t="n">
        <v>44049</v>
      </c>
      <c r="C170" s="1" t="n">
        <v>45182</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c r="T170">
        <f>HYPERLINK("https://klasma.github.io/Logging_STENUNGSUND/kartor/A 36337-2020.png")</f>
        <v/>
      </c>
      <c r="V170">
        <f>HYPERLINK("https://klasma.github.io/Logging_STENUNGSUND/klagomål/A 36337-2020.docx")</f>
        <v/>
      </c>
      <c r="W170">
        <f>HYPERLINK("https://klasma.github.io/Logging_STENUNGSUND/klagomålsmail/A 36337-2020.docx")</f>
        <v/>
      </c>
      <c r="X170">
        <f>HYPERLINK("https://klasma.github.io/Logging_STENUNGSUND/tillsyn/A 36337-2020.docx")</f>
        <v/>
      </c>
      <c r="Y170">
        <f>HYPERLINK("https://klasma.github.io/Logging_STENUNGSUND/tillsynsmail/A 36337-2020.docx")</f>
        <v/>
      </c>
    </row>
    <row r="171" ht="15" customHeight="1">
      <c r="A171" t="inlineStr">
        <is>
          <t>A 43665-2020</t>
        </is>
      </c>
      <c r="B171" s="1" t="n">
        <v>44078</v>
      </c>
      <c r="C171" s="1" t="n">
        <v>45182</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c r="T171">
        <f>HYPERLINK("https://klasma.github.io/Logging_MUNKEDAL/kartor/A 43665-2020.png")</f>
        <v/>
      </c>
      <c r="V171">
        <f>HYPERLINK("https://klasma.github.io/Logging_MUNKEDAL/klagomål/A 43665-2020.docx")</f>
        <v/>
      </c>
      <c r="W171">
        <f>HYPERLINK("https://klasma.github.io/Logging_MUNKEDAL/klagomålsmail/A 43665-2020.docx")</f>
        <v/>
      </c>
      <c r="X171">
        <f>HYPERLINK("https://klasma.github.io/Logging_MUNKEDAL/tillsyn/A 43665-2020.docx")</f>
        <v/>
      </c>
      <c r="Y171">
        <f>HYPERLINK("https://klasma.github.io/Logging_MUNKEDAL/tillsynsmail/A 43665-2020.docx")</f>
        <v/>
      </c>
    </row>
    <row r="172" ht="15" customHeight="1">
      <c r="A172" t="inlineStr">
        <is>
          <t>A 44608-2020</t>
        </is>
      </c>
      <c r="B172" s="1" t="n">
        <v>44085</v>
      </c>
      <c r="C172" s="1" t="n">
        <v>45182</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c r="T172">
        <f>HYPERLINK("https://klasma.github.io/Logging_TJORN/kartor/A 44608-2020.png")</f>
        <v/>
      </c>
      <c r="V172">
        <f>HYPERLINK("https://klasma.github.io/Logging_TJORN/klagomål/A 44608-2020.docx")</f>
        <v/>
      </c>
      <c r="W172">
        <f>HYPERLINK("https://klasma.github.io/Logging_TJORN/klagomålsmail/A 44608-2020.docx")</f>
        <v/>
      </c>
      <c r="X172">
        <f>HYPERLINK("https://klasma.github.io/Logging_TJORN/tillsyn/A 44608-2020.docx")</f>
        <v/>
      </c>
      <c r="Y172">
        <f>HYPERLINK("https://klasma.github.io/Logging_TJORN/tillsynsmail/A 44608-2020.docx")</f>
        <v/>
      </c>
    </row>
    <row r="173" ht="15" customHeight="1">
      <c r="A173" t="inlineStr">
        <is>
          <t>A 45557-2020</t>
        </is>
      </c>
      <c r="B173" s="1" t="n">
        <v>44090</v>
      </c>
      <c r="C173" s="1" t="n">
        <v>45182</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c r="T173">
        <f>HYPERLINK("https://klasma.github.io/Logging_TIDAHOLM/kartor/A 45557-2020.png")</f>
        <v/>
      </c>
      <c r="V173">
        <f>HYPERLINK("https://klasma.github.io/Logging_TIDAHOLM/klagomål/A 45557-2020.docx")</f>
        <v/>
      </c>
      <c r="W173">
        <f>HYPERLINK("https://klasma.github.io/Logging_TIDAHOLM/klagomålsmail/A 45557-2020.docx")</f>
        <v/>
      </c>
      <c r="X173">
        <f>HYPERLINK("https://klasma.github.io/Logging_TIDAHOLM/tillsyn/A 45557-2020.docx")</f>
        <v/>
      </c>
      <c r="Y173">
        <f>HYPERLINK("https://klasma.github.io/Logging_TIDAHOLM/tillsynsmail/A 45557-2020.docx")</f>
        <v/>
      </c>
    </row>
    <row r="174" ht="15" customHeight="1">
      <c r="A174" t="inlineStr">
        <is>
          <t>A 57325-2020</t>
        </is>
      </c>
      <c r="B174" s="1" t="n">
        <v>44139</v>
      </c>
      <c r="C174" s="1" t="n">
        <v>45182</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c r="T174">
        <f>HYPERLINK("https://klasma.github.io/Logging_UDDEVALLA/kartor/A 57325-2020.png")</f>
        <v/>
      </c>
      <c r="U174">
        <f>HYPERLINK("https://klasma.github.io/Logging_UDDEVALLA/knärot/A 57325-2020.png")</f>
        <v/>
      </c>
      <c r="V174">
        <f>HYPERLINK("https://klasma.github.io/Logging_UDDEVALLA/klagomål/A 57325-2020.docx")</f>
        <v/>
      </c>
      <c r="W174">
        <f>HYPERLINK("https://klasma.github.io/Logging_UDDEVALLA/klagomålsmail/A 57325-2020.docx")</f>
        <v/>
      </c>
      <c r="X174">
        <f>HYPERLINK("https://klasma.github.io/Logging_UDDEVALLA/tillsyn/A 57325-2020.docx")</f>
        <v/>
      </c>
      <c r="Y174">
        <f>HYPERLINK("https://klasma.github.io/Logging_UDDEVALLA/tillsynsmail/A 57325-2020.docx")</f>
        <v/>
      </c>
    </row>
    <row r="175" ht="15" customHeight="1">
      <c r="A175" t="inlineStr">
        <is>
          <t>A 58360-2020</t>
        </is>
      </c>
      <c r="B175" s="1" t="n">
        <v>44144</v>
      </c>
      <c r="C175" s="1" t="n">
        <v>45182</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c r="T175">
        <f>HYPERLINK("https://klasma.github.io/Logging_MELLERUD/kartor/A 58360-2020.png")</f>
        <v/>
      </c>
      <c r="V175">
        <f>HYPERLINK("https://klasma.github.io/Logging_MELLERUD/klagomål/A 58360-2020.docx")</f>
        <v/>
      </c>
      <c r="W175">
        <f>HYPERLINK("https://klasma.github.io/Logging_MELLERUD/klagomålsmail/A 58360-2020.docx")</f>
        <v/>
      </c>
      <c r="X175">
        <f>HYPERLINK("https://klasma.github.io/Logging_MELLERUD/tillsyn/A 58360-2020.docx")</f>
        <v/>
      </c>
      <c r="Y175">
        <f>HYPERLINK("https://klasma.github.io/Logging_MELLERUD/tillsynsmail/A 58360-2020.docx")</f>
        <v/>
      </c>
    </row>
    <row r="176" ht="15" customHeight="1">
      <c r="A176" t="inlineStr">
        <is>
          <t>A 58804-2020</t>
        </is>
      </c>
      <c r="B176" s="1" t="n">
        <v>44146</v>
      </c>
      <c r="C176" s="1" t="n">
        <v>45182</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c r="T176">
        <f>HYPERLINK("https://klasma.github.io/Logging_GOTEBORG/kartor/A 58804-2020.png")</f>
        <v/>
      </c>
      <c r="V176">
        <f>HYPERLINK("https://klasma.github.io/Logging_GOTEBORG/klagomål/A 58804-2020.docx")</f>
        <v/>
      </c>
      <c r="W176">
        <f>HYPERLINK("https://klasma.github.io/Logging_GOTEBORG/klagomålsmail/A 58804-2020.docx")</f>
        <v/>
      </c>
      <c r="X176">
        <f>HYPERLINK("https://klasma.github.io/Logging_GOTEBORG/tillsyn/A 58804-2020.docx")</f>
        <v/>
      </c>
      <c r="Y176">
        <f>HYPERLINK("https://klasma.github.io/Logging_GOTEBORG/tillsynsmail/A 58804-2020.docx")</f>
        <v/>
      </c>
    </row>
    <row r="177" ht="15" customHeight="1">
      <c r="A177" t="inlineStr">
        <is>
          <t>A 61845-2020</t>
        </is>
      </c>
      <c r="B177" s="1" t="n">
        <v>44159</v>
      </c>
      <c r="C177" s="1" t="n">
        <v>45182</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c r="T177">
        <f>HYPERLINK("https://klasma.github.io/Logging_BORAS/kartor/A 61845-2020.png")</f>
        <v/>
      </c>
      <c r="V177">
        <f>HYPERLINK("https://klasma.github.io/Logging_BORAS/klagomål/A 61845-2020.docx")</f>
        <v/>
      </c>
      <c r="W177">
        <f>HYPERLINK("https://klasma.github.io/Logging_BORAS/klagomålsmail/A 61845-2020.docx")</f>
        <v/>
      </c>
      <c r="X177">
        <f>HYPERLINK("https://klasma.github.io/Logging_BORAS/tillsyn/A 61845-2020.docx")</f>
        <v/>
      </c>
      <c r="Y177">
        <f>HYPERLINK("https://klasma.github.io/Logging_BORAS/tillsynsmail/A 61845-2020.docx")</f>
        <v/>
      </c>
    </row>
    <row r="178" ht="15" customHeight="1">
      <c r="A178" t="inlineStr">
        <is>
          <t>A 64042-2020</t>
        </is>
      </c>
      <c r="B178" s="1" t="n">
        <v>44167</v>
      </c>
      <c r="C178" s="1" t="n">
        <v>45182</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c r="T178">
        <f>HYPERLINK("https://klasma.github.io/Logging_VANERSBORG/kartor/A 64042-2020.png")</f>
        <v/>
      </c>
      <c r="V178">
        <f>HYPERLINK("https://klasma.github.io/Logging_VANERSBORG/klagomål/A 64042-2020.docx")</f>
        <v/>
      </c>
      <c r="W178">
        <f>HYPERLINK("https://klasma.github.io/Logging_VANERSBORG/klagomålsmail/A 64042-2020.docx")</f>
        <v/>
      </c>
      <c r="X178">
        <f>HYPERLINK("https://klasma.github.io/Logging_VANERSBORG/tillsyn/A 64042-2020.docx")</f>
        <v/>
      </c>
      <c r="Y178">
        <f>HYPERLINK("https://klasma.github.io/Logging_VANERSBORG/tillsynsmail/A 64042-2020.docx")</f>
        <v/>
      </c>
    </row>
    <row r="179" ht="15" customHeight="1">
      <c r="A179" t="inlineStr">
        <is>
          <t>A 65506-2020</t>
        </is>
      </c>
      <c r="B179" s="1" t="n">
        <v>44173</v>
      </c>
      <c r="C179" s="1" t="n">
        <v>45182</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c r="T179">
        <f>HYPERLINK("https://klasma.github.io/Logging_BOLLEBYGD/kartor/A 65506-2020.png")</f>
        <v/>
      </c>
      <c r="V179">
        <f>HYPERLINK("https://klasma.github.io/Logging_BOLLEBYGD/klagomål/A 65506-2020.docx")</f>
        <v/>
      </c>
      <c r="W179">
        <f>HYPERLINK("https://klasma.github.io/Logging_BOLLEBYGD/klagomålsmail/A 65506-2020.docx")</f>
        <v/>
      </c>
      <c r="X179">
        <f>HYPERLINK("https://klasma.github.io/Logging_BOLLEBYGD/tillsyn/A 65506-2020.docx")</f>
        <v/>
      </c>
      <c r="Y179">
        <f>HYPERLINK("https://klasma.github.io/Logging_BOLLEBYGD/tillsynsmail/A 65506-2020.docx")</f>
        <v/>
      </c>
    </row>
    <row r="180" ht="15" customHeight="1">
      <c r="A180" t="inlineStr">
        <is>
          <t>A 68546-2020</t>
        </is>
      </c>
      <c r="B180" s="1" t="n">
        <v>44186</v>
      </c>
      <c r="C180" s="1" t="n">
        <v>45182</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c r="T180">
        <f>HYPERLINK("https://klasma.github.io/Logging_BENGTSFORS/kartor/A 68546-2020.png")</f>
        <v/>
      </c>
      <c r="V180">
        <f>HYPERLINK("https://klasma.github.io/Logging_BENGTSFORS/klagomål/A 68546-2020.docx")</f>
        <v/>
      </c>
      <c r="W180">
        <f>HYPERLINK("https://klasma.github.io/Logging_BENGTSFORS/klagomålsmail/A 68546-2020.docx")</f>
        <v/>
      </c>
      <c r="X180">
        <f>HYPERLINK("https://klasma.github.io/Logging_BENGTSFORS/tillsyn/A 68546-2020.docx")</f>
        <v/>
      </c>
      <c r="Y180">
        <f>HYPERLINK("https://klasma.github.io/Logging_BENGTSFORS/tillsynsmail/A 68546-2020.docx")</f>
        <v/>
      </c>
    </row>
    <row r="181" ht="15" customHeight="1">
      <c r="A181" t="inlineStr">
        <is>
          <t>A 1901-2021</t>
        </is>
      </c>
      <c r="B181" s="1" t="n">
        <v>44210</v>
      </c>
      <c r="C181" s="1" t="n">
        <v>45182</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c r="T181">
        <f>HYPERLINK("https://klasma.github.io/Logging_SVENLJUNGA/kartor/A 1901-2021.png")</f>
        <v/>
      </c>
      <c r="V181">
        <f>HYPERLINK("https://klasma.github.io/Logging_SVENLJUNGA/klagomål/A 1901-2021.docx")</f>
        <v/>
      </c>
      <c r="W181">
        <f>HYPERLINK("https://klasma.github.io/Logging_SVENLJUNGA/klagomålsmail/A 1901-2021.docx")</f>
        <v/>
      </c>
      <c r="X181">
        <f>HYPERLINK("https://klasma.github.io/Logging_SVENLJUNGA/tillsyn/A 1901-2021.docx")</f>
        <v/>
      </c>
      <c r="Y181">
        <f>HYPERLINK("https://klasma.github.io/Logging_SVENLJUNGA/tillsynsmail/A 1901-2021.docx")</f>
        <v/>
      </c>
    </row>
    <row r="182" ht="15" customHeight="1">
      <c r="A182" t="inlineStr">
        <is>
          <t>A 2674-2021</t>
        </is>
      </c>
      <c r="B182" s="1" t="n">
        <v>44215</v>
      </c>
      <c r="C182" s="1" t="n">
        <v>45182</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c r="T182">
        <f>HYPERLINK("https://klasma.github.io/Logging_STROMSTAD/kartor/A 2674-2021.png")</f>
        <v/>
      </c>
      <c r="V182">
        <f>HYPERLINK("https://klasma.github.io/Logging_STROMSTAD/klagomål/A 2674-2021.docx")</f>
        <v/>
      </c>
      <c r="W182">
        <f>HYPERLINK("https://klasma.github.io/Logging_STROMSTAD/klagomålsmail/A 2674-2021.docx")</f>
        <v/>
      </c>
      <c r="X182">
        <f>HYPERLINK("https://klasma.github.io/Logging_STROMSTAD/tillsyn/A 2674-2021.docx")</f>
        <v/>
      </c>
      <c r="Y182">
        <f>HYPERLINK("https://klasma.github.io/Logging_STROMSTAD/tillsynsmail/A 2674-2021.docx")</f>
        <v/>
      </c>
    </row>
    <row r="183" ht="15" customHeight="1">
      <c r="A183" t="inlineStr">
        <is>
          <t>A 2680-2021</t>
        </is>
      </c>
      <c r="B183" s="1" t="n">
        <v>44215</v>
      </c>
      <c r="C183" s="1" t="n">
        <v>45182</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c r="T183">
        <f>HYPERLINK("https://klasma.github.io/Logging_STROMSTAD/kartor/A 2680-2021.png")</f>
        <v/>
      </c>
      <c r="V183">
        <f>HYPERLINK("https://klasma.github.io/Logging_STROMSTAD/klagomål/A 2680-2021.docx")</f>
        <v/>
      </c>
      <c r="W183">
        <f>HYPERLINK("https://klasma.github.io/Logging_STROMSTAD/klagomålsmail/A 2680-2021.docx")</f>
        <v/>
      </c>
      <c r="X183">
        <f>HYPERLINK("https://klasma.github.io/Logging_STROMSTAD/tillsyn/A 2680-2021.docx")</f>
        <v/>
      </c>
      <c r="Y183">
        <f>HYPERLINK("https://klasma.github.io/Logging_STROMSTAD/tillsynsmail/A 2680-2021.docx")</f>
        <v/>
      </c>
    </row>
    <row r="184" ht="15" customHeight="1">
      <c r="A184" t="inlineStr">
        <is>
          <t>A 3329-2021</t>
        </is>
      </c>
      <c r="B184" s="1" t="n">
        <v>44217</v>
      </c>
      <c r="C184" s="1" t="n">
        <v>45182</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c r="T184">
        <f>HYPERLINK("https://klasma.github.io/Logging_LIDKOPING/kartor/A 3329-2021.png")</f>
        <v/>
      </c>
      <c r="V184">
        <f>HYPERLINK("https://klasma.github.io/Logging_LIDKOPING/klagomål/A 3329-2021.docx")</f>
        <v/>
      </c>
      <c r="W184">
        <f>HYPERLINK("https://klasma.github.io/Logging_LIDKOPING/klagomålsmail/A 3329-2021.docx")</f>
        <v/>
      </c>
      <c r="X184">
        <f>HYPERLINK("https://klasma.github.io/Logging_LIDKOPING/tillsyn/A 3329-2021.docx")</f>
        <v/>
      </c>
      <c r="Y184">
        <f>HYPERLINK("https://klasma.github.io/Logging_LIDKOPING/tillsynsmail/A 3329-2021.docx")</f>
        <v/>
      </c>
    </row>
    <row r="185" ht="15" customHeight="1">
      <c r="A185" t="inlineStr">
        <is>
          <t>A 4424-2021</t>
        </is>
      </c>
      <c r="B185" s="1" t="n">
        <v>44224</v>
      </c>
      <c r="C185" s="1" t="n">
        <v>45182</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c r="T185">
        <f>HYPERLINK("https://klasma.github.io/Logging_VARGARDA/kartor/A 4424-2021.png")</f>
        <v/>
      </c>
      <c r="U185">
        <f>HYPERLINK("https://klasma.github.io/Logging_VARGARDA/knärot/A 4424-2021.png")</f>
        <v/>
      </c>
      <c r="V185">
        <f>HYPERLINK("https://klasma.github.io/Logging_VARGARDA/klagomål/A 4424-2021.docx")</f>
        <v/>
      </c>
      <c r="W185">
        <f>HYPERLINK("https://klasma.github.io/Logging_VARGARDA/klagomålsmail/A 4424-2021.docx")</f>
        <v/>
      </c>
      <c r="X185">
        <f>HYPERLINK("https://klasma.github.io/Logging_VARGARDA/tillsyn/A 4424-2021.docx")</f>
        <v/>
      </c>
      <c r="Y185">
        <f>HYPERLINK("https://klasma.github.io/Logging_VARGARDA/tillsynsmail/A 4424-2021.docx")</f>
        <v/>
      </c>
    </row>
    <row r="186" ht="15" customHeight="1">
      <c r="A186" t="inlineStr">
        <is>
          <t>A 11984-2021</t>
        </is>
      </c>
      <c r="B186" s="1" t="n">
        <v>44266</v>
      </c>
      <c r="C186" s="1" t="n">
        <v>45182</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c r="T186">
        <f>HYPERLINK("https://klasma.github.io/Logging_ORUST/kartor/A 11984-2021.png")</f>
        <v/>
      </c>
      <c r="V186">
        <f>HYPERLINK("https://klasma.github.io/Logging_ORUST/klagomål/A 11984-2021.docx")</f>
        <v/>
      </c>
      <c r="W186">
        <f>HYPERLINK("https://klasma.github.io/Logging_ORUST/klagomålsmail/A 11984-2021.docx")</f>
        <v/>
      </c>
      <c r="X186">
        <f>HYPERLINK("https://klasma.github.io/Logging_ORUST/tillsyn/A 11984-2021.docx")</f>
        <v/>
      </c>
      <c r="Y186">
        <f>HYPERLINK("https://klasma.github.io/Logging_ORUST/tillsynsmail/A 11984-2021.docx")</f>
        <v/>
      </c>
    </row>
    <row r="187" ht="15" customHeight="1">
      <c r="A187" t="inlineStr">
        <is>
          <t>A 12618-2021</t>
        </is>
      </c>
      <c r="B187" s="1" t="n">
        <v>44270</v>
      </c>
      <c r="C187" s="1" t="n">
        <v>45182</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c r="T187">
        <f>HYPERLINK("https://klasma.github.io/Logging_HARRYDA/kartor/A 12618-2021.png")</f>
        <v/>
      </c>
      <c r="V187">
        <f>HYPERLINK("https://klasma.github.io/Logging_HARRYDA/klagomål/A 12618-2021.docx")</f>
        <v/>
      </c>
      <c r="W187">
        <f>HYPERLINK("https://klasma.github.io/Logging_HARRYDA/klagomålsmail/A 12618-2021.docx")</f>
        <v/>
      </c>
      <c r="X187">
        <f>HYPERLINK("https://klasma.github.io/Logging_HARRYDA/tillsyn/A 12618-2021.docx")</f>
        <v/>
      </c>
      <c r="Y187">
        <f>HYPERLINK("https://klasma.github.io/Logging_HARRYDA/tillsynsmail/A 12618-2021.docx")</f>
        <v/>
      </c>
    </row>
    <row r="188" ht="15" customHeight="1">
      <c r="A188" t="inlineStr">
        <is>
          <t>A 12589-2021</t>
        </is>
      </c>
      <c r="B188" s="1" t="n">
        <v>44270</v>
      </c>
      <c r="C188" s="1" t="n">
        <v>45182</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c r="T188">
        <f>HYPERLINK("https://klasma.github.io/Logging_VARA/kartor/A 12589-2021.png")</f>
        <v/>
      </c>
      <c r="V188">
        <f>HYPERLINK("https://klasma.github.io/Logging_VARA/klagomål/A 12589-2021.docx")</f>
        <v/>
      </c>
      <c r="W188">
        <f>HYPERLINK("https://klasma.github.io/Logging_VARA/klagomålsmail/A 12589-2021.docx")</f>
        <v/>
      </c>
      <c r="X188">
        <f>HYPERLINK("https://klasma.github.io/Logging_VARA/tillsyn/A 12589-2021.docx")</f>
        <v/>
      </c>
      <c r="Y188">
        <f>HYPERLINK("https://klasma.github.io/Logging_VARA/tillsynsmail/A 12589-2021.docx")</f>
        <v/>
      </c>
    </row>
    <row r="189" ht="15" customHeight="1">
      <c r="A189" t="inlineStr">
        <is>
          <t>A 13199-2021</t>
        </is>
      </c>
      <c r="B189" s="1" t="n">
        <v>44272</v>
      </c>
      <c r="C189" s="1" t="n">
        <v>45182</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c r="T189">
        <f>HYPERLINK("https://klasma.github.io/Logging_HJO/kartor/A 13199-2021.png")</f>
        <v/>
      </c>
      <c r="V189">
        <f>HYPERLINK("https://klasma.github.io/Logging_HJO/klagomål/A 13199-2021.docx")</f>
        <v/>
      </c>
      <c r="W189">
        <f>HYPERLINK("https://klasma.github.io/Logging_HJO/klagomålsmail/A 13199-2021.docx")</f>
        <v/>
      </c>
      <c r="X189">
        <f>HYPERLINK("https://klasma.github.io/Logging_HJO/tillsyn/A 13199-2021.docx")</f>
        <v/>
      </c>
      <c r="Y189">
        <f>HYPERLINK("https://klasma.github.io/Logging_HJO/tillsynsmail/A 13199-2021.docx")</f>
        <v/>
      </c>
    </row>
    <row r="190" ht="15" customHeight="1">
      <c r="A190" t="inlineStr">
        <is>
          <t>A 21759-2021</t>
        </is>
      </c>
      <c r="B190" s="1" t="n">
        <v>44322</v>
      </c>
      <c r="C190" s="1" t="n">
        <v>45182</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c r="T190">
        <f>HYPERLINK("https://klasma.github.io/Logging_MOLNDAL/kartor/A 21759-2021.png")</f>
        <v/>
      </c>
      <c r="V190">
        <f>HYPERLINK("https://klasma.github.io/Logging_MOLNDAL/klagomål/A 21759-2021.docx")</f>
        <v/>
      </c>
      <c r="W190">
        <f>HYPERLINK("https://klasma.github.io/Logging_MOLNDAL/klagomålsmail/A 21759-2021.docx")</f>
        <v/>
      </c>
      <c r="X190">
        <f>HYPERLINK("https://klasma.github.io/Logging_MOLNDAL/tillsyn/A 21759-2021.docx")</f>
        <v/>
      </c>
      <c r="Y190">
        <f>HYPERLINK("https://klasma.github.io/Logging_MOLNDAL/tillsynsmail/A 21759-2021.docx")</f>
        <v/>
      </c>
    </row>
    <row r="191" ht="15" customHeight="1">
      <c r="A191" t="inlineStr">
        <is>
          <t>A 23402-2021</t>
        </is>
      </c>
      <c r="B191" s="1" t="n">
        <v>44333</v>
      </c>
      <c r="C191" s="1" t="n">
        <v>45182</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c r="T191">
        <f>HYPERLINK("https://klasma.github.io/Logging_SKOVDE/kartor/A 23402-2021.png")</f>
        <v/>
      </c>
      <c r="V191">
        <f>HYPERLINK("https://klasma.github.io/Logging_SKOVDE/klagomål/A 23402-2021.docx")</f>
        <v/>
      </c>
      <c r="W191">
        <f>HYPERLINK("https://klasma.github.io/Logging_SKOVDE/klagomålsmail/A 23402-2021.docx")</f>
        <v/>
      </c>
      <c r="X191">
        <f>HYPERLINK("https://klasma.github.io/Logging_SKOVDE/tillsyn/A 23402-2021.docx")</f>
        <v/>
      </c>
      <c r="Y191">
        <f>HYPERLINK("https://klasma.github.io/Logging_SKOVDE/tillsynsmail/A 23402-2021.docx")</f>
        <v/>
      </c>
    </row>
    <row r="192" ht="15" customHeight="1">
      <c r="A192" t="inlineStr">
        <is>
          <t>A 24680-2021</t>
        </is>
      </c>
      <c r="B192" s="1" t="n">
        <v>44340</v>
      </c>
      <c r="C192" s="1" t="n">
        <v>45182</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c r="T192">
        <f>HYPERLINK("https://klasma.github.io/Logging_MUNKEDAL/kartor/A 24680-2021.png")</f>
        <v/>
      </c>
      <c r="V192">
        <f>HYPERLINK("https://klasma.github.io/Logging_MUNKEDAL/klagomål/A 24680-2021.docx")</f>
        <v/>
      </c>
      <c r="W192">
        <f>HYPERLINK("https://klasma.github.io/Logging_MUNKEDAL/klagomålsmail/A 24680-2021.docx")</f>
        <v/>
      </c>
      <c r="X192">
        <f>HYPERLINK("https://klasma.github.io/Logging_MUNKEDAL/tillsyn/A 24680-2021.docx")</f>
        <v/>
      </c>
      <c r="Y192">
        <f>HYPERLINK("https://klasma.github.io/Logging_MUNKEDAL/tillsynsmail/A 24680-2021.docx")</f>
        <v/>
      </c>
    </row>
    <row r="193" ht="15" customHeight="1">
      <c r="A193" t="inlineStr">
        <is>
          <t>A 29344-2021</t>
        </is>
      </c>
      <c r="B193" s="1" t="n">
        <v>44361</v>
      </c>
      <c r="C193" s="1" t="n">
        <v>45182</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c r="T193">
        <f>HYPERLINK("https://klasma.github.io/Logging_MUNKEDAL/kartor/A 29344-2021.png")</f>
        <v/>
      </c>
      <c r="V193">
        <f>HYPERLINK("https://klasma.github.io/Logging_MUNKEDAL/klagomål/A 29344-2021.docx")</f>
        <v/>
      </c>
      <c r="W193">
        <f>HYPERLINK("https://klasma.github.io/Logging_MUNKEDAL/klagomålsmail/A 29344-2021.docx")</f>
        <v/>
      </c>
      <c r="X193">
        <f>HYPERLINK("https://klasma.github.io/Logging_MUNKEDAL/tillsyn/A 29344-2021.docx")</f>
        <v/>
      </c>
      <c r="Y193">
        <f>HYPERLINK("https://klasma.github.io/Logging_MUNKEDAL/tillsynsmail/A 29344-2021.docx")</f>
        <v/>
      </c>
    </row>
    <row r="194" ht="15" customHeight="1">
      <c r="A194" t="inlineStr">
        <is>
          <t>A 31843-2021</t>
        </is>
      </c>
      <c r="B194" s="1" t="n">
        <v>44370</v>
      </c>
      <c r="C194" s="1" t="n">
        <v>45182</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c r="T194">
        <f>HYPERLINK("https://klasma.github.io/Logging_BOLLEBYGD/kartor/A 31843-2021.png")</f>
        <v/>
      </c>
      <c r="V194">
        <f>HYPERLINK("https://klasma.github.io/Logging_BOLLEBYGD/klagomål/A 31843-2021.docx")</f>
        <v/>
      </c>
      <c r="W194">
        <f>HYPERLINK("https://klasma.github.io/Logging_BOLLEBYGD/klagomålsmail/A 31843-2021.docx")</f>
        <v/>
      </c>
      <c r="X194">
        <f>HYPERLINK("https://klasma.github.io/Logging_BOLLEBYGD/tillsyn/A 31843-2021.docx")</f>
        <v/>
      </c>
      <c r="Y194">
        <f>HYPERLINK("https://klasma.github.io/Logging_BOLLEBYGD/tillsynsmail/A 31843-2021.docx")</f>
        <v/>
      </c>
    </row>
    <row r="195" ht="15" customHeight="1">
      <c r="A195" t="inlineStr">
        <is>
          <t>A 33273-2021</t>
        </is>
      </c>
      <c r="B195" s="1" t="n">
        <v>44377</v>
      </c>
      <c r="C195" s="1" t="n">
        <v>45182</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c r="T195">
        <f>HYPERLINK("https://klasma.github.io/Logging_STROMSTAD/kartor/A 33273-2021.png")</f>
        <v/>
      </c>
      <c r="V195">
        <f>HYPERLINK("https://klasma.github.io/Logging_STROMSTAD/klagomål/A 33273-2021.docx")</f>
        <v/>
      </c>
      <c r="W195">
        <f>HYPERLINK("https://klasma.github.io/Logging_STROMSTAD/klagomålsmail/A 33273-2021.docx")</f>
        <v/>
      </c>
      <c r="X195">
        <f>HYPERLINK("https://klasma.github.io/Logging_STROMSTAD/tillsyn/A 33273-2021.docx")</f>
        <v/>
      </c>
      <c r="Y195">
        <f>HYPERLINK("https://klasma.github.io/Logging_STROMSTAD/tillsynsmail/A 33273-2021.docx")</f>
        <v/>
      </c>
    </row>
    <row r="196" ht="15" customHeight="1">
      <c r="A196" t="inlineStr">
        <is>
          <t>A 33755-2021</t>
        </is>
      </c>
      <c r="B196" s="1" t="n">
        <v>44378</v>
      </c>
      <c r="C196" s="1" t="n">
        <v>45182</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c r="T196">
        <f>HYPERLINK("https://klasma.github.io/Logging_VANERSBORG/kartor/A 33755-2021.png")</f>
        <v/>
      </c>
      <c r="V196">
        <f>HYPERLINK("https://klasma.github.io/Logging_VANERSBORG/klagomål/A 33755-2021.docx")</f>
        <v/>
      </c>
      <c r="W196">
        <f>HYPERLINK("https://klasma.github.io/Logging_VANERSBORG/klagomålsmail/A 33755-2021.docx")</f>
        <v/>
      </c>
      <c r="X196">
        <f>HYPERLINK("https://klasma.github.io/Logging_VANERSBORG/tillsyn/A 33755-2021.docx")</f>
        <v/>
      </c>
      <c r="Y196">
        <f>HYPERLINK("https://klasma.github.io/Logging_VANERSBORG/tillsynsmail/A 33755-2021.docx")</f>
        <v/>
      </c>
    </row>
    <row r="197" ht="15" customHeight="1">
      <c r="A197" t="inlineStr">
        <is>
          <t>A 37138-2021</t>
        </is>
      </c>
      <c r="B197" s="1" t="n">
        <v>44396</v>
      </c>
      <c r="C197" s="1" t="n">
        <v>45182</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c r="T197">
        <f>HYPERLINK("https://klasma.github.io/Logging_GULLSPANG/kartor/A 37138-2021.png")</f>
        <v/>
      </c>
      <c r="V197">
        <f>HYPERLINK("https://klasma.github.io/Logging_GULLSPANG/klagomål/A 37138-2021.docx")</f>
        <v/>
      </c>
      <c r="W197">
        <f>HYPERLINK("https://klasma.github.io/Logging_GULLSPANG/klagomålsmail/A 37138-2021.docx")</f>
        <v/>
      </c>
      <c r="X197">
        <f>HYPERLINK("https://klasma.github.io/Logging_GULLSPANG/tillsyn/A 37138-2021.docx")</f>
        <v/>
      </c>
      <c r="Y197">
        <f>HYPERLINK("https://klasma.github.io/Logging_GULLSPANG/tillsynsmail/A 37138-2021.docx")</f>
        <v/>
      </c>
    </row>
    <row r="198" ht="15" customHeight="1">
      <c r="A198" t="inlineStr">
        <is>
          <t>A 39460-2021</t>
        </is>
      </c>
      <c r="B198" s="1" t="n">
        <v>44414</v>
      </c>
      <c r="C198" s="1" t="n">
        <v>45182</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c r="T198">
        <f>HYPERLINK("https://klasma.github.io/Logging_TROLLHATTAN/kartor/A 39460-2021.png")</f>
        <v/>
      </c>
      <c r="V198">
        <f>HYPERLINK("https://klasma.github.io/Logging_TROLLHATTAN/klagomål/A 39460-2021.docx")</f>
        <v/>
      </c>
      <c r="W198">
        <f>HYPERLINK("https://klasma.github.io/Logging_TROLLHATTAN/klagomålsmail/A 39460-2021.docx")</f>
        <v/>
      </c>
      <c r="X198">
        <f>HYPERLINK("https://klasma.github.io/Logging_TROLLHATTAN/tillsyn/A 39460-2021.docx")</f>
        <v/>
      </c>
      <c r="Y198">
        <f>HYPERLINK("https://klasma.github.io/Logging_TROLLHATTAN/tillsynsmail/A 39460-2021.docx")</f>
        <v/>
      </c>
    </row>
    <row r="199" ht="15" customHeight="1">
      <c r="A199" t="inlineStr">
        <is>
          <t>A 40067-2021</t>
        </is>
      </c>
      <c r="B199" s="1" t="n">
        <v>44418</v>
      </c>
      <c r="C199" s="1" t="n">
        <v>45182</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c r="T199">
        <f>HYPERLINK("https://klasma.github.io/Logging_FALKOPING/kartor/A 40067-2021.png")</f>
        <v/>
      </c>
      <c r="V199">
        <f>HYPERLINK("https://klasma.github.io/Logging_FALKOPING/klagomål/A 40067-2021.docx")</f>
        <v/>
      </c>
      <c r="W199">
        <f>HYPERLINK("https://klasma.github.io/Logging_FALKOPING/klagomålsmail/A 40067-2021.docx")</f>
        <v/>
      </c>
      <c r="X199">
        <f>HYPERLINK("https://klasma.github.io/Logging_FALKOPING/tillsyn/A 40067-2021.docx")</f>
        <v/>
      </c>
      <c r="Y199">
        <f>HYPERLINK("https://klasma.github.io/Logging_FALKOPING/tillsynsmail/A 40067-2021.docx")</f>
        <v/>
      </c>
    </row>
    <row r="200" ht="15" customHeight="1">
      <c r="A200" t="inlineStr">
        <is>
          <t>A 44564-2021</t>
        </is>
      </c>
      <c r="B200" s="1" t="n">
        <v>44435</v>
      </c>
      <c r="C200" s="1" t="n">
        <v>45182</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c r="T200">
        <f>HYPERLINK("https://klasma.github.io/Logging_FARGELANDA/kartor/A 44564-2021.png")</f>
        <v/>
      </c>
      <c r="V200">
        <f>HYPERLINK("https://klasma.github.io/Logging_FARGELANDA/klagomål/A 44564-2021.docx")</f>
        <v/>
      </c>
      <c r="W200">
        <f>HYPERLINK("https://klasma.github.io/Logging_FARGELANDA/klagomålsmail/A 44564-2021.docx")</f>
        <v/>
      </c>
      <c r="X200">
        <f>HYPERLINK("https://klasma.github.io/Logging_FARGELANDA/tillsyn/A 44564-2021.docx")</f>
        <v/>
      </c>
      <c r="Y200">
        <f>HYPERLINK("https://klasma.github.io/Logging_FARGELANDA/tillsynsmail/A 44564-2021.docx")</f>
        <v/>
      </c>
    </row>
    <row r="201" ht="15" customHeight="1">
      <c r="A201" t="inlineStr">
        <is>
          <t>A 47429-2021</t>
        </is>
      </c>
      <c r="B201" s="1" t="n">
        <v>44447</v>
      </c>
      <c r="C201" s="1" t="n">
        <v>45182</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c r="T201">
        <f>HYPERLINK("https://klasma.github.io/Logging_SKOVDE/kartor/A 47429-2021.png")</f>
        <v/>
      </c>
      <c r="V201">
        <f>HYPERLINK("https://klasma.github.io/Logging_SKOVDE/klagomål/A 47429-2021.docx")</f>
        <v/>
      </c>
      <c r="W201">
        <f>HYPERLINK("https://klasma.github.io/Logging_SKOVDE/klagomålsmail/A 47429-2021.docx")</f>
        <v/>
      </c>
      <c r="X201">
        <f>HYPERLINK("https://klasma.github.io/Logging_SKOVDE/tillsyn/A 47429-2021.docx")</f>
        <v/>
      </c>
      <c r="Y201">
        <f>HYPERLINK("https://klasma.github.io/Logging_SKOVDE/tillsynsmail/A 47429-2021.docx")</f>
        <v/>
      </c>
    </row>
    <row r="202" ht="15" customHeight="1">
      <c r="A202" t="inlineStr">
        <is>
          <t>A 48666-2021</t>
        </is>
      </c>
      <c r="B202" s="1" t="n">
        <v>44452</v>
      </c>
      <c r="C202" s="1" t="n">
        <v>45182</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c r="T202">
        <f>HYPERLINK("https://klasma.github.io/Logging_STENUNGSUND/kartor/A 48666-2021.png")</f>
        <v/>
      </c>
      <c r="V202">
        <f>HYPERLINK("https://klasma.github.io/Logging_STENUNGSUND/klagomål/A 48666-2021.docx")</f>
        <v/>
      </c>
      <c r="W202">
        <f>HYPERLINK("https://klasma.github.io/Logging_STENUNGSUND/klagomålsmail/A 48666-2021.docx")</f>
        <v/>
      </c>
      <c r="X202">
        <f>HYPERLINK("https://klasma.github.io/Logging_STENUNGSUND/tillsyn/A 48666-2021.docx")</f>
        <v/>
      </c>
      <c r="Y202">
        <f>HYPERLINK("https://klasma.github.io/Logging_STENUNGSUND/tillsynsmail/A 48666-2021.docx")</f>
        <v/>
      </c>
    </row>
    <row r="203" ht="15" customHeight="1">
      <c r="A203" t="inlineStr">
        <is>
          <t>A 55712-2021</t>
        </is>
      </c>
      <c r="B203" s="1" t="n">
        <v>44476</v>
      </c>
      <c r="C203" s="1" t="n">
        <v>45182</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c r="T203">
        <f>HYPERLINK("https://klasma.github.io/Logging_BORAS/kartor/A 55712-2021.png")</f>
        <v/>
      </c>
      <c r="U203">
        <f>HYPERLINK("https://klasma.github.io/Logging_BORAS/knärot/A 55712-2021.png")</f>
        <v/>
      </c>
      <c r="V203">
        <f>HYPERLINK("https://klasma.github.io/Logging_BORAS/klagomål/A 55712-2021.docx")</f>
        <v/>
      </c>
      <c r="W203">
        <f>HYPERLINK("https://klasma.github.io/Logging_BORAS/klagomålsmail/A 55712-2021.docx")</f>
        <v/>
      </c>
      <c r="X203">
        <f>HYPERLINK("https://klasma.github.io/Logging_BORAS/tillsyn/A 55712-2021.docx")</f>
        <v/>
      </c>
      <c r="Y203">
        <f>HYPERLINK("https://klasma.github.io/Logging_BORAS/tillsynsmail/A 55712-2021.docx")</f>
        <v/>
      </c>
    </row>
    <row r="204" ht="15" customHeight="1">
      <c r="A204" t="inlineStr">
        <is>
          <t>A 57572-2021</t>
        </is>
      </c>
      <c r="B204" s="1" t="n">
        <v>44482</v>
      </c>
      <c r="C204" s="1" t="n">
        <v>45182</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c r="T204">
        <f>HYPERLINK("https://klasma.github.io/Logging_MARK/kartor/A 57572-2021.png")</f>
        <v/>
      </c>
      <c r="U204">
        <f>HYPERLINK("https://klasma.github.io/Logging_MARK/knärot/A 57572-2021.png")</f>
        <v/>
      </c>
      <c r="V204">
        <f>HYPERLINK("https://klasma.github.io/Logging_MARK/klagomål/A 57572-2021.docx")</f>
        <v/>
      </c>
      <c r="W204">
        <f>HYPERLINK("https://klasma.github.io/Logging_MARK/klagomålsmail/A 57572-2021.docx")</f>
        <v/>
      </c>
      <c r="X204">
        <f>HYPERLINK("https://klasma.github.io/Logging_MARK/tillsyn/A 57572-2021.docx")</f>
        <v/>
      </c>
      <c r="Y204">
        <f>HYPERLINK("https://klasma.github.io/Logging_MARK/tillsynsmail/A 57572-2021.docx")</f>
        <v/>
      </c>
    </row>
    <row r="205" ht="15" customHeight="1">
      <c r="A205" t="inlineStr">
        <is>
          <t>A 57791-2021</t>
        </is>
      </c>
      <c r="B205" s="1" t="n">
        <v>44484</v>
      </c>
      <c r="C205" s="1" t="n">
        <v>45182</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c r="T205">
        <f>HYPERLINK("https://klasma.github.io/Logging_MARIESTAD/kartor/A 57791-2021.png")</f>
        <v/>
      </c>
      <c r="V205">
        <f>HYPERLINK("https://klasma.github.io/Logging_MARIESTAD/klagomål/A 57791-2021.docx")</f>
        <v/>
      </c>
      <c r="W205">
        <f>HYPERLINK("https://klasma.github.io/Logging_MARIESTAD/klagomålsmail/A 57791-2021.docx")</f>
        <v/>
      </c>
      <c r="X205">
        <f>HYPERLINK("https://klasma.github.io/Logging_MARIESTAD/tillsyn/A 57791-2021.docx")</f>
        <v/>
      </c>
      <c r="Y205">
        <f>HYPERLINK("https://klasma.github.io/Logging_MARIESTAD/tillsynsmail/A 57791-2021.docx")</f>
        <v/>
      </c>
    </row>
    <row r="206" ht="15" customHeight="1">
      <c r="A206" t="inlineStr">
        <is>
          <t>A 64023-2021</t>
        </is>
      </c>
      <c r="B206" s="1" t="n">
        <v>44508</v>
      </c>
      <c r="C206" s="1" t="n">
        <v>45182</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c r="T206">
        <f>HYPERLINK("https://klasma.github.io/Logging_SKOVDE/kartor/A 64023-2021.png")</f>
        <v/>
      </c>
      <c r="V206">
        <f>HYPERLINK("https://klasma.github.io/Logging_SKOVDE/klagomål/A 64023-2021.docx")</f>
        <v/>
      </c>
      <c r="W206">
        <f>HYPERLINK("https://klasma.github.io/Logging_SKOVDE/klagomålsmail/A 64023-2021.docx")</f>
        <v/>
      </c>
      <c r="X206">
        <f>HYPERLINK("https://klasma.github.io/Logging_SKOVDE/tillsyn/A 64023-2021.docx")</f>
        <v/>
      </c>
      <c r="Y206">
        <f>HYPERLINK("https://klasma.github.io/Logging_SKOVDE/tillsynsmail/A 64023-2021.docx")</f>
        <v/>
      </c>
    </row>
    <row r="207" ht="15" customHeight="1">
      <c r="A207" t="inlineStr">
        <is>
          <t>A 66731-2021</t>
        </is>
      </c>
      <c r="B207" s="1" t="n">
        <v>44520</v>
      </c>
      <c r="C207" s="1" t="n">
        <v>45182</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c r="T207">
        <f>HYPERLINK("https://klasma.github.io/Logging_ULRICEHAMN/kartor/A 66731-2021.png")</f>
        <v/>
      </c>
      <c r="V207">
        <f>HYPERLINK("https://klasma.github.io/Logging_ULRICEHAMN/klagomål/A 66731-2021.docx")</f>
        <v/>
      </c>
      <c r="W207">
        <f>HYPERLINK("https://klasma.github.io/Logging_ULRICEHAMN/klagomålsmail/A 66731-2021.docx")</f>
        <v/>
      </c>
      <c r="X207">
        <f>HYPERLINK("https://klasma.github.io/Logging_ULRICEHAMN/tillsyn/A 66731-2021.docx")</f>
        <v/>
      </c>
      <c r="Y207">
        <f>HYPERLINK("https://klasma.github.io/Logging_ULRICEHAMN/tillsynsmail/A 66731-2021.docx")</f>
        <v/>
      </c>
    </row>
    <row r="208" ht="15" customHeight="1">
      <c r="A208" t="inlineStr">
        <is>
          <t>A 67507-2021</t>
        </is>
      </c>
      <c r="B208" s="1" t="n">
        <v>44524</v>
      </c>
      <c r="C208" s="1" t="n">
        <v>45182</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c r="T208">
        <f>HYPERLINK("https://klasma.github.io/Logging_MARIESTAD/kartor/A 67507-2021.png")</f>
        <v/>
      </c>
      <c r="V208">
        <f>HYPERLINK("https://klasma.github.io/Logging_MARIESTAD/klagomål/A 67507-2021.docx")</f>
        <v/>
      </c>
      <c r="W208">
        <f>HYPERLINK("https://klasma.github.io/Logging_MARIESTAD/klagomålsmail/A 67507-2021.docx")</f>
        <v/>
      </c>
      <c r="X208">
        <f>HYPERLINK("https://klasma.github.io/Logging_MARIESTAD/tillsyn/A 67507-2021.docx")</f>
        <v/>
      </c>
      <c r="Y208">
        <f>HYPERLINK("https://klasma.github.io/Logging_MARIESTAD/tillsynsmail/A 67507-2021.docx")</f>
        <v/>
      </c>
    </row>
    <row r="209" ht="15" customHeight="1">
      <c r="A209" t="inlineStr">
        <is>
          <t>A 3495-2022</t>
        </is>
      </c>
      <c r="B209" s="1" t="n">
        <v>44585</v>
      </c>
      <c r="C209" s="1" t="n">
        <v>45182</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c r="T209">
        <f>HYPERLINK("https://klasma.github.io/Logging_ULRICEHAMN/kartor/A 3495-2022.png")</f>
        <v/>
      </c>
      <c r="V209">
        <f>HYPERLINK("https://klasma.github.io/Logging_ULRICEHAMN/klagomål/A 3495-2022.docx")</f>
        <v/>
      </c>
      <c r="W209">
        <f>HYPERLINK("https://klasma.github.io/Logging_ULRICEHAMN/klagomålsmail/A 3495-2022.docx")</f>
        <v/>
      </c>
      <c r="X209">
        <f>HYPERLINK("https://klasma.github.io/Logging_ULRICEHAMN/tillsyn/A 3495-2022.docx")</f>
        <v/>
      </c>
      <c r="Y209">
        <f>HYPERLINK("https://klasma.github.io/Logging_ULRICEHAMN/tillsynsmail/A 3495-2022.docx")</f>
        <v/>
      </c>
    </row>
    <row r="210" ht="15" customHeight="1">
      <c r="A210" t="inlineStr">
        <is>
          <t>A 4173-2022</t>
        </is>
      </c>
      <c r="B210" s="1" t="n">
        <v>44588</v>
      </c>
      <c r="C210" s="1" t="n">
        <v>45182</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c r="T210">
        <f>HYPERLINK("https://klasma.github.io/Logging_STROMSTAD/kartor/A 4173-2022.png")</f>
        <v/>
      </c>
      <c r="V210">
        <f>HYPERLINK("https://klasma.github.io/Logging_STROMSTAD/klagomål/A 4173-2022.docx")</f>
        <v/>
      </c>
      <c r="W210">
        <f>HYPERLINK("https://klasma.github.io/Logging_STROMSTAD/klagomålsmail/A 4173-2022.docx")</f>
        <v/>
      </c>
      <c r="X210">
        <f>HYPERLINK("https://klasma.github.io/Logging_STROMSTAD/tillsyn/A 4173-2022.docx")</f>
        <v/>
      </c>
      <c r="Y210">
        <f>HYPERLINK("https://klasma.github.io/Logging_STROMSTAD/tillsynsmail/A 4173-2022.docx")</f>
        <v/>
      </c>
    </row>
    <row r="211" ht="15" customHeight="1">
      <c r="A211" t="inlineStr">
        <is>
          <t>A 6454-2022</t>
        </is>
      </c>
      <c r="B211" s="1" t="n">
        <v>44601</v>
      </c>
      <c r="C211" s="1" t="n">
        <v>45182</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c r="T211">
        <f>HYPERLINK("https://klasma.github.io/Logging_DALS-ED/kartor/A 6454-2022.png")</f>
        <v/>
      </c>
      <c r="V211">
        <f>HYPERLINK("https://klasma.github.io/Logging_DALS-ED/klagomål/A 6454-2022.docx")</f>
        <v/>
      </c>
      <c r="W211">
        <f>HYPERLINK("https://klasma.github.io/Logging_DALS-ED/klagomålsmail/A 6454-2022.docx")</f>
        <v/>
      </c>
      <c r="X211">
        <f>HYPERLINK("https://klasma.github.io/Logging_DALS-ED/tillsyn/A 6454-2022.docx")</f>
        <v/>
      </c>
      <c r="Y211">
        <f>HYPERLINK("https://klasma.github.io/Logging_DALS-ED/tillsynsmail/A 6454-2022.docx")</f>
        <v/>
      </c>
    </row>
    <row r="212" ht="15" customHeight="1">
      <c r="A212" t="inlineStr">
        <is>
          <t>A 7823-2022</t>
        </is>
      </c>
      <c r="B212" s="1" t="n">
        <v>44608</v>
      </c>
      <c r="C212" s="1" t="n">
        <v>45182</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c r="T212">
        <f>HYPERLINK("https://klasma.github.io/Logging_TOREBODA/kartor/A 7823-2022.png")</f>
        <v/>
      </c>
      <c r="V212">
        <f>HYPERLINK("https://klasma.github.io/Logging_TOREBODA/klagomål/A 7823-2022.docx")</f>
        <v/>
      </c>
      <c r="W212">
        <f>HYPERLINK("https://klasma.github.io/Logging_TOREBODA/klagomålsmail/A 7823-2022.docx")</f>
        <v/>
      </c>
      <c r="X212">
        <f>HYPERLINK("https://klasma.github.io/Logging_TOREBODA/tillsyn/A 7823-2022.docx")</f>
        <v/>
      </c>
      <c r="Y212">
        <f>HYPERLINK("https://klasma.github.io/Logging_TOREBODA/tillsynsmail/A 7823-2022.docx")</f>
        <v/>
      </c>
    </row>
    <row r="213" ht="15" customHeight="1">
      <c r="A213" t="inlineStr">
        <is>
          <t>A 8510-2022</t>
        </is>
      </c>
      <c r="B213" s="1" t="n">
        <v>44613</v>
      </c>
      <c r="C213" s="1" t="n">
        <v>45182</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c r="T213">
        <f>HYPERLINK("https://klasma.github.io/Logging_TIBRO/kartor/A 8510-2022.png")</f>
        <v/>
      </c>
      <c r="V213">
        <f>HYPERLINK("https://klasma.github.io/Logging_TIBRO/klagomål/A 8510-2022.docx")</f>
        <v/>
      </c>
      <c r="W213">
        <f>HYPERLINK("https://klasma.github.io/Logging_TIBRO/klagomålsmail/A 8510-2022.docx")</f>
        <v/>
      </c>
      <c r="X213">
        <f>HYPERLINK("https://klasma.github.io/Logging_TIBRO/tillsyn/A 8510-2022.docx")</f>
        <v/>
      </c>
      <c r="Y213">
        <f>HYPERLINK("https://klasma.github.io/Logging_TIBRO/tillsynsmail/A 8510-2022.docx")</f>
        <v/>
      </c>
    </row>
    <row r="214" ht="15" customHeight="1">
      <c r="A214" t="inlineStr">
        <is>
          <t>A 9099-2022</t>
        </is>
      </c>
      <c r="B214" s="1" t="n">
        <v>44615</v>
      </c>
      <c r="C214" s="1" t="n">
        <v>45182</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c r="T214">
        <f>HYPERLINK("https://klasma.github.io/Logging_LILLA_EDET/kartor/A 9099-2022.png")</f>
        <v/>
      </c>
      <c r="V214">
        <f>HYPERLINK("https://klasma.github.io/Logging_LILLA_EDET/klagomål/A 9099-2022.docx")</f>
        <v/>
      </c>
      <c r="W214">
        <f>HYPERLINK("https://klasma.github.io/Logging_LILLA_EDET/klagomålsmail/A 9099-2022.docx")</f>
        <v/>
      </c>
      <c r="X214">
        <f>HYPERLINK("https://klasma.github.io/Logging_LILLA_EDET/tillsyn/A 9099-2022.docx")</f>
        <v/>
      </c>
      <c r="Y214">
        <f>HYPERLINK("https://klasma.github.io/Logging_LILLA_EDET/tillsynsmail/A 9099-2022.docx")</f>
        <v/>
      </c>
    </row>
    <row r="215" ht="15" customHeight="1">
      <c r="A215" t="inlineStr">
        <is>
          <t>A 13274-2022</t>
        </is>
      </c>
      <c r="B215" s="1" t="n">
        <v>44644</v>
      </c>
      <c r="C215" s="1" t="n">
        <v>45182</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c r="T215">
        <f>HYPERLINK("https://klasma.github.io/Logging_TANUM/kartor/A 13274-2022.png")</f>
        <v/>
      </c>
      <c r="V215">
        <f>HYPERLINK("https://klasma.github.io/Logging_TANUM/klagomål/A 13274-2022.docx")</f>
        <v/>
      </c>
      <c r="W215">
        <f>HYPERLINK("https://klasma.github.io/Logging_TANUM/klagomålsmail/A 13274-2022.docx")</f>
        <v/>
      </c>
      <c r="X215">
        <f>HYPERLINK("https://klasma.github.io/Logging_TANUM/tillsyn/A 13274-2022.docx")</f>
        <v/>
      </c>
      <c r="Y215">
        <f>HYPERLINK("https://klasma.github.io/Logging_TANUM/tillsynsmail/A 13274-2022.docx")</f>
        <v/>
      </c>
    </row>
    <row r="216" ht="15" customHeight="1">
      <c r="A216" t="inlineStr">
        <is>
          <t>A 16972-2022</t>
        </is>
      </c>
      <c r="B216" s="1" t="n">
        <v>44676</v>
      </c>
      <c r="C216" s="1" t="n">
        <v>45182</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c r="T216">
        <f>HYPERLINK("https://klasma.github.io/Logging_MUNKEDAL/kartor/A 16972-2022.png")</f>
        <v/>
      </c>
      <c r="V216">
        <f>HYPERLINK("https://klasma.github.io/Logging_MUNKEDAL/klagomål/A 16972-2022.docx")</f>
        <v/>
      </c>
      <c r="W216">
        <f>HYPERLINK("https://klasma.github.io/Logging_MUNKEDAL/klagomålsmail/A 16972-2022.docx")</f>
        <v/>
      </c>
      <c r="X216">
        <f>HYPERLINK("https://klasma.github.io/Logging_MUNKEDAL/tillsyn/A 16972-2022.docx")</f>
        <v/>
      </c>
      <c r="Y216">
        <f>HYPERLINK("https://klasma.github.io/Logging_MUNKEDAL/tillsynsmail/A 16972-2022.docx")</f>
        <v/>
      </c>
    </row>
    <row r="217" ht="15" customHeight="1">
      <c r="A217" t="inlineStr">
        <is>
          <t>A 22268-2022</t>
        </is>
      </c>
      <c r="B217" s="1" t="n">
        <v>44712</v>
      </c>
      <c r="C217" s="1" t="n">
        <v>45182</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c r="T217">
        <f>HYPERLINK("https://klasma.github.io/Logging_LERUM/kartor/A 22268-2022.png")</f>
        <v/>
      </c>
      <c r="V217">
        <f>HYPERLINK("https://klasma.github.io/Logging_LERUM/klagomål/A 22268-2022.docx")</f>
        <v/>
      </c>
      <c r="W217">
        <f>HYPERLINK("https://klasma.github.io/Logging_LERUM/klagomålsmail/A 22268-2022.docx")</f>
        <v/>
      </c>
      <c r="X217">
        <f>HYPERLINK("https://klasma.github.io/Logging_LERUM/tillsyn/A 22268-2022.docx")</f>
        <v/>
      </c>
      <c r="Y217">
        <f>HYPERLINK("https://klasma.github.io/Logging_LERUM/tillsynsmail/A 22268-2022.docx")</f>
        <v/>
      </c>
    </row>
    <row r="218" ht="15" customHeight="1">
      <c r="A218" t="inlineStr">
        <is>
          <t>A 26286-2022</t>
        </is>
      </c>
      <c r="B218" s="1" t="n">
        <v>44735</v>
      </c>
      <c r="C218" s="1" t="n">
        <v>45182</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c r="T218">
        <f>HYPERLINK("https://klasma.github.io/Logging_MUNKEDAL/kartor/A 26286-2022.png")</f>
        <v/>
      </c>
      <c r="V218">
        <f>HYPERLINK("https://klasma.github.io/Logging_MUNKEDAL/klagomål/A 26286-2022.docx")</f>
        <v/>
      </c>
      <c r="W218">
        <f>HYPERLINK("https://klasma.github.io/Logging_MUNKEDAL/klagomålsmail/A 26286-2022.docx")</f>
        <v/>
      </c>
      <c r="X218">
        <f>HYPERLINK("https://klasma.github.io/Logging_MUNKEDAL/tillsyn/A 26286-2022.docx")</f>
        <v/>
      </c>
      <c r="Y218">
        <f>HYPERLINK("https://klasma.github.io/Logging_MUNKEDAL/tillsynsmail/A 26286-2022.docx")</f>
        <v/>
      </c>
    </row>
    <row r="219" ht="15" customHeight="1">
      <c r="A219" t="inlineStr">
        <is>
          <t>A 28676-2022</t>
        </is>
      </c>
      <c r="B219" s="1" t="n">
        <v>44748</v>
      </c>
      <c r="C219" s="1" t="n">
        <v>45182</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c r="T219">
        <f>HYPERLINK("https://klasma.github.io/Logging_FALKOPING/kartor/A 28676-2022.png")</f>
        <v/>
      </c>
      <c r="V219">
        <f>HYPERLINK("https://klasma.github.io/Logging_FALKOPING/klagomål/A 28676-2022.docx")</f>
        <v/>
      </c>
      <c r="W219">
        <f>HYPERLINK("https://klasma.github.io/Logging_FALKOPING/klagomålsmail/A 28676-2022.docx")</f>
        <v/>
      </c>
      <c r="X219">
        <f>HYPERLINK("https://klasma.github.io/Logging_FALKOPING/tillsyn/A 28676-2022.docx")</f>
        <v/>
      </c>
      <c r="Y219">
        <f>HYPERLINK("https://klasma.github.io/Logging_FALKOPING/tillsynsmail/A 28676-2022.docx")</f>
        <v/>
      </c>
    </row>
    <row r="220" ht="15" customHeight="1">
      <c r="A220" t="inlineStr">
        <is>
          <t>A 29122-2022</t>
        </is>
      </c>
      <c r="B220" s="1" t="n">
        <v>44750</v>
      </c>
      <c r="C220" s="1" t="n">
        <v>45182</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c r="T220">
        <f>HYPERLINK("https://klasma.github.io/Logging_MELLERUD/kartor/A 29122-2022.png")</f>
        <v/>
      </c>
      <c r="V220">
        <f>HYPERLINK("https://klasma.github.io/Logging_MELLERUD/klagomål/A 29122-2022.docx")</f>
        <v/>
      </c>
      <c r="W220">
        <f>HYPERLINK("https://klasma.github.io/Logging_MELLERUD/klagomålsmail/A 29122-2022.docx")</f>
        <v/>
      </c>
      <c r="X220">
        <f>HYPERLINK("https://klasma.github.io/Logging_MELLERUD/tillsyn/A 29122-2022.docx")</f>
        <v/>
      </c>
      <c r="Y220">
        <f>HYPERLINK("https://klasma.github.io/Logging_MELLERUD/tillsynsmail/A 29122-2022.docx")</f>
        <v/>
      </c>
    </row>
    <row r="221" ht="15" customHeight="1">
      <c r="A221" t="inlineStr">
        <is>
          <t>A 29220-2022</t>
        </is>
      </c>
      <c r="B221" s="1" t="n">
        <v>44750</v>
      </c>
      <c r="C221" s="1" t="n">
        <v>45182</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c r="T221">
        <f>HYPERLINK("https://klasma.github.io/Logging_BENGTSFORS/kartor/A 29220-2022.png")</f>
        <v/>
      </c>
      <c r="V221">
        <f>HYPERLINK("https://klasma.github.io/Logging_BENGTSFORS/klagomål/A 29220-2022.docx")</f>
        <v/>
      </c>
      <c r="W221">
        <f>HYPERLINK("https://klasma.github.io/Logging_BENGTSFORS/klagomålsmail/A 29220-2022.docx")</f>
        <v/>
      </c>
      <c r="X221">
        <f>HYPERLINK("https://klasma.github.io/Logging_BENGTSFORS/tillsyn/A 29220-2022.docx")</f>
        <v/>
      </c>
      <c r="Y221">
        <f>HYPERLINK("https://klasma.github.io/Logging_BENGTSFORS/tillsynsmail/A 29220-2022.docx")</f>
        <v/>
      </c>
    </row>
    <row r="222" ht="15" customHeight="1">
      <c r="A222" t="inlineStr">
        <is>
          <t>A 29724-2022</t>
        </is>
      </c>
      <c r="B222" s="1" t="n">
        <v>44755</v>
      </c>
      <c r="C222" s="1" t="n">
        <v>45182</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c r="T222">
        <f>HYPERLINK("https://klasma.github.io/Logging_TIBRO/kartor/A 29724-2022.png")</f>
        <v/>
      </c>
      <c r="U222">
        <f>HYPERLINK("https://klasma.github.io/Logging_TIBRO/knärot/A 29724-2022.png")</f>
        <v/>
      </c>
      <c r="V222">
        <f>HYPERLINK("https://klasma.github.io/Logging_TIBRO/klagomål/A 29724-2022.docx")</f>
        <v/>
      </c>
      <c r="W222">
        <f>HYPERLINK("https://klasma.github.io/Logging_TIBRO/klagomålsmail/A 29724-2022.docx")</f>
        <v/>
      </c>
      <c r="X222">
        <f>HYPERLINK("https://klasma.github.io/Logging_TIBRO/tillsyn/A 29724-2022.docx")</f>
        <v/>
      </c>
      <c r="Y222">
        <f>HYPERLINK("https://klasma.github.io/Logging_TIBRO/tillsynsmail/A 29724-2022.docx")</f>
        <v/>
      </c>
    </row>
    <row r="223" ht="15" customHeight="1">
      <c r="A223" t="inlineStr">
        <is>
          <t>A 31341-2022</t>
        </is>
      </c>
      <c r="B223" s="1" t="n">
        <v>44774</v>
      </c>
      <c r="C223" s="1" t="n">
        <v>45182</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c r="T223">
        <f>HYPERLINK("https://klasma.github.io/Logging_VARGARDA/kartor/A 31341-2022.png")</f>
        <v/>
      </c>
      <c r="V223">
        <f>HYPERLINK("https://klasma.github.io/Logging_VARGARDA/klagomål/A 31341-2022.docx")</f>
        <v/>
      </c>
      <c r="W223">
        <f>HYPERLINK("https://klasma.github.io/Logging_VARGARDA/klagomålsmail/A 31341-2022.docx")</f>
        <v/>
      </c>
      <c r="X223">
        <f>HYPERLINK("https://klasma.github.io/Logging_VARGARDA/tillsyn/A 31341-2022.docx")</f>
        <v/>
      </c>
      <c r="Y223">
        <f>HYPERLINK("https://klasma.github.io/Logging_VARGARDA/tillsynsmail/A 31341-2022.docx")</f>
        <v/>
      </c>
    </row>
    <row r="224" ht="15" customHeight="1">
      <c r="A224" t="inlineStr">
        <is>
          <t>A 32280-2022</t>
        </is>
      </c>
      <c r="B224" s="1" t="n">
        <v>44781</v>
      </c>
      <c r="C224" s="1" t="n">
        <v>45182</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c r="T224">
        <f>HYPERLINK("https://klasma.github.io/Logging_LIDKOPING/kartor/A 32280-2022.png")</f>
        <v/>
      </c>
      <c r="V224">
        <f>HYPERLINK("https://klasma.github.io/Logging_LIDKOPING/klagomål/A 32280-2022.docx")</f>
        <v/>
      </c>
      <c r="W224">
        <f>HYPERLINK("https://klasma.github.io/Logging_LIDKOPING/klagomålsmail/A 32280-2022.docx")</f>
        <v/>
      </c>
      <c r="X224">
        <f>HYPERLINK("https://klasma.github.io/Logging_LIDKOPING/tillsyn/A 32280-2022.docx")</f>
        <v/>
      </c>
      <c r="Y224">
        <f>HYPERLINK("https://klasma.github.io/Logging_LIDKOPING/tillsynsmail/A 32280-2022.docx")</f>
        <v/>
      </c>
    </row>
    <row r="225" ht="15" customHeight="1">
      <c r="A225" t="inlineStr">
        <is>
          <t>A 36195-2022</t>
        </is>
      </c>
      <c r="B225" s="1" t="n">
        <v>44803</v>
      </c>
      <c r="C225" s="1" t="n">
        <v>45182</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c r="T225">
        <f>HYPERLINK("https://klasma.github.io/Logging_ALINGSAS/kartor/A 36195-2022.png")</f>
        <v/>
      </c>
      <c r="V225">
        <f>HYPERLINK("https://klasma.github.io/Logging_ALINGSAS/klagomål/A 36195-2022.docx")</f>
        <v/>
      </c>
      <c r="W225">
        <f>HYPERLINK("https://klasma.github.io/Logging_ALINGSAS/klagomålsmail/A 36195-2022.docx")</f>
        <v/>
      </c>
      <c r="X225">
        <f>HYPERLINK("https://klasma.github.io/Logging_ALINGSAS/tillsyn/A 36195-2022.docx")</f>
        <v/>
      </c>
      <c r="Y225">
        <f>HYPERLINK("https://klasma.github.io/Logging_ALINGSAS/tillsynsmail/A 36195-2022.docx")</f>
        <v/>
      </c>
    </row>
    <row r="226" ht="15" customHeight="1">
      <c r="A226" t="inlineStr">
        <is>
          <t>A 38498-2022</t>
        </is>
      </c>
      <c r="B226" s="1" t="n">
        <v>44813</v>
      </c>
      <c r="C226" s="1" t="n">
        <v>45182</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c r="T226">
        <f>HYPERLINK("https://klasma.github.io/Logging_FARGELANDA/kartor/A 38498-2022.png")</f>
        <v/>
      </c>
      <c r="V226">
        <f>HYPERLINK("https://klasma.github.io/Logging_FARGELANDA/klagomål/A 38498-2022.docx")</f>
        <v/>
      </c>
      <c r="W226">
        <f>HYPERLINK("https://klasma.github.io/Logging_FARGELANDA/klagomålsmail/A 38498-2022.docx")</f>
        <v/>
      </c>
      <c r="X226">
        <f>HYPERLINK("https://klasma.github.io/Logging_FARGELANDA/tillsyn/A 38498-2022.docx")</f>
        <v/>
      </c>
      <c r="Y226">
        <f>HYPERLINK("https://klasma.github.io/Logging_FARGELANDA/tillsynsmail/A 38498-2022.docx")</f>
        <v/>
      </c>
    </row>
    <row r="227" ht="15" customHeight="1">
      <c r="A227" t="inlineStr">
        <is>
          <t>A 39812-2022</t>
        </is>
      </c>
      <c r="B227" s="1" t="n">
        <v>44817</v>
      </c>
      <c r="C227" s="1" t="n">
        <v>45182</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c r="T227">
        <f>HYPERLINK("https://klasma.github.io/Logging_MUNKEDAL/kartor/A 39812-2022.png")</f>
        <v/>
      </c>
      <c r="V227">
        <f>HYPERLINK("https://klasma.github.io/Logging_MUNKEDAL/klagomål/A 39812-2022.docx")</f>
        <v/>
      </c>
      <c r="W227">
        <f>HYPERLINK("https://klasma.github.io/Logging_MUNKEDAL/klagomålsmail/A 39812-2022.docx")</f>
        <v/>
      </c>
      <c r="X227">
        <f>HYPERLINK("https://klasma.github.io/Logging_MUNKEDAL/tillsyn/A 39812-2022.docx")</f>
        <v/>
      </c>
      <c r="Y227">
        <f>HYPERLINK("https://klasma.github.io/Logging_MUNKEDAL/tillsynsmail/A 39812-2022.docx")</f>
        <v/>
      </c>
    </row>
    <row r="228" ht="15" customHeight="1">
      <c r="A228" t="inlineStr">
        <is>
          <t>A 51388-2022</t>
        </is>
      </c>
      <c r="B228" s="1" t="n">
        <v>44866</v>
      </c>
      <c r="C228" s="1" t="n">
        <v>45182</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c r="T228">
        <f>HYPERLINK("https://klasma.github.io/Logging_BENGTSFORS/kartor/A 51388-2022.png")</f>
        <v/>
      </c>
      <c r="V228">
        <f>HYPERLINK("https://klasma.github.io/Logging_BENGTSFORS/klagomål/A 51388-2022.docx")</f>
        <v/>
      </c>
      <c r="W228">
        <f>HYPERLINK("https://klasma.github.io/Logging_BENGTSFORS/klagomålsmail/A 51388-2022.docx")</f>
        <v/>
      </c>
      <c r="X228">
        <f>HYPERLINK("https://klasma.github.io/Logging_BENGTSFORS/tillsyn/A 51388-2022.docx")</f>
        <v/>
      </c>
      <c r="Y228">
        <f>HYPERLINK("https://klasma.github.io/Logging_BENGTSFORS/tillsynsmail/A 51388-2022.docx")</f>
        <v/>
      </c>
    </row>
    <row r="229" ht="15" customHeight="1">
      <c r="A229" t="inlineStr">
        <is>
          <t>A 51267-2022</t>
        </is>
      </c>
      <c r="B229" s="1" t="n">
        <v>44868</v>
      </c>
      <c r="C229" s="1" t="n">
        <v>45182</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c r="T229">
        <f>HYPERLINK("https://klasma.github.io/Logging_TANUM/kartor/A 51267-2022.png")</f>
        <v/>
      </c>
      <c r="V229">
        <f>HYPERLINK("https://klasma.github.io/Logging_TANUM/klagomål/A 51267-2022.docx")</f>
        <v/>
      </c>
      <c r="W229">
        <f>HYPERLINK("https://klasma.github.io/Logging_TANUM/klagomålsmail/A 51267-2022.docx")</f>
        <v/>
      </c>
      <c r="X229">
        <f>HYPERLINK("https://klasma.github.io/Logging_TANUM/tillsyn/A 51267-2022.docx")</f>
        <v/>
      </c>
      <c r="Y229">
        <f>HYPERLINK("https://klasma.github.io/Logging_TANUM/tillsynsmail/A 51267-2022.docx")</f>
        <v/>
      </c>
    </row>
    <row r="230" ht="15" customHeight="1">
      <c r="A230" t="inlineStr">
        <is>
          <t>A 58890-2022</t>
        </is>
      </c>
      <c r="B230" s="1" t="n">
        <v>44903</v>
      </c>
      <c r="C230" s="1" t="n">
        <v>45182</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c r="T230">
        <f>HYPERLINK("https://klasma.github.io/Logging_MUNKEDAL/kartor/A 58890-2022.png")</f>
        <v/>
      </c>
      <c r="V230">
        <f>HYPERLINK("https://klasma.github.io/Logging_MUNKEDAL/klagomål/A 58890-2022.docx")</f>
        <v/>
      </c>
      <c r="W230">
        <f>HYPERLINK("https://klasma.github.io/Logging_MUNKEDAL/klagomålsmail/A 58890-2022.docx")</f>
        <v/>
      </c>
      <c r="X230">
        <f>HYPERLINK("https://klasma.github.io/Logging_MUNKEDAL/tillsyn/A 58890-2022.docx")</f>
        <v/>
      </c>
      <c r="Y230">
        <f>HYPERLINK("https://klasma.github.io/Logging_MUNKEDAL/tillsynsmail/A 58890-2022.docx")</f>
        <v/>
      </c>
    </row>
    <row r="231" ht="15" customHeight="1">
      <c r="A231" t="inlineStr">
        <is>
          <t>A 61611-2022</t>
        </is>
      </c>
      <c r="B231" s="1" t="n">
        <v>44916</v>
      </c>
      <c r="C231" s="1" t="n">
        <v>45182</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c r="T231">
        <f>HYPERLINK("https://klasma.github.io/Logging_BENGTSFORS/kartor/A 61611-2022.png")</f>
        <v/>
      </c>
      <c r="V231">
        <f>HYPERLINK("https://klasma.github.io/Logging_BENGTSFORS/klagomål/A 61611-2022.docx")</f>
        <v/>
      </c>
      <c r="W231">
        <f>HYPERLINK("https://klasma.github.io/Logging_BENGTSFORS/klagomålsmail/A 61611-2022.docx")</f>
        <v/>
      </c>
      <c r="X231">
        <f>HYPERLINK("https://klasma.github.io/Logging_BENGTSFORS/tillsyn/A 61611-2022.docx")</f>
        <v/>
      </c>
      <c r="Y231">
        <f>HYPERLINK("https://klasma.github.io/Logging_BENGTSFORS/tillsynsmail/A 61611-2022.docx")</f>
        <v/>
      </c>
    </row>
    <row r="232" ht="15" customHeight="1">
      <c r="A232" t="inlineStr">
        <is>
          <t>A 2579-2023</t>
        </is>
      </c>
      <c r="B232" s="1" t="n">
        <v>44943</v>
      </c>
      <c r="C232" s="1" t="n">
        <v>45182</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c r="T232">
        <f>HYPERLINK("https://klasma.github.io/Logging_SKOVDE/kartor/A 2579-2023.png")</f>
        <v/>
      </c>
      <c r="V232">
        <f>HYPERLINK("https://klasma.github.io/Logging_SKOVDE/klagomål/A 2579-2023.docx")</f>
        <v/>
      </c>
      <c r="W232">
        <f>HYPERLINK("https://klasma.github.io/Logging_SKOVDE/klagomålsmail/A 2579-2023.docx")</f>
        <v/>
      </c>
      <c r="X232">
        <f>HYPERLINK("https://klasma.github.io/Logging_SKOVDE/tillsyn/A 2579-2023.docx")</f>
        <v/>
      </c>
      <c r="Y232">
        <f>HYPERLINK("https://klasma.github.io/Logging_SKOVDE/tillsynsmail/A 2579-2023.docx")</f>
        <v/>
      </c>
    </row>
    <row r="233" ht="15" customHeight="1">
      <c r="A233" t="inlineStr">
        <is>
          <t>A 3410-2023</t>
        </is>
      </c>
      <c r="B233" s="1" t="n">
        <v>44949</v>
      </c>
      <c r="C233" s="1" t="n">
        <v>45182</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c r="T233">
        <f>HYPERLINK("https://klasma.github.io/Logging_SKOVDE/kartor/A 3410-2023.png")</f>
        <v/>
      </c>
      <c r="V233">
        <f>HYPERLINK("https://klasma.github.io/Logging_SKOVDE/klagomål/A 3410-2023.docx")</f>
        <v/>
      </c>
      <c r="W233">
        <f>HYPERLINK("https://klasma.github.io/Logging_SKOVDE/klagomålsmail/A 3410-2023.docx")</f>
        <v/>
      </c>
      <c r="X233">
        <f>HYPERLINK("https://klasma.github.io/Logging_SKOVDE/tillsyn/A 3410-2023.docx")</f>
        <v/>
      </c>
      <c r="Y233">
        <f>HYPERLINK("https://klasma.github.io/Logging_SKOVDE/tillsynsmail/A 3410-2023.docx")</f>
        <v/>
      </c>
    </row>
    <row r="234" ht="15" customHeight="1">
      <c r="A234" t="inlineStr">
        <is>
          <t>A 3793-2023</t>
        </is>
      </c>
      <c r="B234" s="1" t="n">
        <v>44951</v>
      </c>
      <c r="C234" s="1" t="n">
        <v>45182</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c r="T234">
        <f>HYPERLINK("https://klasma.github.io/Logging_BENGTSFORS/kartor/A 3793-2023.png")</f>
        <v/>
      </c>
      <c r="V234">
        <f>HYPERLINK("https://klasma.github.io/Logging_BENGTSFORS/klagomål/A 3793-2023.docx")</f>
        <v/>
      </c>
      <c r="W234">
        <f>HYPERLINK("https://klasma.github.io/Logging_BENGTSFORS/klagomålsmail/A 3793-2023.docx")</f>
        <v/>
      </c>
      <c r="X234">
        <f>HYPERLINK("https://klasma.github.io/Logging_BENGTSFORS/tillsyn/A 3793-2023.docx")</f>
        <v/>
      </c>
      <c r="Y234">
        <f>HYPERLINK("https://klasma.github.io/Logging_BENGTSFORS/tillsynsmail/A 3793-2023.docx")</f>
        <v/>
      </c>
    </row>
    <row r="235" ht="15" customHeight="1">
      <c r="A235" t="inlineStr">
        <is>
          <t>A 4312-2023</t>
        </is>
      </c>
      <c r="B235" s="1" t="n">
        <v>44953</v>
      </c>
      <c r="C235" s="1" t="n">
        <v>45182</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c r="T235">
        <f>HYPERLINK("https://klasma.github.io/Logging_SKARA/kartor/A 4312-2023.png")</f>
        <v/>
      </c>
      <c r="V235">
        <f>HYPERLINK("https://klasma.github.io/Logging_SKARA/klagomål/A 4312-2023.docx")</f>
        <v/>
      </c>
      <c r="W235">
        <f>HYPERLINK("https://klasma.github.io/Logging_SKARA/klagomålsmail/A 4312-2023.docx")</f>
        <v/>
      </c>
      <c r="X235">
        <f>HYPERLINK("https://klasma.github.io/Logging_SKARA/tillsyn/A 4312-2023.docx")</f>
        <v/>
      </c>
      <c r="Y235">
        <f>HYPERLINK("https://klasma.github.io/Logging_SKARA/tillsynsmail/A 4312-2023.docx")</f>
        <v/>
      </c>
    </row>
    <row r="236" ht="15" customHeight="1">
      <c r="A236" t="inlineStr">
        <is>
          <t>A 12076-2023</t>
        </is>
      </c>
      <c r="B236" s="1" t="n">
        <v>44997</v>
      </c>
      <c r="C236" s="1" t="n">
        <v>45182</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c r="T236">
        <f>HYPERLINK("https://klasma.github.io/Logging_BENGTSFORS/kartor/A 12076-2023.png")</f>
        <v/>
      </c>
      <c r="V236">
        <f>HYPERLINK("https://klasma.github.io/Logging_BENGTSFORS/klagomål/A 12076-2023.docx")</f>
        <v/>
      </c>
      <c r="W236">
        <f>HYPERLINK("https://klasma.github.io/Logging_BENGTSFORS/klagomålsmail/A 12076-2023.docx")</f>
        <v/>
      </c>
      <c r="X236">
        <f>HYPERLINK("https://klasma.github.io/Logging_BENGTSFORS/tillsyn/A 12076-2023.docx")</f>
        <v/>
      </c>
      <c r="Y236">
        <f>HYPERLINK("https://klasma.github.io/Logging_BENGTSFORS/tillsynsmail/A 12076-2023.docx")</f>
        <v/>
      </c>
    </row>
    <row r="237" ht="15" customHeight="1">
      <c r="A237" t="inlineStr">
        <is>
          <t>A 12617-2023</t>
        </is>
      </c>
      <c r="B237" s="1" t="n">
        <v>45000</v>
      </c>
      <c r="C237" s="1" t="n">
        <v>45182</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c r="T237">
        <f>HYPERLINK("https://klasma.github.io/Logging_LILLA_EDET/kartor/A 12617-2023.png")</f>
        <v/>
      </c>
      <c r="V237">
        <f>HYPERLINK("https://klasma.github.io/Logging_LILLA_EDET/klagomål/A 12617-2023.docx")</f>
        <v/>
      </c>
      <c r="W237">
        <f>HYPERLINK("https://klasma.github.io/Logging_LILLA_EDET/klagomålsmail/A 12617-2023.docx")</f>
        <v/>
      </c>
      <c r="X237">
        <f>HYPERLINK("https://klasma.github.io/Logging_LILLA_EDET/tillsyn/A 12617-2023.docx")</f>
        <v/>
      </c>
      <c r="Y237">
        <f>HYPERLINK("https://klasma.github.io/Logging_LILLA_EDET/tillsynsmail/A 12617-2023.docx")</f>
        <v/>
      </c>
    </row>
    <row r="238" ht="15" customHeight="1">
      <c r="A238" t="inlineStr">
        <is>
          <t>A 12658-2023</t>
        </is>
      </c>
      <c r="B238" s="1" t="n">
        <v>45000</v>
      </c>
      <c r="C238" s="1" t="n">
        <v>45182</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c r="T238">
        <f>HYPERLINK("https://klasma.github.io/Logging_GOTENE/kartor/A 12658-2023.png")</f>
        <v/>
      </c>
      <c r="V238">
        <f>HYPERLINK("https://klasma.github.io/Logging_GOTENE/klagomål/A 12658-2023.docx")</f>
        <v/>
      </c>
      <c r="W238">
        <f>HYPERLINK("https://klasma.github.io/Logging_GOTENE/klagomålsmail/A 12658-2023.docx")</f>
        <v/>
      </c>
      <c r="X238">
        <f>HYPERLINK("https://klasma.github.io/Logging_GOTENE/tillsyn/A 12658-2023.docx")</f>
        <v/>
      </c>
      <c r="Y238">
        <f>HYPERLINK("https://klasma.github.io/Logging_GOTENE/tillsynsmail/A 12658-2023.docx")</f>
        <v/>
      </c>
    </row>
    <row r="239" ht="15" customHeight="1">
      <c r="A239" t="inlineStr">
        <is>
          <t>A 14042-2023</t>
        </is>
      </c>
      <c r="B239" s="1" t="n">
        <v>45008</v>
      </c>
      <c r="C239" s="1" t="n">
        <v>45182</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c r="T239">
        <f>HYPERLINK("https://klasma.github.io/Logging_PARTILLE/kartor/A 14042-2023.png")</f>
        <v/>
      </c>
      <c r="V239">
        <f>HYPERLINK("https://klasma.github.io/Logging_PARTILLE/klagomål/A 14042-2023.docx")</f>
        <v/>
      </c>
      <c r="W239">
        <f>HYPERLINK("https://klasma.github.io/Logging_PARTILLE/klagomålsmail/A 14042-2023.docx")</f>
        <v/>
      </c>
      <c r="X239">
        <f>HYPERLINK("https://klasma.github.io/Logging_PARTILLE/tillsyn/A 14042-2023.docx")</f>
        <v/>
      </c>
      <c r="Y239">
        <f>HYPERLINK("https://klasma.github.io/Logging_PARTILLE/tillsynsmail/A 14042-2023.docx")</f>
        <v/>
      </c>
    </row>
    <row r="240" ht="15" customHeight="1">
      <c r="A240" t="inlineStr">
        <is>
          <t>A 17693-2023</t>
        </is>
      </c>
      <c r="B240" s="1" t="n">
        <v>45037</v>
      </c>
      <c r="C240" s="1" t="n">
        <v>45182</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c r="T240">
        <f>HYPERLINK("https://klasma.github.io/Logging_MELLERUD/kartor/A 17693-2023.png")</f>
        <v/>
      </c>
      <c r="V240">
        <f>HYPERLINK("https://klasma.github.io/Logging_MELLERUD/klagomål/A 17693-2023.docx")</f>
        <v/>
      </c>
      <c r="W240">
        <f>HYPERLINK("https://klasma.github.io/Logging_MELLERUD/klagomålsmail/A 17693-2023.docx")</f>
        <v/>
      </c>
      <c r="X240">
        <f>HYPERLINK("https://klasma.github.io/Logging_MELLERUD/tillsyn/A 17693-2023.docx")</f>
        <v/>
      </c>
      <c r="Y240">
        <f>HYPERLINK("https://klasma.github.io/Logging_MELLERUD/tillsynsmail/A 17693-2023.docx")</f>
        <v/>
      </c>
    </row>
    <row r="241" ht="15" customHeight="1">
      <c r="A241" t="inlineStr">
        <is>
          <t>A 23423-2023</t>
        </is>
      </c>
      <c r="B241" s="1" t="n">
        <v>45076</v>
      </c>
      <c r="C241" s="1" t="n">
        <v>45182</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c r="T241">
        <f>HYPERLINK("https://klasma.github.io/Logging_GOTENE/kartor/A 23423-2023.png")</f>
        <v/>
      </c>
      <c r="V241">
        <f>HYPERLINK("https://klasma.github.io/Logging_GOTENE/klagomål/A 23423-2023.docx")</f>
        <v/>
      </c>
      <c r="W241">
        <f>HYPERLINK("https://klasma.github.io/Logging_GOTENE/klagomålsmail/A 23423-2023.docx")</f>
        <v/>
      </c>
      <c r="X241">
        <f>HYPERLINK("https://klasma.github.io/Logging_GOTENE/tillsyn/A 23423-2023.docx")</f>
        <v/>
      </c>
      <c r="Y241">
        <f>HYPERLINK("https://klasma.github.io/Logging_GOTENE/tillsynsmail/A 23423-2023.docx")</f>
        <v/>
      </c>
    </row>
    <row r="242" ht="15" customHeight="1">
      <c r="A242" t="inlineStr">
        <is>
          <t>A 26613-2023</t>
        </is>
      </c>
      <c r="B242" s="1" t="n">
        <v>45092</v>
      </c>
      <c r="C242" s="1" t="n">
        <v>45182</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c r="T242">
        <f>HYPERLINK("https://klasma.github.io/Logging_BENGTSFORS/kartor/A 26613-2023.png")</f>
        <v/>
      </c>
      <c r="V242">
        <f>HYPERLINK("https://klasma.github.io/Logging_BENGTSFORS/klagomål/A 26613-2023.docx")</f>
        <v/>
      </c>
      <c r="W242">
        <f>HYPERLINK("https://klasma.github.io/Logging_BENGTSFORS/klagomålsmail/A 26613-2023.docx")</f>
        <v/>
      </c>
      <c r="X242">
        <f>HYPERLINK("https://klasma.github.io/Logging_BENGTSFORS/tillsyn/A 26613-2023.docx")</f>
        <v/>
      </c>
      <c r="Y242">
        <f>HYPERLINK("https://klasma.github.io/Logging_BENGTSFORS/tillsynsmail/A 26613-2023.docx")</f>
        <v/>
      </c>
    </row>
    <row r="243" ht="15" customHeight="1">
      <c r="A243" t="inlineStr">
        <is>
          <t>A 27184-2023</t>
        </is>
      </c>
      <c r="B243" s="1" t="n">
        <v>45096</v>
      </c>
      <c r="C243" s="1" t="n">
        <v>45182</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c r="T243">
        <f>HYPERLINK("https://klasma.github.io/Logging_TRANEMO/kartor/A 27184-2023.png")</f>
        <v/>
      </c>
      <c r="V243">
        <f>HYPERLINK("https://klasma.github.io/Logging_TRANEMO/klagomål/A 27184-2023.docx")</f>
        <v/>
      </c>
      <c r="W243">
        <f>HYPERLINK("https://klasma.github.io/Logging_TRANEMO/klagomålsmail/A 27184-2023.docx")</f>
        <v/>
      </c>
      <c r="X243">
        <f>HYPERLINK("https://klasma.github.io/Logging_TRANEMO/tillsyn/A 27184-2023.docx")</f>
        <v/>
      </c>
      <c r="Y243">
        <f>HYPERLINK("https://klasma.github.io/Logging_TRANEMO/tillsynsmail/A 27184-2023.docx")</f>
        <v/>
      </c>
    </row>
    <row r="244" ht="15" customHeight="1">
      <c r="A244" t="inlineStr">
        <is>
          <t>A 33928-2018</t>
        </is>
      </c>
      <c r="B244" s="1" t="n">
        <v>43314</v>
      </c>
      <c r="C244" s="1" t="n">
        <v>45182</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c r="T244">
        <f>HYPERLINK("https://klasma.github.io/Logging_DALS-ED/kartor/A 33928-2018.png")</f>
        <v/>
      </c>
      <c r="V244">
        <f>HYPERLINK("https://klasma.github.io/Logging_DALS-ED/klagomål/A 33928-2018.docx")</f>
        <v/>
      </c>
      <c r="W244">
        <f>HYPERLINK("https://klasma.github.io/Logging_DALS-ED/klagomålsmail/A 33928-2018.docx")</f>
        <v/>
      </c>
      <c r="X244">
        <f>HYPERLINK("https://klasma.github.io/Logging_DALS-ED/tillsyn/A 33928-2018.docx")</f>
        <v/>
      </c>
      <c r="Y244">
        <f>HYPERLINK("https://klasma.github.io/Logging_DALS-ED/tillsynsmail/A 33928-2018.docx")</f>
        <v/>
      </c>
    </row>
    <row r="245" ht="15" customHeight="1">
      <c r="A245" t="inlineStr">
        <is>
          <t>A 34462-2018</t>
        </is>
      </c>
      <c r="B245" s="1" t="n">
        <v>43319</v>
      </c>
      <c r="C245" s="1" t="n">
        <v>45182</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c r="T245">
        <f>HYPERLINK("https://klasma.github.io/Logging_GULLSPANG/kartor/A 34462-2018.png")</f>
        <v/>
      </c>
      <c r="V245">
        <f>HYPERLINK("https://klasma.github.io/Logging_GULLSPANG/klagomål/A 34462-2018.docx")</f>
        <v/>
      </c>
      <c r="W245">
        <f>HYPERLINK("https://klasma.github.io/Logging_GULLSPANG/klagomålsmail/A 34462-2018.docx")</f>
        <v/>
      </c>
      <c r="X245">
        <f>HYPERLINK("https://klasma.github.io/Logging_GULLSPANG/tillsyn/A 34462-2018.docx")</f>
        <v/>
      </c>
      <c r="Y245">
        <f>HYPERLINK("https://klasma.github.io/Logging_GULLSPANG/tillsynsmail/A 34462-2018.docx")</f>
        <v/>
      </c>
    </row>
    <row r="246" ht="15" customHeight="1">
      <c r="A246" t="inlineStr">
        <is>
          <t>A 36698-2018</t>
        </is>
      </c>
      <c r="B246" s="1" t="n">
        <v>43329</v>
      </c>
      <c r="C246" s="1" t="n">
        <v>45182</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c r="T246">
        <f>HYPERLINK("https://klasma.github.io/Logging_BORAS/kartor/A 36698-2018.png")</f>
        <v/>
      </c>
      <c r="V246">
        <f>HYPERLINK("https://klasma.github.io/Logging_BORAS/klagomål/A 36698-2018.docx")</f>
        <v/>
      </c>
      <c r="W246">
        <f>HYPERLINK("https://klasma.github.io/Logging_BORAS/klagomålsmail/A 36698-2018.docx")</f>
        <v/>
      </c>
      <c r="X246">
        <f>HYPERLINK("https://klasma.github.io/Logging_BORAS/tillsyn/A 36698-2018.docx")</f>
        <v/>
      </c>
      <c r="Y246">
        <f>HYPERLINK("https://klasma.github.io/Logging_BORAS/tillsynsmail/A 36698-2018.docx")</f>
        <v/>
      </c>
    </row>
    <row r="247" ht="15" customHeight="1">
      <c r="A247" t="inlineStr">
        <is>
          <t>A 40206-2018</t>
        </is>
      </c>
      <c r="B247" s="1" t="n">
        <v>43343</v>
      </c>
      <c r="C247" s="1" t="n">
        <v>45182</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c r="T247">
        <f>HYPERLINK("https://klasma.github.io/Logging_BORAS/kartor/A 40206-2018.png")</f>
        <v/>
      </c>
      <c r="V247">
        <f>HYPERLINK("https://klasma.github.io/Logging_BORAS/klagomål/A 40206-2018.docx")</f>
        <v/>
      </c>
      <c r="W247">
        <f>HYPERLINK("https://klasma.github.io/Logging_BORAS/klagomålsmail/A 40206-2018.docx")</f>
        <v/>
      </c>
      <c r="X247">
        <f>HYPERLINK("https://klasma.github.io/Logging_BORAS/tillsyn/A 40206-2018.docx")</f>
        <v/>
      </c>
      <c r="Y247">
        <f>HYPERLINK("https://klasma.github.io/Logging_BORAS/tillsynsmail/A 40206-2018.docx")</f>
        <v/>
      </c>
    </row>
    <row r="248" ht="15" customHeight="1">
      <c r="A248" t="inlineStr">
        <is>
          <t>A 41499-2018</t>
        </is>
      </c>
      <c r="B248" s="1" t="n">
        <v>43349</v>
      </c>
      <c r="C248" s="1" t="n">
        <v>45182</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c r="T248">
        <f>HYPERLINK("https://klasma.github.io/Logging_FALKOPING/kartor/A 41499-2018.png")</f>
        <v/>
      </c>
      <c r="V248">
        <f>HYPERLINK("https://klasma.github.io/Logging_FALKOPING/klagomål/A 41499-2018.docx")</f>
        <v/>
      </c>
      <c r="W248">
        <f>HYPERLINK("https://klasma.github.io/Logging_FALKOPING/klagomålsmail/A 41499-2018.docx")</f>
        <v/>
      </c>
      <c r="X248">
        <f>HYPERLINK("https://klasma.github.io/Logging_FALKOPING/tillsyn/A 41499-2018.docx")</f>
        <v/>
      </c>
      <c r="Y248">
        <f>HYPERLINK("https://klasma.github.io/Logging_FALKOPING/tillsynsmail/A 41499-2018.docx")</f>
        <v/>
      </c>
    </row>
    <row r="249" ht="15" customHeight="1">
      <c r="A249" t="inlineStr">
        <is>
          <t>A 42060-2018</t>
        </is>
      </c>
      <c r="B249" s="1" t="n">
        <v>43353</v>
      </c>
      <c r="C249" s="1" t="n">
        <v>45182</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c r="T249">
        <f>HYPERLINK("https://klasma.github.io/Logging_HARRYDA/kartor/A 42060-2018.png")</f>
        <v/>
      </c>
      <c r="V249">
        <f>HYPERLINK("https://klasma.github.io/Logging_HARRYDA/klagomål/A 42060-2018.docx")</f>
        <v/>
      </c>
      <c r="W249">
        <f>HYPERLINK("https://klasma.github.io/Logging_HARRYDA/klagomålsmail/A 42060-2018.docx")</f>
        <v/>
      </c>
      <c r="X249">
        <f>HYPERLINK("https://klasma.github.io/Logging_HARRYDA/tillsyn/A 42060-2018.docx")</f>
        <v/>
      </c>
      <c r="Y249">
        <f>HYPERLINK("https://klasma.github.io/Logging_HARRYDA/tillsynsmail/A 42060-2018.docx")</f>
        <v/>
      </c>
    </row>
    <row r="250" ht="15" customHeight="1">
      <c r="A250" t="inlineStr">
        <is>
          <t>A 43453-2018</t>
        </is>
      </c>
      <c r="B250" s="1" t="n">
        <v>43354</v>
      </c>
      <c r="C250" s="1" t="n">
        <v>45182</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c r="T250">
        <f>HYPERLINK("https://klasma.github.io/Logging_VARGARDA/kartor/A 43453-2018.png")</f>
        <v/>
      </c>
      <c r="V250">
        <f>HYPERLINK("https://klasma.github.io/Logging_VARGARDA/klagomål/A 43453-2018.docx")</f>
        <v/>
      </c>
      <c r="W250">
        <f>HYPERLINK("https://klasma.github.io/Logging_VARGARDA/klagomålsmail/A 43453-2018.docx")</f>
        <v/>
      </c>
      <c r="X250">
        <f>HYPERLINK("https://klasma.github.io/Logging_VARGARDA/tillsyn/A 43453-2018.docx")</f>
        <v/>
      </c>
      <c r="Y250">
        <f>HYPERLINK("https://klasma.github.io/Logging_VARGARDA/tillsynsmail/A 43453-2018.docx")</f>
        <v/>
      </c>
    </row>
    <row r="251" ht="15" customHeight="1">
      <c r="A251" t="inlineStr">
        <is>
          <t>A 47017-2018</t>
        </is>
      </c>
      <c r="B251" s="1" t="n">
        <v>43369</v>
      </c>
      <c r="C251" s="1" t="n">
        <v>45182</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c r="T251">
        <f>HYPERLINK("https://klasma.github.io/Logging_BORAS/kartor/A 47017-2018.png")</f>
        <v/>
      </c>
      <c r="V251">
        <f>HYPERLINK("https://klasma.github.io/Logging_BORAS/klagomål/A 47017-2018.docx")</f>
        <v/>
      </c>
      <c r="W251">
        <f>HYPERLINK("https://klasma.github.io/Logging_BORAS/klagomålsmail/A 47017-2018.docx")</f>
        <v/>
      </c>
      <c r="X251">
        <f>HYPERLINK("https://klasma.github.io/Logging_BORAS/tillsyn/A 47017-2018.docx")</f>
        <v/>
      </c>
      <c r="Y251">
        <f>HYPERLINK("https://klasma.github.io/Logging_BORAS/tillsynsmail/A 47017-2018.docx")</f>
        <v/>
      </c>
    </row>
    <row r="252" ht="15" customHeight="1">
      <c r="A252" t="inlineStr">
        <is>
          <t>A 48714-2018</t>
        </is>
      </c>
      <c r="B252" s="1" t="n">
        <v>43371</v>
      </c>
      <c r="C252" s="1" t="n">
        <v>45182</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c r="T252">
        <f>HYPERLINK("https://klasma.github.io/Logging_VANERSBORG/kartor/A 48714-2018.png")</f>
        <v/>
      </c>
      <c r="V252">
        <f>HYPERLINK("https://klasma.github.io/Logging_VANERSBORG/klagomål/A 48714-2018.docx")</f>
        <v/>
      </c>
      <c r="W252">
        <f>HYPERLINK("https://klasma.github.io/Logging_VANERSBORG/klagomålsmail/A 48714-2018.docx")</f>
        <v/>
      </c>
      <c r="X252">
        <f>HYPERLINK("https://klasma.github.io/Logging_VANERSBORG/tillsyn/A 48714-2018.docx")</f>
        <v/>
      </c>
      <c r="Y252">
        <f>HYPERLINK("https://klasma.github.io/Logging_VANERSBORG/tillsynsmail/A 48714-2018.docx")</f>
        <v/>
      </c>
    </row>
    <row r="253" ht="15" customHeight="1">
      <c r="A253" t="inlineStr">
        <is>
          <t>A 49406-2018</t>
        </is>
      </c>
      <c r="B253" s="1" t="n">
        <v>43375</v>
      </c>
      <c r="C253" s="1" t="n">
        <v>45182</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c r="T253">
        <f>HYPERLINK("https://klasma.github.io/Logging_FARGELANDA/kartor/A 49406-2018.png")</f>
        <v/>
      </c>
      <c r="V253">
        <f>HYPERLINK("https://klasma.github.io/Logging_FARGELANDA/klagomål/A 49406-2018.docx")</f>
        <v/>
      </c>
      <c r="W253">
        <f>HYPERLINK("https://klasma.github.io/Logging_FARGELANDA/klagomålsmail/A 49406-2018.docx")</f>
        <v/>
      </c>
      <c r="X253">
        <f>HYPERLINK("https://klasma.github.io/Logging_FARGELANDA/tillsyn/A 49406-2018.docx")</f>
        <v/>
      </c>
      <c r="Y253">
        <f>HYPERLINK("https://klasma.github.io/Logging_FARGELANDA/tillsynsmail/A 49406-2018.docx")</f>
        <v/>
      </c>
    </row>
    <row r="254" ht="15" customHeight="1">
      <c r="A254" t="inlineStr">
        <is>
          <t>A 52506-2018</t>
        </is>
      </c>
      <c r="B254" s="1" t="n">
        <v>43388</v>
      </c>
      <c r="C254" s="1" t="n">
        <v>45182</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c r="T254">
        <f>HYPERLINK("https://klasma.github.io/Logging_MARK/kartor/A 52506-2018.png")</f>
        <v/>
      </c>
      <c r="V254">
        <f>HYPERLINK("https://klasma.github.io/Logging_MARK/klagomål/A 52506-2018.docx")</f>
        <v/>
      </c>
      <c r="W254">
        <f>HYPERLINK("https://klasma.github.io/Logging_MARK/klagomålsmail/A 52506-2018.docx")</f>
        <v/>
      </c>
      <c r="X254">
        <f>HYPERLINK("https://klasma.github.io/Logging_MARK/tillsyn/A 52506-2018.docx")</f>
        <v/>
      </c>
      <c r="Y254">
        <f>HYPERLINK("https://klasma.github.io/Logging_MARK/tillsynsmail/A 52506-2018.docx")</f>
        <v/>
      </c>
    </row>
    <row r="255" ht="15" customHeight="1">
      <c r="A255" t="inlineStr">
        <is>
          <t>A 57212-2018</t>
        </is>
      </c>
      <c r="B255" s="1" t="n">
        <v>43403</v>
      </c>
      <c r="C255" s="1" t="n">
        <v>45182</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c r="T255">
        <f>HYPERLINK("https://klasma.github.io/Logging_BOLLEBYGD/kartor/A 57212-2018.png")</f>
        <v/>
      </c>
      <c r="V255">
        <f>HYPERLINK("https://klasma.github.io/Logging_BOLLEBYGD/klagomål/A 57212-2018.docx")</f>
        <v/>
      </c>
      <c r="W255">
        <f>HYPERLINK("https://klasma.github.io/Logging_BOLLEBYGD/klagomålsmail/A 57212-2018.docx")</f>
        <v/>
      </c>
      <c r="X255">
        <f>HYPERLINK("https://klasma.github.io/Logging_BOLLEBYGD/tillsyn/A 57212-2018.docx")</f>
        <v/>
      </c>
      <c r="Y255">
        <f>HYPERLINK("https://klasma.github.io/Logging_BOLLEBYGD/tillsynsmail/A 57212-2018.docx")</f>
        <v/>
      </c>
    </row>
    <row r="256" ht="15" customHeight="1">
      <c r="A256" t="inlineStr">
        <is>
          <t>A 60849-2018</t>
        </is>
      </c>
      <c r="B256" s="1" t="n">
        <v>43410</v>
      </c>
      <c r="C256" s="1" t="n">
        <v>45182</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c r="T256">
        <f>HYPERLINK("https://klasma.github.io/Logging_SKOVDE/kartor/A 60849-2018.png")</f>
        <v/>
      </c>
      <c r="V256">
        <f>HYPERLINK("https://klasma.github.io/Logging_SKOVDE/klagomål/A 60849-2018.docx")</f>
        <v/>
      </c>
      <c r="W256">
        <f>HYPERLINK("https://klasma.github.io/Logging_SKOVDE/klagomålsmail/A 60849-2018.docx")</f>
        <v/>
      </c>
      <c r="X256">
        <f>HYPERLINK("https://klasma.github.io/Logging_SKOVDE/tillsyn/A 60849-2018.docx")</f>
        <v/>
      </c>
      <c r="Y256">
        <f>HYPERLINK("https://klasma.github.io/Logging_SKOVDE/tillsynsmail/A 60849-2018.docx")</f>
        <v/>
      </c>
    </row>
    <row r="257" ht="15" customHeight="1">
      <c r="A257" t="inlineStr">
        <is>
          <t>A 62092-2018</t>
        </is>
      </c>
      <c r="B257" s="1" t="n">
        <v>43416</v>
      </c>
      <c r="C257" s="1" t="n">
        <v>45182</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c r="T257">
        <f>HYPERLINK("https://klasma.github.io/Logging_BOLLEBYGD/kartor/A 62092-2018.png")</f>
        <v/>
      </c>
      <c r="V257">
        <f>HYPERLINK("https://klasma.github.io/Logging_BOLLEBYGD/klagomål/A 62092-2018.docx")</f>
        <v/>
      </c>
      <c r="W257">
        <f>HYPERLINK("https://klasma.github.io/Logging_BOLLEBYGD/klagomålsmail/A 62092-2018.docx")</f>
        <v/>
      </c>
      <c r="X257">
        <f>HYPERLINK("https://klasma.github.io/Logging_BOLLEBYGD/tillsyn/A 62092-2018.docx")</f>
        <v/>
      </c>
      <c r="Y257">
        <f>HYPERLINK("https://klasma.github.io/Logging_BOLLEBYGD/tillsynsmail/A 62092-2018.docx")</f>
        <v/>
      </c>
    </row>
    <row r="258" ht="15" customHeight="1">
      <c r="A258" t="inlineStr">
        <is>
          <t>A 59081-2018</t>
        </is>
      </c>
      <c r="B258" s="1" t="n">
        <v>43417</v>
      </c>
      <c r="C258" s="1" t="n">
        <v>45182</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c r="T258">
        <f>HYPERLINK("https://klasma.github.io/Logging_ALINGSAS/kartor/A 59081-2018.png")</f>
        <v/>
      </c>
      <c r="V258">
        <f>HYPERLINK("https://klasma.github.io/Logging_ALINGSAS/klagomål/A 59081-2018.docx")</f>
        <v/>
      </c>
      <c r="W258">
        <f>HYPERLINK("https://klasma.github.io/Logging_ALINGSAS/klagomålsmail/A 59081-2018.docx")</f>
        <v/>
      </c>
      <c r="X258">
        <f>HYPERLINK("https://klasma.github.io/Logging_ALINGSAS/tillsyn/A 59081-2018.docx")</f>
        <v/>
      </c>
      <c r="Y258">
        <f>HYPERLINK("https://klasma.github.io/Logging_ALINGSAS/tillsynsmail/A 59081-2018.docx")</f>
        <v/>
      </c>
    </row>
    <row r="259" ht="15" customHeight="1">
      <c r="A259" t="inlineStr">
        <is>
          <t>A 59630-2018</t>
        </is>
      </c>
      <c r="B259" s="1" t="n">
        <v>43419</v>
      </c>
      <c r="C259" s="1" t="n">
        <v>45182</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c r="T259">
        <f>HYPERLINK("https://klasma.github.io/Logging_SKOVDE/kartor/A 59630-2018.png")</f>
        <v/>
      </c>
      <c r="V259">
        <f>HYPERLINK("https://klasma.github.io/Logging_SKOVDE/klagomål/A 59630-2018.docx")</f>
        <v/>
      </c>
      <c r="W259">
        <f>HYPERLINK("https://klasma.github.io/Logging_SKOVDE/klagomålsmail/A 59630-2018.docx")</f>
        <v/>
      </c>
      <c r="X259">
        <f>HYPERLINK("https://klasma.github.io/Logging_SKOVDE/tillsyn/A 59630-2018.docx")</f>
        <v/>
      </c>
      <c r="Y259">
        <f>HYPERLINK("https://klasma.github.io/Logging_SKOVDE/tillsynsmail/A 59630-2018.docx")</f>
        <v/>
      </c>
    </row>
    <row r="260" ht="15" customHeight="1">
      <c r="A260" t="inlineStr">
        <is>
          <t>A 65741-2018</t>
        </is>
      </c>
      <c r="B260" s="1" t="n">
        <v>43426</v>
      </c>
      <c r="C260" s="1" t="n">
        <v>45182</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c r="T260">
        <f>HYPERLINK("https://klasma.github.io/Logging_GULLSPANG/kartor/A 65741-2018.png")</f>
        <v/>
      </c>
      <c r="V260">
        <f>HYPERLINK("https://klasma.github.io/Logging_GULLSPANG/klagomål/A 65741-2018.docx")</f>
        <v/>
      </c>
      <c r="W260">
        <f>HYPERLINK("https://klasma.github.io/Logging_GULLSPANG/klagomålsmail/A 65741-2018.docx")</f>
        <v/>
      </c>
      <c r="X260">
        <f>HYPERLINK("https://klasma.github.io/Logging_GULLSPANG/tillsyn/A 65741-2018.docx")</f>
        <v/>
      </c>
      <c r="Y260">
        <f>HYPERLINK("https://klasma.github.io/Logging_GULLSPANG/tillsynsmail/A 65741-2018.docx")</f>
        <v/>
      </c>
    </row>
    <row r="261" ht="15" customHeight="1">
      <c r="A261" t="inlineStr">
        <is>
          <t>A 984-2019</t>
        </is>
      </c>
      <c r="B261" s="1" t="n">
        <v>43430</v>
      </c>
      <c r="C261" s="1" t="n">
        <v>45182</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c r="T261">
        <f>HYPERLINK("https://klasma.github.io/Logging_STROMSTAD/kartor/A 984-2019.png")</f>
        <v/>
      </c>
      <c r="V261">
        <f>HYPERLINK("https://klasma.github.io/Logging_STROMSTAD/klagomål/A 984-2019.docx")</f>
        <v/>
      </c>
      <c r="W261">
        <f>HYPERLINK("https://klasma.github.io/Logging_STROMSTAD/klagomålsmail/A 984-2019.docx")</f>
        <v/>
      </c>
      <c r="X261">
        <f>HYPERLINK("https://klasma.github.io/Logging_STROMSTAD/tillsyn/A 984-2019.docx")</f>
        <v/>
      </c>
      <c r="Y261">
        <f>HYPERLINK("https://klasma.github.io/Logging_STROMSTAD/tillsynsmail/A 984-2019.docx")</f>
        <v/>
      </c>
    </row>
    <row r="262" ht="15" customHeight="1">
      <c r="A262" t="inlineStr">
        <is>
          <t>A 65688-2018</t>
        </is>
      </c>
      <c r="B262" s="1" t="n">
        <v>43433</v>
      </c>
      <c r="C262" s="1" t="n">
        <v>45182</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c r="T262">
        <f>HYPERLINK("https://klasma.github.io/Logging_ULRICEHAMN/kartor/A 65688-2018.png")</f>
        <v/>
      </c>
      <c r="V262">
        <f>HYPERLINK("https://klasma.github.io/Logging_ULRICEHAMN/klagomål/A 65688-2018.docx")</f>
        <v/>
      </c>
      <c r="W262">
        <f>HYPERLINK("https://klasma.github.io/Logging_ULRICEHAMN/klagomålsmail/A 65688-2018.docx")</f>
        <v/>
      </c>
      <c r="X262">
        <f>HYPERLINK("https://klasma.github.io/Logging_ULRICEHAMN/tillsyn/A 65688-2018.docx")</f>
        <v/>
      </c>
      <c r="Y262">
        <f>HYPERLINK("https://klasma.github.io/Logging_ULRICEHAMN/tillsynsmail/A 65688-2018.docx")</f>
        <v/>
      </c>
    </row>
    <row r="263" ht="15" customHeight="1">
      <c r="A263" t="inlineStr">
        <is>
          <t>A 66936-2018</t>
        </is>
      </c>
      <c r="B263" s="1" t="n">
        <v>43438</v>
      </c>
      <c r="C263" s="1" t="n">
        <v>45182</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c r="T263">
        <f>HYPERLINK("https://klasma.github.io/Logging_ULRICEHAMN/kartor/A 66936-2018.png")</f>
        <v/>
      </c>
      <c r="V263">
        <f>HYPERLINK("https://klasma.github.io/Logging_ULRICEHAMN/klagomål/A 66936-2018.docx")</f>
        <v/>
      </c>
      <c r="W263">
        <f>HYPERLINK("https://klasma.github.io/Logging_ULRICEHAMN/klagomålsmail/A 66936-2018.docx")</f>
        <v/>
      </c>
      <c r="X263">
        <f>HYPERLINK("https://klasma.github.io/Logging_ULRICEHAMN/tillsyn/A 66936-2018.docx")</f>
        <v/>
      </c>
      <c r="Y263">
        <f>HYPERLINK("https://klasma.github.io/Logging_ULRICEHAMN/tillsynsmail/A 66936-2018.docx")</f>
        <v/>
      </c>
    </row>
    <row r="264" ht="15" customHeight="1">
      <c r="A264" t="inlineStr">
        <is>
          <t>A 67849-2018</t>
        </is>
      </c>
      <c r="B264" s="1" t="n">
        <v>43440</v>
      </c>
      <c r="C264" s="1" t="n">
        <v>45182</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c r="T264">
        <f>HYPERLINK("https://klasma.github.io/Logging_ALE/kartor/A 67849-2018.png")</f>
        <v/>
      </c>
      <c r="V264">
        <f>HYPERLINK("https://klasma.github.io/Logging_ALE/klagomål/A 67849-2018.docx")</f>
        <v/>
      </c>
      <c r="W264">
        <f>HYPERLINK("https://klasma.github.io/Logging_ALE/klagomålsmail/A 67849-2018.docx")</f>
        <v/>
      </c>
      <c r="X264">
        <f>HYPERLINK("https://klasma.github.io/Logging_ALE/tillsyn/A 67849-2018.docx")</f>
        <v/>
      </c>
      <c r="Y264">
        <f>HYPERLINK("https://klasma.github.io/Logging_ALE/tillsynsmail/A 67849-2018.docx")</f>
        <v/>
      </c>
    </row>
    <row r="265" ht="15" customHeight="1">
      <c r="A265" t="inlineStr">
        <is>
          <t>A 70386-2018</t>
        </is>
      </c>
      <c r="B265" s="1" t="n">
        <v>43446</v>
      </c>
      <c r="C265" s="1" t="n">
        <v>45182</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c r="T265">
        <f>HYPERLINK("https://klasma.github.io/Logging_SOTENAS/kartor/A 70386-2018.png")</f>
        <v/>
      </c>
      <c r="V265">
        <f>HYPERLINK("https://klasma.github.io/Logging_SOTENAS/klagomål/A 70386-2018.docx")</f>
        <v/>
      </c>
      <c r="W265">
        <f>HYPERLINK("https://klasma.github.io/Logging_SOTENAS/klagomålsmail/A 70386-2018.docx")</f>
        <v/>
      </c>
      <c r="X265">
        <f>HYPERLINK("https://klasma.github.io/Logging_SOTENAS/tillsyn/A 70386-2018.docx")</f>
        <v/>
      </c>
      <c r="Y265">
        <f>HYPERLINK("https://klasma.github.io/Logging_SOTENAS/tillsynsmail/A 70386-2018.docx")</f>
        <v/>
      </c>
    </row>
    <row r="266" ht="15" customHeight="1">
      <c r="A266" t="inlineStr">
        <is>
          <t>A 70607-2018</t>
        </is>
      </c>
      <c r="B266" s="1" t="n">
        <v>43451</v>
      </c>
      <c r="C266" s="1" t="n">
        <v>45182</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c r="T266">
        <f>HYPERLINK("https://klasma.github.io/Logging_FALKOPING/kartor/A 70607-2018.png")</f>
        <v/>
      </c>
      <c r="V266">
        <f>HYPERLINK("https://klasma.github.io/Logging_FALKOPING/klagomål/A 70607-2018.docx")</f>
        <v/>
      </c>
      <c r="W266">
        <f>HYPERLINK("https://klasma.github.io/Logging_FALKOPING/klagomålsmail/A 70607-2018.docx")</f>
        <v/>
      </c>
      <c r="X266">
        <f>HYPERLINK("https://klasma.github.io/Logging_FALKOPING/tillsyn/A 70607-2018.docx")</f>
        <v/>
      </c>
      <c r="Y266">
        <f>HYPERLINK("https://klasma.github.io/Logging_FALKOPING/tillsynsmail/A 70607-2018.docx")</f>
        <v/>
      </c>
    </row>
    <row r="267" ht="15" customHeight="1">
      <c r="A267" t="inlineStr">
        <is>
          <t>A 70948-2018</t>
        </is>
      </c>
      <c r="B267" s="1" t="n">
        <v>43452</v>
      </c>
      <c r="C267" s="1" t="n">
        <v>45182</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c r="T267">
        <f>HYPERLINK("https://klasma.github.io/Logging_TOREBODA/kartor/A 70948-2018.png")</f>
        <v/>
      </c>
      <c r="V267">
        <f>HYPERLINK("https://klasma.github.io/Logging_TOREBODA/klagomål/A 70948-2018.docx")</f>
        <v/>
      </c>
      <c r="W267">
        <f>HYPERLINK("https://klasma.github.io/Logging_TOREBODA/klagomålsmail/A 70948-2018.docx")</f>
        <v/>
      </c>
      <c r="X267">
        <f>HYPERLINK("https://klasma.github.io/Logging_TOREBODA/tillsyn/A 70948-2018.docx")</f>
        <v/>
      </c>
      <c r="Y267">
        <f>HYPERLINK("https://klasma.github.io/Logging_TOREBODA/tillsynsmail/A 70948-2018.docx")</f>
        <v/>
      </c>
    </row>
    <row r="268" ht="15" customHeight="1">
      <c r="A268" t="inlineStr">
        <is>
          <t>A 214-2019</t>
        </is>
      </c>
      <c r="B268" s="1" t="n">
        <v>43467</v>
      </c>
      <c r="C268" s="1" t="n">
        <v>45182</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c r="T268">
        <f>HYPERLINK("https://klasma.github.io/Logging_VANERSBORG/kartor/A 214-2019.png")</f>
        <v/>
      </c>
      <c r="V268">
        <f>HYPERLINK("https://klasma.github.io/Logging_VANERSBORG/klagomål/A 214-2019.docx")</f>
        <v/>
      </c>
      <c r="W268">
        <f>HYPERLINK("https://klasma.github.io/Logging_VANERSBORG/klagomålsmail/A 214-2019.docx")</f>
        <v/>
      </c>
      <c r="X268">
        <f>HYPERLINK("https://klasma.github.io/Logging_VANERSBORG/tillsyn/A 214-2019.docx")</f>
        <v/>
      </c>
      <c r="Y268">
        <f>HYPERLINK("https://klasma.github.io/Logging_VANERSBORG/tillsynsmail/A 214-2019.docx")</f>
        <v/>
      </c>
    </row>
    <row r="269" ht="15" customHeight="1">
      <c r="A269" t="inlineStr">
        <is>
          <t>A 2998-2019</t>
        </is>
      </c>
      <c r="B269" s="1" t="n">
        <v>43472</v>
      </c>
      <c r="C269" s="1" t="n">
        <v>45182</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c r="T269">
        <f>HYPERLINK("https://klasma.github.io/Logging_TROLLHATTAN/kartor/A 2998-2019.png")</f>
        <v/>
      </c>
      <c r="V269">
        <f>HYPERLINK("https://klasma.github.io/Logging_TROLLHATTAN/klagomål/A 2998-2019.docx")</f>
        <v/>
      </c>
      <c r="W269">
        <f>HYPERLINK("https://klasma.github.io/Logging_TROLLHATTAN/klagomålsmail/A 2998-2019.docx")</f>
        <v/>
      </c>
      <c r="X269">
        <f>HYPERLINK("https://klasma.github.io/Logging_TROLLHATTAN/tillsyn/A 2998-2019.docx")</f>
        <v/>
      </c>
      <c r="Y269">
        <f>HYPERLINK("https://klasma.github.io/Logging_TROLLHATTAN/tillsynsmail/A 2998-2019.docx")</f>
        <v/>
      </c>
    </row>
    <row r="270" ht="15" customHeight="1">
      <c r="A270" t="inlineStr">
        <is>
          <t>A 1300-2019</t>
        </is>
      </c>
      <c r="B270" s="1" t="n">
        <v>43473</v>
      </c>
      <c r="C270" s="1" t="n">
        <v>45182</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c r="T270">
        <f>HYPERLINK("https://klasma.github.io/Logging_SKARA/kartor/A 1300-2019.png")</f>
        <v/>
      </c>
      <c r="V270">
        <f>HYPERLINK("https://klasma.github.io/Logging_SKARA/klagomål/A 1300-2019.docx")</f>
        <v/>
      </c>
      <c r="W270">
        <f>HYPERLINK("https://klasma.github.io/Logging_SKARA/klagomålsmail/A 1300-2019.docx")</f>
        <v/>
      </c>
      <c r="X270">
        <f>HYPERLINK("https://klasma.github.io/Logging_SKARA/tillsyn/A 1300-2019.docx")</f>
        <v/>
      </c>
      <c r="Y270">
        <f>HYPERLINK("https://klasma.github.io/Logging_SKARA/tillsynsmail/A 1300-2019.docx")</f>
        <v/>
      </c>
    </row>
    <row r="271" ht="15" customHeight="1">
      <c r="A271" t="inlineStr">
        <is>
          <t>A 1771-2019</t>
        </is>
      </c>
      <c r="B271" s="1" t="n">
        <v>43474</v>
      </c>
      <c r="C271" s="1" t="n">
        <v>45182</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c r="T271">
        <f>HYPERLINK("https://klasma.github.io/Logging_TRANEMO/kartor/A 1771-2019.png")</f>
        <v/>
      </c>
      <c r="V271">
        <f>HYPERLINK("https://klasma.github.io/Logging_TRANEMO/klagomål/A 1771-2019.docx")</f>
        <v/>
      </c>
      <c r="W271">
        <f>HYPERLINK("https://klasma.github.io/Logging_TRANEMO/klagomålsmail/A 1771-2019.docx")</f>
        <v/>
      </c>
      <c r="X271">
        <f>HYPERLINK("https://klasma.github.io/Logging_TRANEMO/tillsyn/A 1771-2019.docx")</f>
        <v/>
      </c>
      <c r="Y271">
        <f>HYPERLINK("https://klasma.github.io/Logging_TRANEMO/tillsynsmail/A 1771-2019.docx")</f>
        <v/>
      </c>
    </row>
    <row r="272" ht="15" customHeight="1">
      <c r="A272" t="inlineStr">
        <is>
          <t>A 7008-2019</t>
        </is>
      </c>
      <c r="B272" s="1" t="n">
        <v>43489</v>
      </c>
      <c r="C272" s="1" t="n">
        <v>45182</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c r="T272">
        <f>HYPERLINK("https://klasma.github.io/Logging_STROMSTAD/kartor/A 7008-2019.png")</f>
        <v/>
      </c>
      <c r="U272">
        <f>HYPERLINK("https://klasma.github.io/Logging_STROMSTAD/knärot/A 7008-2019.png")</f>
        <v/>
      </c>
      <c r="V272">
        <f>HYPERLINK("https://klasma.github.io/Logging_STROMSTAD/klagomål/A 7008-2019.docx")</f>
        <v/>
      </c>
      <c r="W272">
        <f>HYPERLINK("https://klasma.github.io/Logging_STROMSTAD/klagomålsmail/A 7008-2019.docx")</f>
        <v/>
      </c>
      <c r="X272">
        <f>HYPERLINK("https://klasma.github.io/Logging_STROMSTAD/tillsyn/A 7008-2019.docx")</f>
        <v/>
      </c>
      <c r="Y272">
        <f>HYPERLINK("https://klasma.github.io/Logging_STROMSTAD/tillsynsmail/A 7008-2019.docx")</f>
        <v/>
      </c>
    </row>
    <row r="273" ht="15" customHeight="1">
      <c r="A273" t="inlineStr">
        <is>
          <t>A 7017-2019</t>
        </is>
      </c>
      <c r="B273" s="1" t="n">
        <v>43495</v>
      </c>
      <c r="C273" s="1" t="n">
        <v>45182</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c r="T273">
        <f>HYPERLINK("https://klasma.github.io/Logging_HJO/kartor/A 7017-2019.png")</f>
        <v/>
      </c>
      <c r="U273">
        <f>HYPERLINK("https://klasma.github.io/Logging_HJO/knärot/A 7017-2019.png")</f>
        <v/>
      </c>
      <c r="V273">
        <f>HYPERLINK("https://klasma.github.io/Logging_HJO/klagomål/A 7017-2019.docx")</f>
        <v/>
      </c>
      <c r="W273">
        <f>HYPERLINK("https://klasma.github.io/Logging_HJO/klagomålsmail/A 7017-2019.docx")</f>
        <v/>
      </c>
      <c r="X273">
        <f>HYPERLINK("https://klasma.github.io/Logging_HJO/tillsyn/A 7017-2019.docx")</f>
        <v/>
      </c>
      <c r="Y273">
        <f>HYPERLINK("https://klasma.github.io/Logging_HJO/tillsynsmail/A 7017-2019.docx")</f>
        <v/>
      </c>
    </row>
    <row r="274" ht="15" customHeight="1">
      <c r="A274" t="inlineStr">
        <is>
          <t>A 8657-2019</t>
        </is>
      </c>
      <c r="B274" s="1" t="n">
        <v>43503</v>
      </c>
      <c r="C274" s="1" t="n">
        <v>45182</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c r="T274">
        <f>HYPERLINK("https://klasma.github.io/Logging_TJORN/kartor/A 8657-2019.png")</f>
        <v/>
      </c>
      <c r="V274">
        <f>HYPERLINK("https://klasma.github.io/Logging_TJORN/klagomål/A 8657-2019.docx")</f>
        <v/>
      </c>
      <c r="W274">
        <f>HYPERLINK("https://klasma.github.io/Logging_TJORN/klagomålsmail/A 8657-2019.docx")</f>
        <v/>
      </c>
      <c r="X274">
        <f>HYPERLINK("https://klasma.github.io/Logging_TJORN/tillsyn/A 8657-2019.docx")</f>
        <v/>
      </c>
      <c r="Y274">
        <f>HYPERLINK("https://klasma.github.io/Logging_TJORN/tillsynsmail/A 8657-2019.docx")</f>
        <v/>
      </c>
    </row>
    <row r="275" ht="15" customHeight="1">
      <c r="A275" t="inlineStr">
        <is>
          <t>A 9198-2019</t>
        </is>
      </c>
      <c r="B275" s="1" t="n">
        <v>43506</v>
      </c>
      <c r="C275" s="1" t="n">
        <v>45182</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c r="T275">
        <f>HYPERLINK("https://klasma.github.io/Logging_ORUST/kartor/A 9198-2019.png")</f>
        <v/>
      </c>
      <c r="V275">
        <f>HYPERLINK("https://klasma.github.io/Logging_ORUST/klagomål/A 9198-2019.docx")</f>
        <v/>
      </c>
      <c r="W275">
        <f>HYPERLINK("https://klasma.github.io/Logging_ORUST/klagomålsmail/A 9198-2019.docx")</f>
        <v/>
      </c>
      <c r="X275">
        <f>HYPERLINK("https://klasma.github.io/Logging_ORUST/tillsyn/A 9198-2019.docx")</f>
        <v/>
      </c>
      <c r="Y275">
        <f>HYPERLINK("https://klasma.github.io/Logging_ORUST/tillsynsmail/A 9198-2019.docx")</f>
        <v/>
      </c>
    </row>
    <row r="276" ht="15" customHeight="1">
      <c r="A276" t="inlineStr">
        <is>
          <t>A 10777-2019</t>
        </is>
      </c>
      <c r="B276" s="1" t="n">
        <v>43514</v>
      </c>
      <c r="C276" s="1" t="n">
        <v>45182</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c r="T276">
        <f>HYPERLINK("https://klasma.github.io/Logging_TROLLHATTAN/kartor/A 10777-2019.png")</f>
        <v/>
      </c>
      <c r="V276">
        <f>HYPERLINK("https://klasma.github.io/Logging_TROLLHATTAN/klagomål/A 10777-2019.docx")</f>
        <v/>
      </c>
      <c r="W276">
        <f>HYPERLINK("https://klasma.github.io/Logging_TROLLHATTAN/klagomålsmail/A 10777-2019.docx")</f>
        <v/>
      </c>
      <c r="X276">
        <f>HYPERLINK("https://klasma.github.io/Logging_TROLLHATTAN/tillsyn/A 10777-2019.docx")</f>
        <v/>
      </c>
      <c r="Y276">
        <f>HYPERLINK("https://klasma.github.io/Logging_TROLLHATTAN/tillsynsmail/A 10777-2019.docx")</f>
        <v/>
      </c>
    </row>
    <row r="277" ht="15" customHeight="1">
      <c r="A277" t="inlineStr">
        <is>
          <t>A 11650-2019</t>
        </is>
      </c>
      <c r="B277" s="1" t="n">
        <v>43518</v>
      </c>
      <c r="C277" s="1" t="n">
        <v>45182</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c r="T277">
        <f>HYPERLINK("https://klasma.github.io/Logging_LILLA_EDET/kartor/A 11650-2019.png")</f>
        <v/>
      </c>
      <c r="V277">
        <f>HYPERLINK("https://klasma.github.io/Logging_LILLA_EDET/klagomål/A 11650-2019.docx")</f>
        <v/>
      </c>
      <c r="W277">
        <f>HYPERLINK("https://klasma.github.io/Logging_LILLA_EDET/klagomålsmail/A 11650-2019.docx")</f>
        <v/>
      </c>
      <c r="X277">
        <f>HYPERLINK("https://klasma.github.io/Logging_LILLA_EDET/tillsyn/A 11650-2019.docx")</f>
        <v/>
      </c>
      <c r="Y277">
        <f>HYPERLINK("https://klasma.github.io/Logging_LILLA_EDET/tillsynsmail/A 11650-2019.docx")</f>
        <v/>
      </c>
    </row>
    <row r="278" ht="15" customHeight="1">
      <c r="A278" t="inlineStr">
        <is>
          <t>A 11845-2019</t>
        </is>
      </c>
      <c r="B278" s="1" t="n">
        <v>43521</v>
      </c>
      <c r="C278" s="1" t="n">
        <v>45182</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c r="T278">
        <f>HYPERLINK("https://klasma.github.io/Logging_STROMSTAD/kartor/A 11845-2019.png")</f>
        <v/>
      </c>
      <c r="V278">
        <f>HYPERLINK("https://klasma.github.io/Logging_STROMSTAD/klagomål/A 11845-2019.docx")</f>
        <v/>
      </c>
      <c r="W278">
        <f>HYPERLINK("https://klasma.github.io/Logging_STROMSTAD/klagomålsmail/A 11845-2019.docx")</f>
        <v/>
      </c>
      <c r="X278">
        <f>HYPERLINK("https://klasma.github.io/Logging_STROMSTAD/tillsyn/A 11845-2019.docx")</f>
        <v/>
      </c>
      <c r="Y278">
        <f>HYPERLINK("https://klasma.github.io/Logging_STROMSTAD/tillsynsmail/A 11845-2019.docx")</f>
        <v/>
      </c>
    </row>
    <row r="279" ht="15" customHeight="1">
      <c r="A279" t="inlineStr">
        <is>
          <t>A 14600-2019</t>
        </is>
      </c>
      <c r="B279" s="1" t="n">
        <v>43537</v>
      </c>
      <c r="C279" s="1" t="n">
        <v>45182</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c r="T279">
        <f>HYPERLINK("https://klasma.github.io/Logging_TANUM/kartor/A 14600-2019.png")</f>
        <v/>
      </c>
      <c r="V279">
        <f>HYPERLINK("https://klasma.github.io/Logging_TANUM/klagomål/A 14600-2019.docx")</f>
        <v/>
      </c>
      <c r="W279">
        <f>HYPERLINK("https://klasma.github.io/Logging_TANUM/klagomålsmail/A 14600-2019.docx")</f>
        <v/>
      </c>
      <c r="X279">
        <f>HYPERLINK("https://klasma.github.io/Logging_TANUM/tillsyn/A 14600-2019.docx")</f>
        <v/>
      </c>
      <c r="Y279">
        <f>HYPERLINK("https://klasma.github.io/Logging_TANUM/tillsynsmail/A 14600-2019.docx")</f>
        <v/>
      </c>
    </row>
    <row r="280" ht="15" customHeight="1">
      <c r="A280" t="inlineStr">
        <is>
          <t>A 15748-2019</t>
        </is>
      </c>
      <c r="B280" s="1" t="n">
        <v>43542</v>
      </c>
      <c r="C280" s="1" t="n">
        <v>45182</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c r="T280">
        <f>HYPERLINK("https://klasma.github.io/Logging_MELLERUD/kartor/A 15748-2019.png")</f>
        <v/>
      </c>
      <c r="V280">
        <f>HYPERLINK("https://klasma.github.io/Logging_MELLERUD/klagomål/A 15748-2019.docx")</f>
        <v/>
      </c>
      <c r="W280">
        <f>HYPERLINK("https://klasma.github.io/Logging_MELLERUD/klagomålsmail/A 15748-2019.docx")</f>
        <v/>
      </c>
      <c r="X280">
        <f>HYPERLINK("https://klasma.github.io/Logging_MELLERUD/tillsyn/A 15748-2019.docx")</f>
        <v/>
      </c>
      <c r="Y280">
        <f>HYPERLINK("https://klasma.github.io/Logging_MELLERUD/tillsynsmail/A 15748-2019.docx")</f>
        <v/>
      </c>
    </row>
    <row r="281" ht="15" customHeight="1">
      <c r="A281" t="inlineStr">
        <is>
          <t>A 15719-2019</t>
        </is>
      </c>
      <c r="B281" s="1" t="n">
        <v>43543</v>
      </c>
      <c r="C281" s="1" t="n">
        <v>45182</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c r="T281">
        <f>HYPERLINK("https://klasma.github.io/Logging_TANUM/kartor/A 15719-2019.png")</f>
        <v/>
      </c>
      <c r="V281">
        <f>HYPERLINK("https://klasma.github.io/Logging_TANUM/klagomål/A 15719-2019.docx")</f>
        <v/>
      </c>
      <c r="W281">
        <f>HYPERLINK("https://klasma.github.io/Logging_TANUM/klagomålsmail/A 15719-2019.docx")</f>
        <v/>
      </c>
      <c r="X281">
        <f>HYPERLINK("https://klasma.github.io/Logging_TANUM/tillsyn/A 15719-2019.docx")</f>
        <v/>
      </c>
      <c r="Y281">
        <f>HYPERLINK("https://klasma.github.io/Logging_TANUM/tillsynsmail/A 15719-2019.docx")</f>
        <v/>
      </c>
    </row>
    <row r="282" ht="15" customHeight="1">
      <c r="A282" t="inlineStr">
        <is>
          <t>A 15590-2019</t>
        </is>
      </c>
      <c r="B282" s="1" t="n">
        <v>43543</v>
      </c>
      <c r="C282" s="1" t="n">
        <v>45182</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c r="T282">
        <f>HYPERLINK("https://klasma.github.io/Logging_GOTENE/kartor/A 15590-2019.png")</f>
        <v/>
      </c>
      <c r="V282">
        <f>HYPERLINK("https://klasma.github.io/Logging_GOTENE/klagomål/A 15590-2019.docx")</f>
        <v/>
      </c>
      <c r="W282">
        <f>HYPERLINK("https://klasma.github.io/Logging_GOTENE/klagomålsmail/A 15590-2019.docx")</f>
        <v/>
      </c>
      <c r="X282">
        <f>HYPERLINK("https://klasma.github.io/Logging_GOTENE/tillsyn/A 15590-2019.docx")</f>
        <v/>
      </c>
      <c r="Y282">
        <f>HYPERLINK("https://klasma.github.io/Logging_GOTENE/tillsynsmail/A 15590-2019.docx")</f>
        <v/>
      </c>
    </row>
    <row r="283" ht="15" customHeight="1">
      <c r="A283" t="inlineStr">
        <is>
          <t>A 16408-2019</t>
        </is>
      </c>
      <c r="B283" s="1" t="n">
        <v>43546</v>
      </c>
      <c r="C283" s="1" t="n">
        <v>45182</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c r="T283">
        <f>HYPERLINK("https://klasma.github.io/Logging_ESSUNGA/kartor/A 16408-2019.png")</f>
        <v/>
      </c>
      <c r="V283">
        <f>HYPERLINK("https://klasma.github.io/Logging_ESSUNGA/klagomål/A 16408-2019.docx")</f>
        <v/>
      </c>
      <c r="W283">
        <f>HYPERLINK("https://klasma.github.io/Logging_ESSUNGA/klagomålsmail/A 16408-2019.docx")</f>
        <v/>
      </c>
      <c r="X283">
        <f>HYPERLINK("https://klasma.github.io/Logging_ESSUNGA/tillsyn/A 16408-2019.docx")</f>
        <v/>
      </c>
      <c r="Y283">
        <f>HYPERLINK("https://klasma.github.io/Logging_ESSUNGA/tillsynsmail/A 16408-2019.docx")</f>
        <v/>
      </c>
    </row>
    <row r="284" ht="15" customHeight="1">
      <c r="A284" t="inlineStr">
        <is>
          <t>A 16778-2019</t>
        </is>
      </c>
      <c r="B284" s="1" t="n">
        <v>43549</v>
      </c>
      <c r="C284" s="1" t="n">
        <v>45182</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c r="T284">
        <f>HYPERLINK("https://klasma.github.io/Logging_STROMSTAD/kartor/A 16778-2019.png")</f>
        <v/>
      </c>
      <c r="V284">
        <f>HYPERLINK("https://klasma.github.io/Logging_STROMSTAD/klagomål/A 16778-2019.docx")</f>
        <v/>
      </c>
      <c r="W284">
        <f>HYPERLINK("https://klasma.github.io/Logging_STROMSTAD/klagomålsmail/A 16778-2019.docx")</f>
        <v/>
      </c>
      <c r="X284">
        <f>HYPERLINK("https://klasma.github.io/Logging_STROMSTAD/tillsyn/A 16778-2019.docx")</f>
        <v/>
      </c>
      <c r="Y284">
        <f>HYPERLINK("https://klasma.github.io/Logging_STROMSTAD/tillsynsmail/A 16778-2019.docx")</f>
        <v/>
      </c>
    </row>
    <row r="285" ht="15" customHeight="1">
      <c r="A285" t="inlineStr">
        <is>
          <t>A 16637-2019</t>
        </is>
      </c>
      <c r="B285" s="1" t="n">
        <v>43549</v>
      </c>
      <c r="C285" s="1" t="n">
        <v>45182</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c r="T285">
        <f>HYPERLINK("https://klasma.github.io/Logging_FALKOPING/kartor/A 16637-2019.png")</f>
        <v/>
      </c>
      <c r="V285">
        <f>HYPERLINK("https://klasma.github.io/Logging_FALKOPING/klagomål/A 16637-2019.docx")</f>
        <v/>
      </c>
      <c r="W285">
        <f>HYPERLINK("https://klasma.github.io/Logging_FALKOPING/klagomålsmail/A 16637-2019.docx")</f>
        <v/>
      </c>
      <c r="X285">
        <f>HYPERLINK("https://klasma.github.io/Logging_FALKOPING/tillsyn/A 16637-2019.docx")</f>
        <v/>
      </c>
      <c r="Y285">
        <f>HYPERLINK("https://klasma.github.io/Logging_FALKOPING/tillsynsmail/A 16637-2019.docx")</f>
        <v/>
      </c>
    </row>
    <row r="286" ht="15" customHeight="1">
      <c r="A286" t="inlineStr">
        <is>
          <t>A 18498-2019</t>
        </is>
      </c>
      <c r="B286" s="1" t="n">
        <v>43559</v>
      </c>
      <c r="C286" s="1" t="n">
        <v>45182</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c r="T286">
        <f>HYPERLINK("https://klasma.github.io/Logging_MARIESTAD/kartor/A 18498-2019.png")</f>
        <v/>
      </c>
      <c r="V286">
        <f>HYPERLINK("https://klasma.github.io/Logging_MARIESTAD/klagomål/A 18498-2019.docx")</f>
        <v/>
      </c>
      <c r="W286">
        <f>HYPERLINK("https://klasma.github.io/Logging_MARIESTAD/klagomålsmail/A 18498-2019.docx")</f>
        <v/>
      </c>
      <c r="X286">
        <f>HYPERLINK("https://klasma.github.io/Logging_MARIESTAD/tillsyn/A 18498-2019.docx")</f>
        <v/>
      </c>
      <c r="Y286">
        <f>HYPERLINK("https://klasma.github.io/Logging_MARIESTAD/tillsynsmail/A 18498-2019.docx")</f>
        <v/>
      </c>
    </row>
    <row r="287" ht="15" customHeight="1">
      <c r="A287" t="inlineStr">
        <is>
          <t>A 18784-2019</t>
        </is>
      </c>
      <c r="B287" s="1" t="n">
        <v>43562</v>
      </c>
      <c r="C287" s="1" t="n">
        <v>45182</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c r="T287">
        <f>HYPERLINK("https://klasma.github.io/Logging_MUNKEDAL/kartor/A 18784-2019.png")</f>
        <v/>
      </c>
      <c r="V287">
        <f>HYPERLINK("https://klasma.github.io/Logging_MUNKEDAL/klagomål/A 18784-2019.docx")</f>
        <v/>
      </c>
      <c r="W287">
        <f>HYPERLINK("https://klasma.github.io/Logging_MUNKEDAL/klagomålsmail/A 18784-2019.docx")</f>
        <v/>
      </c>
      <c r="X287">
        <f>HYPERLINK("https://klasma.github.io/Logging_MUNKEDAL/tillsyn/A 18784-2019.docx")</f>
        <v/>
      </c>
      <c r="Y287">
        <f>HYPERLINK("https://klasma.github.io/Logging_MUNKEDAL/tillsynsmail/A 18784-2019.docx")</f>
        <v/>
      </c>
    </row>
    <row r="288" ht="15" customHeight="1">
      <c r="A288" t="inlineStr">
        <is>
          <t>A 19024-2019</t>
        </is>
      </c>
      <c r="B288" s="1" t="n">
        <v>43563</v>
      </c>
      <c r="C288" s="1" t="n">
        <v>45182</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c r="T288">
        <f>HYPERLINK("https://klasma.github.io/Logging_TANUM/kartor/A 19024-2019.png")</f>
        <v/>
      </c>
      <c r="V288">
        <f>HYPERLINK("https://klasma.github.io/Logging_TANUM/klagomål/A 19024-2019.docx")</f>
        <v/>
      </c>
      <c r="W288">
        <f>HYPERLINK("https://klasma.github.io/Logging_TANUM/klagomålsmail/A 19024-2019.docx")</f>
        <v/>
      </c>
      <c r="X288">
        <f>HYPERLINK("https://klasma.github.io/Logging_TANUM/tillsyn/A 19024-2019.docx")</f>
        <v/>
      </c>
      <c r="Y288">
        <f>HYPERLINK("https://klasma.github.io/Logging_TANUM/tillsynsmail/A 19024-2019.docx")</f>
        <v/>
      </c>
    </row>
    <row r="289" ht="15" customHeight="1">
      <c r="A289" t="inlineStr">
        <is>
          <t>A 20174-2019</t>
        </is>
      </c>
      <c r="B289" s="1" t="n">
        <v>43570</v>
      </c>
      <c r="C289" s="1" t="n">
        <v>45182</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c r="T289">
        <f>HYPERLINK("https://klasma.github.io/Logging_VANERSBORG/kartor/A 20174-2019.png")</f>
        <v/>
      </c>
      <c r="V289">
        <f>HYPERLINK("https://klasma.github.io/Logging_VANERSBORG/klagomål/A 20174-2019.docx")</f>
        <v/>
      </c>
      <c r="W289">
        <f>HYPERLINK("https://klasma.github.io/Logging_VANERSBORG/klagomålsmail/A 20174-2019.docx")</f>
        <v/>
      </c>
      <c r="X289">
        <f>HYPERLINK("https://klasma.github.io/Logging_VANERSBORG/tillsyn/A 20174-2019.docx")</f>
        <v/>
      </c>
      <c r="Y289">
        <f>HYPERLINK("https://klasma.github.io/Logging_VANERSBORG/tillsynsmail/A 20174-2019.docx")</f>
        <v/>
      </c>
    </row>
    <row r="290" ht="15" customHeight="1">
      <c r="A290" t="inlineStr">
        <is>
          <t>A 22978-2019</t>
        </is>
      </c>
      <c r="B290" s="1" t="n">
        <v>43591</v>
      </c>
      <c r="C290" s="1" t="n">
        <v>45182</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c r="T290">
        <f>HYPERLINK("https://klasma.github.io/Logging_TOREBODA/kartor/A 22978-2019.png")</f>
        <v/>
      </c>
      <c r="V290">
        <f>HYPERLINK("https://klasma.github.io/Logging_TOREBODA/klagomål/A 22978-2019.docx")</f>
        <v/>
      </c>
      <c r="W290">
        <f>HYPERLINK("https://klasma.github.io/Logging_TOREBODA/klagomålsmail/A 22978-2019.docx")</f>
        <v/>
      </c>
      <c r="X290">
        <f>HYPERLINK("https://klasma.github.io/Logging_TOREBODA/tillsyn/A 22978-2019.docx")</f>
        <v/>
      </c>
      <c r="Y290">
        <f>HYPERLINK("https://klasma.github.io/Logging_TOREBODA/tillsynsmail/A 22978-2019.docx")</f>
        <v/>
      </c>
    </row>
    <row r="291" ht="15" customHeight="1">
      <c r="A291" t="inlineStr">
        <is>
          <t>A 24544-2019</t>
        </is>
      </c>
      <c r="B291" s="1" t="n">
        <v>43600</v>
      </c>
      <c r="C291" s="1" t="n">
        <v>45182</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c r="T291">
        <f>HYPERLINK("https://klasma.github.io/Logging_TIDAHOLM/kartor/A 24544-2019.png")</f>
        <v/>
      </c>
      <c r="V291">
        <f>HYPERLINK("https://klasma.github.io/Logging_TIDAHOLM/klagomål/A 24544-2019.docx")</f>
        <v/>
      </c>
      <c r="W291">
        <f>HYPERLINK("https://klasma.github.io/Logging_TIDAHOLM/klagomålsmail/A 24544-2019.docx")</f>
        <v/>
      </c>
      <c r="X291">
        <f>HYPERLINK("https://klasma.github.io/Logging_TIDAHOLM/tillsyn/A 24544-2019.docx")</f>
        <v/>
      </c>
      <c r="Y291">
        <f>HYPERLINK("https://klasma.github.io/Logging_TIDAHOLM/tillsynsmail/A 24544-2019.docx")</f>
        <v/>
      </c>
    </row>
    <row r="292" ht="15" customHeight="1">
      <c r="A292" t="inlineStr">
        <is>
          <t>A 24911-2019</t>
        </is>
      </c>
      <c r="B292" s="1" t="n">
        <v>43602</v>
      </c>
      <c r="C292" s="1" t="n">
        <v>45182</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c r="T292">
        <f>HYPERLINK("https://klasma.github.io/Logging_SKARA/kartor/A 24911-2019.png")</f>
        <v/>
      </c>
      <c r="V292">
        <f>HYPERLINK("https://klasma.github.io/Logging_SKARA/klagomål/A 24911-2019.docx")</f>
        <v/>
      </c>
      <c r="W292">
        <f>HYPERLINK("https://klasma.github.io/Logging_SKARA/klagomålsmail/A 24911-2019.docx")</f>
        <v/>
      </c>
      <c r="X292">
        <f>HYPERLINK("https://klasma.github.io/Logging_SKARA/tillsyn/A 24911-2019.docx")</f>
        <v/>
      </c>
      <c r="Y292">
        <f>HYPERLINK("https://klasma.github.io/Logging_SKARA/tillsynsmail/A 24911-2019.docx")</f>
        <v/>
      </c>
    </row>
    <row r="293" ht="15" customHeight="1">
      <c r="A293" t="inlineStr">
        <is>
          <t>A 25391-2019</t>
        </is>
      </c>
      <c r="B293" s="1" t="n">
        <v>43606</v>
      </c>
      <c r="C293" s="1" t="n">
        <v>45182</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c r="T293">
        <f>HYPERLINK("https://klasma.github.io/Logging_ALE/kartor/A 25391-2019.png")</f>
        <v/>
      </c>
      <c r="V293">
        <f>HYPERLINK("https://klasma.github.io/Logging_ALE/klagomål/A 25391-2019.docx")</f>
        <v/>
      </c>
      <c r="W293">
        <f>HYPERLINK("https://klasma.github.io/Logging_ALE/klagomålsmail/A 25391-2019.docx")</f>
        <v/>
      </c>
      <c r="X293">
        <f>HYPERLINK("https://klasma.github.io/Logging_ALE/tillsyn/A 25391-2019.docx")</f>
        <v/>
      </c>
      <c r="Y293">
        <f>HYPERLINK("https://klasma.github.io/Logging_ALE/tillsynsmail/A 25391-2019.docx")</f>
        <v/>
      </c>
    </row>
    <row r="294" ht="15" customHeight="1">
      <c r="A294" t="inlineStr">
        <is>
          <t>A 26314-2019</t>
        </is>
      </c>
      <c r="B294" s="1" t="n">
        <v>43612</v>
      </c>
      <c r="C294" s="1" t="n">
        <v>45182</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c r="T294">
        <f>HYPERLINK("https://klasma.github.io/Logging_HJO/kartor/A 26314-2019.png")</f>
        <v/>
      </c>
      <c r="V294">
        <f>HYPERLINK("https://klasma.github.io/Logging_HJO/klagomål/A 26314-2019.docx")</f>
        <v/>
      </c>
      <c r="W294">
        <f>HYPERLINK("https://klasma.github.io/Logging_HJO/klagomålsmail/A 26314-2019.docx")</f>
        <v/>
      </c>
      <c r="X294">
        <f>HYPERLINK("https://klasma.github.io/Logging_HJO/tillsyn/A 26314-2019.docx")</f>
        <v/>
      </c>
      <c r="Y294">
        <f>HYPERLINK("https://klasma.github.io/Logging_HJO/tillsynsmail/A 26314-2019.docx")</f>
        <v/>
      </c>
    </row>
    <row r="295" ht="15" customHeight="1">
      <c r="A295" t="inlineStr">
        <is>
          <t>A 27034-2019</t>
        </is>
      </c>
      <c r="B295" s="1" t="n">
        <v>43614</v>
      </c>
      <c r="C295" s="1" t="n">
        <v>45182</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c r="T295">
        <f>HYPERLINK("https://klasma.github.io/Logging_VANERSBORG/kartor/A 27034-2019.png")</f>
        <v/>
      </c>
      <c r="V295">
        <f>HYPERLINK("https://klasma.github.io/Logging_VANERSBORG/klagomål/A 27034-2019.docx")</f>
        <v/>
      </c>
      <c r="W295">
        <f>HYPERLINK("https://klasma.github.io/Logging_VANERSBORG/klagomålsmail/A 27034-2019.docx")</f>
        <v/>
      </c>
      <c r="X295">
        <f>HYPERLINK("https://klasma.github.io/Logging_VANERSBORG/tillsyn/A 27034-2019.docx")</f>
        <v/>
      </c>
      <c r="Y295">
        <f>HYPERLINK("https://klasma.github.io/Logging_VANERSBORG/tillsynsmail/A 27034-2019.docx")</f>
        <v/>
      </c>
    </row>
    <row r="296" ht="15" customHeight="1">
      <c r="A296" t="inlineStr">
        <is>
          <t>A 27812-2019</t>
        </is>
      </c>
      <c r="B296" s="1" t="n">
        <v>43620</v>
      </c>
      <c r="C296" s="1" t="n">
        <v>45182</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c r="T296">
        <f>HYPERLINK("https://klasma.github.io/Logging_SVENLJUNGA/kartor/A 27812-2019.png")</f>
        <v/>
      </c>
      <c r="V296">
        <f>HYPERLINK("https://klasma.github.io/Logging_SVENLJUNGA/klagomål/A 27812-2019.docx")</f>
        <v/>
      </c>
      <c r="W296">
        <f>HYPERLINK("https://klasma.github.io/Logging_SVENLJUNGA/klagomålsmail/A 27812-2019.docx")</f>
        <v/>
      </c>
      <c r="X296">
        <f>HYPERLINK("https://klasma.github.io/Logging_SVENLJUNGA/tillsyn/A 27812-2019.docx")</f>
        <v/>
      </c>
      <c r="Y296">
        <f>HYPERLINK("https://klasma.github.io/Logging_SVENLJUNGA/tillsynsmail/A 27812-2019.docx")</f>
        <v/>
      </c>
    </row>
    <row r="297" ht="15" customHeight="1">
      <c r="A297" t="inlineStr">
        <is>
          <t>A 28006-2019</t>
        </is>
      </c>
      <c r="B297" s="1" t="n">
        <v>43621</v>
      </c>
      <c r="C297" s="1" t="n">
        <v>45182</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c r="T297">
        <f>HYPERLINK("https://klasma.github.io/Logging_ORUST/kartor/A 28006-2019.png")</f>
        <v/>
      </c>
      <c r="V297">
        <f>HYPERLINK("https://klasma.github.io/Logging_ORUST/klagomål/A 28006-2019.docx")</f>
        <v/>
      </c>
      <c r="W297">
        <f>HYPERLINK("https://klasma.github.io/Logging_ORUST/klagomålsmail/A 28006-2019.docx")</f>
        <v/>
      </c>
      <c r="X297">
        <f>HYPERLINK("https://klasma.github.io/Logging_ORUST/tillsyn/A 28006-2019.docx")</f>
        <v/>
      </c>
      <c r="Y297">
        <f>HYPERLINK("https://klasma.github.io/Logging_ORUST/tillsynsmail/A 28006-2019.docx")</f>
        <v/>
      </c>
    </row>
    <row r="298" ht="15" customHeight="1">
      <c r="A298" t="inlineStr">
        <is>
          <t>A 28010-2019</t>
        </is>
      </c>
      <c r="B298" s="1" t="n">
        <v>43621</v>
      </c>
      <c r="C298" s="1" t="n">
        <v>45182</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c r="T298">
        <f>HYPERLINK("https://klasma.github.io/Logging_ORUST/kartor/A 28010-2019.png")</f>
        <v/>
      </c>
      <c r="V298">
        <f>HYPERLINK("https://klasma.github.io/Logging_ORUST/klagomål/A 28010-2019.docx")</f>
        <v/>
      </c>
      <c r="W298">
        <f>HYPERLINK("https://klasma.github.io/Logging_ORUST/klagomålsmail/A 28010-2019.docx")</f>
        <v/>
      </c>
      <c r="X298">
        <f>HYPERLINK("https://klasma.github.io/Logging_ORUST/tillsyn/A 28010-2019.docx")</f>
        <v/>
      </c>
      <c r="Y298">
        <f>HYPERLINK("https://klasma.github.io/Logging_ORUST/tillsynsmail/A 28010-2019.docx")</f>
        <v/>
      </c>
    </row>
    <row r="299" ht="15" customHeight="1">
      <c r="A299" t="inlineStr">
        <is>
          <t>A 33021-2019</t>
        </is>
      </c>
      <c r="B299" s="1" t="n">
        <v>43649</v>
      </c>
      <c r="C299" s="1" t="n">
        <v>45182</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c r="T299">
        <f>HYPERLINK("https://klasma.github.io/Logging_UDDEVALLA/kartor/A 33021-2019.png")</f>
        <v/>
      </c>
      <c r="V299">
        <f>HYPERLINK("https://klasma.github.io/Logging_UDDEVALLA/klagomål/A 33021-2019.docx")</f>
        <v/>
      </c>
      <c r="W299">
        <f>HYPERLINK("https://klasma.github.io/Logging_UDDEVALLA/klagomålsmail/A 33021-2019.docx")</f>
        <v/>
      </c>
      <c r="X299">
        <f>HYPERLINK("https://klasma.github.io/Logging_UDDEVALLA/tillsyn/A 33021-2019.docx")</f>
        <v/>
      </c>
      <c r="Y299">
        <f>HYPERLINK("https://klasma.github.io/Logging_UDDEVALLA/tillsynsmail/A 33021-2019.docx")</f>
        <v/>
      </c>
    </row>
    <row r="300" ht="15" customHeight="1">
      <c r="A300" t="inlineStr">
        <is>
          <t>A 33245-2019</t>
        </is>
      </c>
      <c r="B300" s="1" t="n">
        <v>43650</v>
      </c>
      <c r="C300" s="1" t="n">
        <v>45182</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c r="T300">
        <f>HYPERLINK("https://klasma.github.io/Logging_MUNKEDAL/kartor/A 33245-2019.png")</f>
        <v/>
      </c>
      <c r="V300">
        <f>HYPERLINK("https://klasma.github.io/Logging_MUNKEDAL/klagomål/A 33245-2019.docx")</f>
        <v/>
      </c>
      <c r="W300">
        <f>HYPERLINK("https://klasma.github.io/Logging_MUNKEDAL/klagomålsmail/A 33245-2019.docx")</f>
        <v/>
      </c>
      <c r="X300">
        <f>HYPERLINK("https://klasma.github.io/Logging_MUNKEDAL/tillsyn/A 33245-2019.docx")</f>
        <v/>
      </c>
      <c r="Y300">
        <f>HYPERLINK("https://klasma.github.io/Logging_MUNKEDAL/tillsynsmail/A 33245-2019.docx")</f>
        <v/>
      </c>
    </row>
    <row r="301" ht="15" customHeight="1">
      <c r="A301" t="inlineStr">
        <is>
          <t>A 38063-2019</t>
        </is>
      </c>
      <c r="B301" s="1" t="n">
        <v>43683</v>
      </c>
      <c r="C301" s="1" t="n">
        <v>45182</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c r="T301">
        <f>HYPERLINK("https://klasma.github.io/Logging_MARK/kartor/A 38063-2019.png")</f>
        <v/>
      </c>
      <c r="V301">
        <f>HYPERLINK("https://klasma.github.io/Logging_MARK/klagomål/A 38063-2019.docx")</f>
        <v/>
      </c>
      <c r="W301">
        <f>HYPERLINK("https://klasma.github.io/Logging_MARK/klagomålsmail/A 38063-2019.docx")</f>
        <v/>
      </c>
      <c r="X301">
        <f>HYPERLINK("https://klasma.github.io/Logging_MARK/tillsyn/A 38063-2019.docx")</f>
        <v/>
      </c>
      <c r="Y301">
        <f>HYPERLINK("https://klasma.github.io/Logging_MARK/tillsynsmail/A 38063-2019.docx")</f>
        <v/>
      </c>
    </row>
    <row r="302" ht="15" customHeight="1">
      <c r="A302" t="inlineStr">
        <is>
          <t>A 39346-2019</t>
        </is>
      </c>
      <c r="B302" s="1" t="n">
        <v>43690</v>
      </c>
      <c r="C302" s="1" t="n">
        <v>45182</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c r="T302">
        <f>HYPERLINK("https://klasma.github.io/Logging_UDDEVALLA/kartor/A 39346-2019.png")</f>
        <v/>
      </c>
      <c r="V302">
        <f>HYPERLINK("https://klasma.github.io/Logging_UDDEVALLA/klagomål/A 39346-2019.docx")</f>
        <v/>
      </c>
      <c r="W302">
        <f>HYPERLINK("https://klasma.github.io/Logging_UDDEVALLA/klagomålsmail/A 39346-2019.docx")</f>
        <v/>
      </c>
      <c r="X302">
        <f>HYPERLINK("https://klasma.github.io/Logging_UDDEVALLA/tillsyn/A 39346-2019.docx")</f>
        <v/>
      </c>
      <c r="Y302">
        <f>HYPERLINK("https://klasma.github.io/Logging_UDDEVALLA/tillsynsmail/A 39346-2019.docx")</f>
        <v/>
      </c>
    </row>
    <row r="303" ht="15" customHeight="1">
      <c r="A303" t="inlineStr">
        <is>
          <t>A 40335-2019</t>
        </is>
      </c>
      <c r="B303" s="1" t="n">
        <v>43696</v>
      </c>
      <c r="C303" s="1" t="n">
        <v>45182</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c r="T303">
        <f>HYPERLINK("https://klasma.github.io/Logging_KUNGALV/kartor/A 40335-2019.png")</f>
        <v/>
      </c>
      <c r="V303">
        <f>HYPERLINK("https://klasma.github.io/Logging_KUNGALV/klagomål/A 40335-2019.docx")</f>
        <v/>
      </c>
      <c r="W303">
        <f>HYPERLINK("https://klasma.github.io/Logging_KUNGALV/klagomålsmail/A 40335-2019.docx")</f>
        <v/>
      </c>
      <c r="X303">
        <f>HYPERLINK("https://klasma.github.io/Logging_KUNGALV/tillsyn/A 40335-2019.docx")</f>
        <v/>
      </c>
      <c r="Y303">
        <f>HYPERLINK("https://klasma.github.io/Logging_KUNGALV/tillsynsmail/A 40335-2019.docx")</f>
        <v/>
      </c>
    </row>
    <row r="304" ht="15" customHeight="1">
      <c r="A304" t="inlineStr">
        <is>
          <t>A 41622-2019</t>
        </is>
      </c>
      <c r="B304" s="1" t="n">
        <v>43699</v>
      </c>
      <c r="C304" s="1" t="n">
        <v>45182</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c r="T304">
        <f>HYPERLINK("https://klasma.github.io/Logging_SKARA/kartor/A 41622-2019.png")</f>
        <v/>
      </c>
      <c r="V304">
        <f>HYPERLINK("https://klasma.github.io/Logging_SKARA/klagomål/A 41622-2019.docx")</f>
        <v/>
      </c>
      <c r="W304">
        <f>HYPERLINK("https://klasma.github.io/Logging_SKARA/klagomålsmail/A 41622-2019.docx")</f>
        <v/>
      </c>
      <c r="X304">
        <f>HYPERLINK("https://klasma.github.io/Logging_SKARA/tillsyn/A 41622-2019.docx")</f>
        <v/>
      </c>
      <c r="Y304">
        <f>HYPERLINK("https://klasma.github.io/Logging_SKARA/tillsynsmail/A 41622-2019.docx")</f>
        <v/>
      </c>
    </row>
    <row r="305" ht="15" customHeight="1">
      <c r="A305" t="inlineStr">
        <is>
          <t>A 43545-2019</t>
        </is>
      </c>
      <c r="B305" s="1" t="n">
        <v>43706</v>
      </c>
      <c r="C305" s="1" t="n">
        <v>45182</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c r="T305">
        <f>HYPERLINK("https://klasma.github.io/Logging_SKARA/kartor/A 43545-2019.png")</f>
        <v/>
      </c>
      <c r="V305">
        <f>HYPERLINK("https://klasma.github.io/Logging_SKARA/klagomål/A 43545-2019.docx")</f>
        <v/>
      </c>
      <c r="W305">
        <f>HYPERLINK("https://klasma.github.io/Logging_SKARA/klagomålsmail/A 43545-2019.docx")</f>
        <v/>
      </c>
      <c r="X305">
        <f>HYPERLINK("https://klasma.github.io/Logging_SKARA/tillsyn/A 43545-2019.docx")</f>
        <v/>
      </c>
      <c r="Y305">
        <f>HYPERLINK("https://klasma.github.io/Logging_SKARA/tillsynsmail/A 43545-2019.docx")</f>
        <v/>
      </c>
    </row>
    <row r="306" ht="15" customHeight="1">
      <c r="A306" t="inlineStr">
        <is>
          <t>A 44500-2019</t>
        </is>
      </c>
      <c r="B306" s="1" t="n">
        <v>43711</v>
      </c>
      <c r="C306" s="1" t="n">
        <v>45182</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c r="T306">
        <f>HYPERLINK("https://klasma.github.io/Logging_KARLSBORG/kartor/A 44500-2019.png")</f>
        <v/>
      </c>
      <c r="V306">
        <f>HYPERLINK("https://klasma.github.io/Logging_KARLSBORG/klagomål/A 44500-2019.docx")</f>
        <v/>
      </c>
      <c r="W306">
        <f>HYPERLINK("https://klasma.github.io/Logging_KARLSBORG/klagomålsmail/A 44500-2019.docx")</f>
        <v/>
      </c>
      <c r="X306">
        <f>HYPERLINK("https://klasma.github.io/Logging_KARLSBORG/tillsyn/A 44500-2019.docx")</f>
        <v/>
      </c>
      <c r="Y306">
        <f>HYPERLINK("https://klasma.github.io/Logging_KARLSBORG/tillsynsmail/A 44500-2019.docx")</f>
        <v/>
      </c>
    </row>
    <row r="307" ht="15" customHeight="1">
      <c r="A307" t="inlineStr">
        <is>
          <t>A 47520-2019</t>
        </is>
      </c>
      <c r="B307" s="1" t="n">
        <v>43724</v>
      </c>
      <c r="C307" s="1" t="n">
        <v>45182</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c r="T307">
        <f>HYPERLINK("https://klasma.github.io/Logging_HJO/kartor/A 47520-2019.png")</f>
        <v/>
      </c>
      <c r="V307">
        <f>HYPERLINK("https://klasma.github.io/Logging_HJO/klagomål/A 47520-2019.docx")</f>
        <v/>
      </c>
      <c r="W307">
        <f>HYPERLINK("https://klasma.github.io/Logging_HJO/klagomålsmail/A 47520-2019.docx")</f>
        <v/>
      </c>
      <c r="X307">
        <f>HYPERLINK("https://klasma.github.io/Logging_HJO/tillsyn/A 47520-2019.docx")</f>
        <v/>
      </c>
      <c r="Y307">
        <f>HYPERLINK("https://klasma.github.io/Logging_HJO/tillsynsmail/A 47520-2019.docx")</f>
        <v/>
      </c>
    </row>
    <row r="308" ht="15" customHeight="1">
      <c r="A308" t="inlineStr">
        <is>
          <t>A 48181-2019</t>
        </is>
      </c>
      <c r="B308" s="1" t="n">
        <v>43726</v>
      </c>
      <c r="C308" s="1" t="n">
        <v>45182</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c r="T308">
        <f>HYPERLINK("https://klasma.github.io/Logging_GOTENE/kartor/A 48181-2019.png")</f>
        <v/>
      </c>
      <c r="V308">
        <f>HYPERLINK("https://klasma.github.io/Logging_GOTENE/klagomål/A 48181-2019.docx")</f>
        <v/>
      </c>
      <c r="W308">
        <f>HYPERLINK("https://klasma.github.io/Logging_GOTENE/klagomålsmail/A 48181-2019.docx")</f>
        <v/>
      </c>
      <c r="X308">
        <f>HYPERLINK("https://klasma.github.io/Logging_GOTENE/tillsyn/A 48181-2019.docx")</f>
        <v/>
      </c>
      <c r="Y308">
        <f>HYPERLINK("https://klasma.github.io/Logging_GOTENE/tillsynsmail/A 48181-2019.docx")</f>
        <v/>
      </c>
    </row>
    <row r="309" ht="15" customHeight="1">
      <c r="A309" t="inlineStr">
        <is>
          <t>A 50047-2019</t>
        </is>
      </c>
      <c r="B309" s="1" t="n">
        <v>43731</v>
      </c>
      <c r="C309" s="1" t="n">
        <v>45182</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c r="T309">
        <f>HYPERLINK("https://klasma.github.io/Logging_MELLERUD/kartor/A 50047-2019.png")</f>
        <v/>
      </c>
      <c r="V309">
        <f>HYPERLINK("https://klasma.github.io/Logging_MELLERUD/klagomål/A 50047-2019.docx")</f>
        <v/>
      </c>
      <c r="W309">
        <f>HYPERLINK("https://klasma.github.io/Logging_MELLERUD/klagomålsmail/A 50047-2019.docx")</f>
        <v/>
      </c>
      <c r="X309">
        <f>HYPERLINK("https://klasma.github.io/Logging_MELLERUD/tillsyn/A 50047-2019.docx")</f>
        <v/>
      </c>
      <c r="Y309">
        <f>HYPERLINK("https://klasma.github.io/Logging_MELLERUD/tillsynsmail/A 50047-2019.docx")</f>
        <v/>
      </c>
    </row>
    <row r="310" ht="15" customHeight="1">
      <c r="A310" t="inlineStr">
        <is>
          <t>A 49530-2019</t>
        </is>
      </c>
      <c r="B310" s="1" t="n">
        <v>43732</v>
      </c>
      <c r="C310" s="1" t="n">
        <v>45182</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c r="T310">
        <f>HYPERLINK("https://klasma.github.io/Logging_AMAL/kartor/A 49530-2019.png")</f>
        <v/>
      </c>
      <c r="V310">
        <f>HYPERLINK("https://klasma.github.io/Logging_AMAL/klagomål/A 49530-2019.docx")</f>
        <v/>
      </c>
      <c r="W310">
        <f>HYPERLINK("https://klasma.github.io/Logging_AMAL/klagomålsmail/A 49530-2019.docx")</f>
        <v/>
      </c>
      <c r="X310">
        <f>HYPERLINK("https://klasma.github.io/Logging_AMAL/tillsyn/A 49530-2019.docx")</f>
        <v/>
      </c>
      <c r="Y310">
        <f>HYPERLINK("https://klasma.github.io/Logging_AMAL/tillsynsmail/A 49530-2019.docx")</f>
        <v/>
      </c>
    </row>
    <row r="311" ht="15" customHeight="1">
      <c r="A311" t="inlineStr">
        <is>
          <t>A 52875-2019</t>
        </is>
      </c>
      <c r="B311" s="1" t="n">
        <v>43746</v>
      </c>
      <c r="C311" s="1" t="n">
        <v>45182</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c r="T311">
        <f>HYPERLINK("https://klasma.github.io/Logging_HARRYDA/kartor/A 52875-2019.png")</f>
        <v/>
      </c>
      <c r="V311">
        <f>HYPERLINK("https://klasma.github.io/Logging_HARRYDA/klagomål/A 52875-2019.docx")</f>
        <v/>
      </c>
      <c r="W311">
        <f>HYPERLINK("https://klasma.github.io/Logging_HARRYDA/klagomålsmail/A 52875-2019.docx")</f>
        <v/>
      </c>
      <c r="X311">
        <f>HYPERLINK("https://klasma.github.io/Logging_HARRYDA/tillsyn/A 52875-2019.docx")</f>
        <v/>
      </c>
      <c r="Y311">
        <f>HYPERLINK("https://klasma.github.io/Logging_HARRYDA/tillsynsmail/A 52875-2019.docx")</f>
        <v/>
      </c>
    </row>
    <row r="312" ht="15" customHeight="1">
      <c r="A312" t="inlineStr">
        <is>
          <t>A 53693-2019</t>
        </is>
      </c>
      <c r="B312" s="1" t="n">
        <v>43749</v>
      </c>
      <c r="C312" s="1" t="n">
        <v>45182</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c r="T312">
        <f>HYPERLINK("https://klasma.github.io/Logging_ALE/kartor/A 53693-2019.png")</f>
        <v/>
      </c>
      <c r="V312">
        <f>HYPERLINK("https://klasma.github.io/Logging_ALE/klagomål/A 53693-2019.docx")</f>
        <v/>
      </c>
      <c r="W312">
        <f>HYPERLINK("https://klasma.github.io/Logging_ALE/klagomålsmail/A 53693-2019.docx")</f>
        <v/>
      </c>
      <c r="X312">
        <f>HYPERLINK("https://klasma.github.io/Logging_ALE/tillsyn/A 53693-2019.docx")</f>
        <v/>
      </c>
      <c r="Y312">
        <f>HYPERLINK("https://klasma.github.io/Logging_ALE/tillsynsmail/A 53693-2019.docx")</f>
        <v/>
      </c>
    </row>
    <row r="313" ht="15" customHeight="1">
      <c r="A313" t="inlineStr">
        <is>
          <t>A 56938-2019</t>
        </is>
      </c>
      <c r="B313" s="1" t="n">
        <v>43766</v>
      </c>
      <c r="C313" s="1" t="n">
        <v>45182</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c r="T313">
        <f>HYPERLINK("https://klasma.github.io/Logging_BENGTSFORS/kartor/A 56938-2019.png")</f>
        <v/>
      </c>
      <c r="V313">
        <f>HYPERLINK("https://klasma.github.io/Logging_BENGTSFORS/klagomål/A 56938-2019.docx")</f>
        <v/>
      </c>
      <c r="W313">
        <f>HYPERLINK("https://klasma.github.io/Logging_BENGTSFORS/klagomålsmail/A 56938-2019.docx")</f>
        <v/>
      </c>
      <c r="X313">
        <f>HYPERLINK("https://klasma.github.io/Logging_BENGTSFORS/tillsyn/A 56938-2019.docx")</f>
        <v/>
      </c>
      <c r="Y313">
        <f>HYPERLINK("https://klasma.github.io/Logging_BENGTSFORS/tillsynsmail/A 56938-2019.docx")</f>
        <v/>
      </c>
    </row>
    <row r="314" ht="15" customHeight="1">
      <c r="A314" t="inlineStr">
        <is>
          <t>A 59936-2019</t>
        </is>
      </c>
      <c r="B314" s="1" t="n">
        <v>43775</v>
      </c>
      <c r="C314" s="1" t="n">
        <v>45182</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c r="T314">
        <f>HYPERLINK("https://klasma.github.io/Logging_TANUM/kartor/A 59936-2019.png")</f>
        <v/>
      </c>
      <c r="V314">
        <f>HYPERLINK("https://klasma.github.io/Logging_TANUM/klagomål/A 59936-2019.docx")</f>
        <v/>
      </c>
      <c r="W314">
        <f>HYPERLINK("https://klasma.github.io/Logging_TANUM/klagomålsmail/A 59936-2019.docx")</f>
        <v/>
      </c>
      <c r="X314">
        <f>HYPERLINK("https://klasma.github.io/Logging_TANUM/tillsyn/A 59936-2019.docx")</f>
        <v/>
      </c>
      <c r="Y314">
        <f>HYPERLINK("https://klasma.github.io/Logging_TANUM/tillsynsmail/A 59936-2019.docx")</f>
        <v/>
      </c>
    </row>
    <row r="315" ht="15" customHeight="1">
      <c r="A315" t="inlineStr">
        <is>
          <t>A 60099-2019</t>
        </is>
      </c>
      <c r="B315" s="1" t="n">
        <v>43777</v>
      </c>
      <c r="C315" s="1" t="n">
        <v>45182</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c r="T315">
        <f>HYPERLINK("https://klasma.github.io/Logging_SKOVDE/kartor/A 60099-2019.png")</f>
        <v/>
      </c>
      <c r="V315">
        <f>HYPERLINK("https://klasma.github.io/Logging_SKOVDE/klagomål/A 60099-2019.docx")</f>
        <v/>
      </c>
      <c r="W315">
        <f>HYPERLINK("https://klasma.github.io/Logging_SKOVDE/klagomålsmail/A 60099-2019.docx")</f>
        <v/>
      </c>
      <c r="X315">
        <f>HYPERLINK("https://klasma.github.io/Logging_SKOVDE/tillsyn/A 60099-2019.docx")</f>
        <v/>
      </c>
      <c r="Y315">
        <f>HYPERLINK("https://klasma.github.io/Logging_SKOVDE/tillsynsmail/A 60099-2019.docx")</f>
        <v/>
      </c>
    </row>
    <row r="316" ht="15" customHeight="1">
      <c r="A316" t="inlineStr">
        <is>
          <t>A 60204-2019</t>
        </is>
      </c>
      <c r="B316" s="1" t="n">
        <v>43780</v>
      </c>
      <c r="C316" s="1" t="n">
        <v>45182</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c r="T316">
        <f>HYPERLINK("https://klasma.github.io/Logging_STROMSTAD/kartor/A 60204-2019.png")</f>
        <v/>
      </c>
      <c r="V316">
        <f>HYPERLINK("https://klasma.github.io/Logging_STROMSTAD/klagomål/A 60204-2019.docx")</f>
        <v/>
      </c>
      <c r="W316">
        <f>HYPERLINK("https://klasma.github.io/Logging_STROMSTAD/klagomålsmail/A 60204-2019.docx")</f>
        <v/>
      </c>
      <c r="X316">
        <f>HYPERLINK("https://klasma.github.io/Logging_STROMSTAD/tillsyn/A 60204-2019.docx")</f>
        <v/>
      </c>
      <c r="Y316">
        <f>HYPERLINK("https://klasma.github.io/Logging_STROMSTAD/tillsynsmail/A 60204-2019.docx")</f>
        <v/>
      </c>
    </row>
    <row r="317" ht="15" customHeight="1">
      <c r="A317" t="inlineStr">
        <is>
          <t>A 61788-2019</t>
        </is>
      </c>
      <c r="B317" s="1" t="n">
        <v>43785</v>
      </c>
      <c r="C317" s="1" t="n">
        <v>45182</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c r="T317">
        <f>HYPERLINK("https://klasma.github.io/Logging_AMAL/kartor/A 61788-2019.png")</f>
        <v/>
      </c>
      <c r="V317">
        <f>HYPERLINK("https://klasma.github.io/Logging_AMAL/klagomål/A 61788-2019.docx")</f>
        <v/>
      </c>
      <c r="W317">
        <f>HYPERLINK("https://klasma.github.io/Logging_AMAL/klagomålsmail/A 61788-2019.docx")</f>
        <v/>
      </c>
      <c r="X317">
        <f>HYPERLINK("https://klasma.github.io/Logging_AMAL/tillsyn/A 61788-2019.docx")</f>
        <v/>
      </c>
      <c r="Y317">
        <f>HYPERLINK("https://klasma.github.io/Logging_AMAL/tillsynsmail/A 61788-2019.docx")</f>
        <v/>
      </c>
    </row>
    <row r="318" ht="15" customHeight="1">
      <c r="A318" t="inlineStr">
        <is>
          <t>A 63112-2019</t>
        </is>
      </c>
      <c r="B318" s="1" t="n">
        <v>43791</v>
      </c>
      <c r="C318" s="1" t="n">
        <v>45182</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c r="T318">
        <f>HYPERLINK("https://klasma.github.io/Logging_MARK/kartor/A 63112-2019.png")</f>
        <v/>
      </c>
      <c r="V318">
        <f>HYPERLINK("https://klasma.github.io/Logging_MARK/klagomål/A 63112-2019.docx")</f>
        <v/>
      </c>
      <c r="W318">
        <f>HYPERLINK("https://klasma.github.io/Logging_MARK/klagomålsmail/A 63112-2019.docx")</f>
        <v/>
      </c>
      <c r="X318">
        <f>HYPERLINK("https://klasma.github.io/Logging_MARK/tillsyn/A 63112-2019.docx")</f>
        <v/>
      </c>
      <c r="Y318">
        <f>HYPERLINK("https://klasma.github.io/Logging_MARK/tillsynsmail/A 63112-2019.docx")</f>
        <v/>
      </c>
    </row>
    <row r="319" ht="15" customHeight="1">
      <c r="A319" t="inlineStr">
        <is>
          <t>A 63435-2019</t>
        </is>
      </c>
      <c r="B319" s="1" t="n">
        <v>43794</v>
      </c>
      <c r="C319" s="1" t="n">
        <v>45182</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c r="T319">
        <f>HYPERLINK("https://klasma.github.io/Logging_GOTEBORG/kartor/A 63435-2019.png")</f>
        <v/>
      </c>
      <c r="V319">
        <f>HYPERLINK("https://klasma.github.io/Logging_GOTEBORG/klagomål/A 63435-2019.docx")</f>
        <v/>
      </c>
      <c r="W319">
        <f>HYPERLINK("https://klasma.github.io/Logging_GOTEBORG/klagomålsmail/A 63435-2019.docx")</f>
        <v/>
      </c>
      <c r="X319">
        <f>HYPERLINK("https://klasma.github.io/Logging_GOTEBORG/tillsyn/A 63435-2019.docx")</f>
        <v/>
      </c>
      <c r="Y319">
        <f>HYPERLINK("https://klasma.github.io/Logging_GOTEBORG/tillsynsmail/A 63435-2019.docx")</f>
        <v/>
      </c>
    </row>
    <row r="320" ht="15" customHeight="1">
      <c r="A320" t="inlineStr">
        <is>
          <t>A 66572-2019</t>
        </is>
      </c>
      <c r="B320" s="1" t="n">
        <v>43803</v>
      </c>
      <c r="C320" s="1" t="n">
        <v>45182</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c r="T320">
        <f>HYPERLINK("https://klasma.github.io/Logging_GULLSPANG/kartor/A 66572-2019.png")</f>
        <v/>
      </c>
      <c r="V320">
        <f>HYPERLINK("https://klasma.github.io/Logging_GULLSPANG/klagomål/A 66572-2019.docx")</f>
        <v/>
      </c>
      <c r="W320">
        <f>HYPERLINK("https://klasma.github.io/Logging_GULLSPANG/klagomålsmail/A 66572-2019.docx")</f>
        <v/>
      </c>
      <c r="X320">
        <f>HYPERLINK("https://klasma.github.io/Logging_GULLSPANG/tillsyn/A 66572-2019.docx")</f>
        <v/>
      </c>
      <c r="Y320">
        <f>HYPERLINK("https://klasma.github.io/Logging_GULLSPANG/tillsynsmail/A 66572-2019.docx")</f>
        <v/>
      </c>
    </row>
    <row r="321" ht="15" customHeight="1">
      <c r="A321" t="inlineStr">
        <is>
          <t>A 67037-2019</t>
        </is>
      </c>
      <c r="B321" s="1" t="n">
        <v>43811</v>
      </c>
      <c r="C321" s="1" t="n">
        <v>45182</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c r="T321">
        <f>HYPERLINK("https://klasma.github.io/Logging_BORAS/kartor/A 67037-2019.png")</f>
        <v/>
      </c>
      <c r="U321">
        <f>HYPERLINK("https://klasma.github.io/Logging_BORAS/knärot/A 67037-2019.png")</f>
        <v/>
      </c>
      <c r="V321">
        <f>HYPERLINK("https://klasma.github.io/Logging_BORAS/klagomål/A 67037-2019.docx")</f>
        <v/>
      </c>
      <c r="W321">
        <f>HYPERLINK("https://klasma.github.io/Logging_BORAS/klagomålsmail/A 67037-2019.docx")</f>
        <v/>
      </c>
      <c r="X321">
        <f>HYPERLINK("https://klasma.github.io/Logging_BORAS/tillsyn/A 67037-2019.docx")</f>
        <v/>
      </c>
      <c r="Y321">
        <f>HYPERLINK("https://klasma.github.io/Logging_BORAS/tillsynsmail/A 67037-2019.docx")</f>
        <v/>
      </c>
    </row>
    <row r="322" ht="15" customHeight="1">
      <c r="A322" t="inlineStr">
        <is>
          <t>A 997-2020</t>
        </is>
      </c>
      <c r="B322" s="1" t="n">
        <v>43819</v>
      </c>
      <c r="C322" s="1" t="n">
        <v>45182</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c r="T322">
        <f>HYPERLINK("https://klasma.github.io/Logging_ORUST/kartor/A 997-2020.png")</f>
        <v/>
      </c>
      <c r="U322">
        <f>HYPERLINK("https://klasma.github.io/Logging_ORUST/knärot/A 997-2020.png")</f>
        <v/>
      </c>
      <c r="V322">
        <f>HYPERLINK("https://klasma.github.io/Logging_ORUST/klagomål/A 997-2020.docx")</f>
        <v/>
      </c>
      <c r="W322">
        <f>HYPERLINK("https://klasma.github.io/Logging_ORUST/klagomålsmail/A 997-2020.docx")</f>
        <v/>
      </c>
      <c r="X322">
        <f>HYPERLINK("https://klasma.github.io/Logging_ORUST/tillsyn/A 997-2020.docx")</f>
        <v/>
      </c>
      <c r="Y322">
        <f>HYPERLINK("https://klasma.github.io/Logging_ORUST/tillsynsmail/A 997-2020.docx")</f>
        <v/>
      </c>
    </row>
    <row r="323" ht="15" customHeight="1">
      <c r="A323" t="inlineStr">
        <is>
          <t>A 68747-2019</t>
        </is>
      </c>
      <c r="B323" s="1" t="n">
        <v>43819</v>
      </c>
      <c r="C323" s="1" t="n">
        <v>45182</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c r="T323">
        <f>HYPERLINK("https://klasma.github.io/Logging_MARK/kartor/A 68747-2019.png")</f>
        <v/>
      </c>
      <c r="V323">
        <f>HYPERLINK("https://klasma.github.io/Logging_MARK/klagomål/A 68747-2019.docx")</f>
        <v/>
      </c>
      <c r="W323">
        <f>HYPERLINK("https://klasma.github.io/Logging_MARK/klagomålsmail/A 68747-2019.docx")</f>
        <v/>
      </c>
      <c r="X323">
        <f>HYPERLINK("https://klasma.github.io/Logging_MARK/tillsyn/A 68747-2019.docx")</f>
        <v/>
      </c>
      <c r="Y323">
        <f>HYPERLINK("https://klasma.github.io/Logging_MARK/tillsynsmail/A 68747-2019.docx")</f>
        <v/>
      </c>
    </row>
    <row r="324" ht="15" customHeight="1">
      <c r="A324" t="inlineStr">
        <is>
          <t>A 910-2020</t>
        </is>
      </c>
      <c r="B324" s="1" t="n">
        <v>43839</v>
      </c>
      <c r="C324" s="1" t="n">
        <v>45182</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c r="T324">
        <f>HYPERLINK("https://klasma.github.io/Logging_DALS-ED/kartor/A 910-2020.png")</f>
        <v/>
      </c>
      <c r="V324">
        <f>HYPERLINK("https://klasma.github.io/Logging_DALS-ED/klagomål/A 910-2020.docx")</f>
        <v/>
      </c>
      <c r="W324">
        <f>HYPERLINK("https://klasma.github.io/Logging_DALS-ED/klagomålsmail/A 910-2020.docx")</f>
        <v/>
      </c>
      <c r="X324">
        <f>HYPERLINK("https://klasma.github.io/Logging_DALS-ED/tillsyn/A 910-2020.docx")</f>
        <v/>
      </c>
      <c r="Y324">
        <f>HYPERLINK("https://klasma.github.io/Logging_DALS-ED/tillsynsmail/A 910-2020.docx")</f>
        <v/>
      </c>
    </row>
    <row r="325" ht="15" customHeight="1">
      <c r="A325" t="inlineStr">
        <is>
          <t>A 1275-2020</t>
        </is>
      </c>
      <c r="B325" s="1" t="n">
        <v>43841</v>
      </c>
      <c r="C325" s="1" t="n">
        <v>45182</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c r="T325">
        <f>HYPERLINK("https://klasma.github.io/Logging_AMAL/kartor/A 1275-2020.png")</f>
        <v/>
      </c>
      <c r="V325">
        <f>HYPERLINK("https://klasma.github.io/Logging_AMAL/klagomål/A 1275-2020.docx")</f>
        <v/>
      </c>
      <c r="W325">
        <f>HYPERLINK("https://klasma.github.io/Logging_AMAL/klagomålsmail/A 1275-2020.docx")</f>
        <v/>
      </c>
      <c r="X325">
        <f>HYPERLINK("https://klasma.github.io/Logging_AMAL/tillsyn/A 1275-2020.docx")</f>
        <v/>
      </c>
      <c r="Y325">
        <f>HYPERLINK("https://klasma.github.io/Logging_AMAL/tillsynsmail/A 1275-2020.docx")</f>
        <v/>
      </c>
    </row>
    <row r="326" ht="15" customHeight="1">
      <c r="A326" t="inlineStr">
        <is>
          <t>A 3596-2020</t>
        </is>
      </c>
      <c r="B326" s="1" t="n">
        <v>43853</v>
      </c>
      <c r="C326" s="1" t="n">
        <v>45182</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c r="T326">
        <f>HYPERLINK("https://klasma.github.io/Logging_SKARA/kartor/A 3596-2020.png")</f>
        <v/>
      </c>
      <c r="V326">
        <f>HYPERLINK("https://klasma.github.io/Logging_SKARA/klagomål/A 3596-2020.docx")</f>
        <v/>
      </c>
      <c r="W326">
        <f>HYPERLINK("https://klasma.github.io/Logging_SKARA/klagomålsmail/A 3596-2020.docx")</f>
        <v/>
      </c>
      <c r="X326">
        <f>HYPERLINK("https://klasma.github.io/Logging_SKARA/tillsyn/A 3596-2020.docx")</f>
        <v/>
      </c>
      <c r="Y326">
        <f>HYPERLINK("https://klasma.github.io/Logging_SKARA/tillsynsmail/A 3596-2020.docx")</f>
        <v/>
      </c>
    </row>
    <row r="327" ht="15" customHeight="1">
      <c r="A327" t="inlineStr">
        <is>
          <t>A 4522-2020</t>
        </is>
      </c>
      <c r="B327" s="1" t="n">
        <v>43858</v>
      </c>
      <c r="C327" s="1" t="n">
        <v>45182</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c r="T327">
        <f>HYPERLINK("https://klasma.github.io/Logging_ORUST/kartor/A 4522-2020.png")</f>
        <v/>
      </c>
      <c r="V327">
        <f>HYPERLINK("https://klasma.github.io/Logging_ORUST/klagomål/A 4522-2020.docx")</f>
        <v/>
      </c>
      <c r="W327">
        <f>HYPERLINK("https://klasma.github.io/Logging_ORUST/klagomålsmail/A 4522-2020.docx")</f>
        <v/>
      </c>
      <c r="X327">
        <f>HYPERLINK("https://klasma.github.io/Logging_ORUST/tillsyn/A 4522-2020.docx")</f>
        <v/>
      </c>
      <c r="Y327">
        <f>HYPERLINK("https://klasma.github.io/Logging_ORUST/tillsynsmail/A 4522-2020.docx")</f>
        <v/>
      </c>
    </row>
    <row r="328" ht="15" customHeight="1">
      <c r="A328" t="inlineStr">
        <is>
          <t>A 4535-2020</t>
        </is>
      </c>
      <c r="B328" s="1" t="n">
        <v>43858</v>
      </c>
      <c r="C328" s="1" t="n">
        <v>45182</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c r="T328">
        <f>HYPERLINK("https://klasma.github.io/Logging_ORUST/kartor/A 4535-2020.png")</f>
        <v/>
      </c>
      <c r="U328">
        <f>HYPERLINK("https://klasma.github.io/Logging_ORUST/knärot/A 4535-2020.png")</f>
        <v/>
      </c>
      <c r="V328">
        <f>HYPERLINK("https://klasma.github.io/Logging_ORUST/klagomål/A 4535-2020.docx")</f>
        <v/>
      </c>
      <c r="W328">
        <f>HYPERLINK("https://klasma.github.io/Logging_ORUST/klagomålsmail/A 4535-2020.docx")</f>
        <v/>
      </c>
      <c r="X328">
        <f>HYPERLINK("https://klasma.github.io/Logging_ORUST/tillsyn/A 4535-2020.docx")</f>
        <v/>
      </c>
      <c r="Y328">
        <f>HYPERLINK("https://klasma.github.io/Logging_ORUST/tillsynsmail/A 4535-2020.docx")</f>
        <v/>
      </c>
    </row>
    <row r="329" ht="15" customHeight="1">
      <c r="A329" t="inlineStr">
        <is>
          <t>A 5136-2020</t>
        </is>
      </c>
      <c r="B329" s="1" t="n">
        <v>43860</v>
      </c>
      <c r="C329" s="1" t="n">
        <v>45182</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c r="T329">
        <f>HYPERLINK("https://klasma.github.io/Logging_ULRICEHAMN/kartor/A 5136-2020.png")</f>
        <v/>
      </c>
      <c r="V329">
        <f>HYPERLINK("https://klasma.github.io/Logging_ULRICEHAMN/klagomål/A 5136-2020.docx")</f>
        <v/>
      </c>
      <c r="W329">
        <f>HYPERLINK("https://klasma.github.io/Logging_ULRICEHAMN/klagomålsmail/A 5136-2020.docx")</f>
        <v/>
      </c>
      <c r="X329">
        <f>HYPERLINK("https://klasma.github.io/Logging_ULRICEHAMN/tillsyn/A 5136-2020.docx")</f>
        <v/>
      </c>
      <c r="Y329">
        <f>HYPERLINK("https://klasma.github.io/Logging_ULRICEHAMN/tillsynsmail/A 5136-2020.docx")</f>
        <v/>
      </c>
    </row>
    <row r="330" ht="15" customHeight="1">
      <c r="A330" t="inlineStr">
        <is>
          <t>A 5148-2020</t>
        </is>
      </c>
      <c r="B330" s="1" t="n">
        <v>43860</v>
      </c>
      <c r="C330" s="1" t="n">
        <v>45182</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c r="T330">
        <f>HYPERLINK("https://klasma.github.io/Logging_ULRICEHAMN/kartor/A 5148-2020.png")</f>
        <v/>
      </c>
      <c r="V330">
        <f>HYPERLINK("https://klasma.github.io/Logging_ULRICEHAMN/klagomål/A 5148-2020.docx")</f>
        <v/>
      </c>
      <c r="W330">
        <f>HYPERLINK("https://klasma.github.io/Logging_ULRICEHAMN/klagomålsmail/A 5148-2020.docx")</f>
        <v/>
      </c>
      <c r="X330">
        <f>HYPERLINK("https://klasma.github.io/Logging_ULRICEHAMN/tillsyn/A 5148-2020.docx")</f>
        <v/>
      </c>
      <c r="Y330">
        <f>HYPERLINK("https://klasma.github.io/Logging_ULRICEHAMN/tillsynsmail/A 5148-2020.docx")</f>
        <v/>
      </c>
    </row>
    <row r="331" ht="15" customHeight="1">
      <c r="A331" t="inlineStr">
        <is>
          <t>A 5277-2020</t>
        </is>
      </c>
      <c r="B331" s="1" t="n">
        <v>43860</v>
      </c>
      <c r="C331" s="1" t="n">
        <v>45182</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c r="T331">
        <f>HYPERLINK("https://klasma.github.io/Logging_MARK/kartor/A 5277-2020.png")</f>
        <v/>
      </c>
      <c r="V331">
        <f>HYPERLINK("https://klasma.github.io/Logging_MARK/klagomål/A 5277-2020.docx")</f>
        <v/>
      </c>
      <c r="W331">
        <f>HYPERLINK("https://klasma.github.io/Logging_MARK/klagomålsmail/A 5277-2020.docx")</f>
        <v/>
      </c>
      <c r="X331">
        <f>HYPERLINK("https://klasma.github.io/Logging_MARK/tillsyn/A 5277-2020.docx")</f>
        <v/>
      </c>
      <c r="Y331">
        <f>HYPERLINK("https://klasma.github.io/Logging_MARK/tillsynsmail/A 5277-2020.docx")</f>
        <v/>
      </c>
    </row>
    <row r="332" ht="15" customHeight="1">
      <c r="A332" t="inlineStr">
        <is>
          <t>A 6492-2020</t>
        </is>
      </c>
      <c r="B332" s="1" t="n">
        <v>43866</v>
      </c>
      <c r="C332" s="1" t="n">
        <v>45182</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c r="T332">
        <f>HYPERLINK("https://klasma.github.io/Logging_SKARA/kartor/A 6492-2020.png")</f>
        <v/>
      </c>
      <c r="V332">
        <f>HYPERLINK("https://klasma.github.io/Logging_SKARA/klagomål/A 6492-2020.docx")</f>
        <v/>
      </c>
      <c r="W332">
        <f>HYPERLINK("https://klasma.github.io/Logging_SKARA/klagomålsmail/A 6492-2020.docx")</f>
        <v/>
      </c>
      <c r="X332">
        <f>HYPERLINK("https://klasma.github.io/Logging_SKARA/tillsyn/A 6492-2020.docx")</f>
        <v/>
      </c>
      <c r="Y332">
        <f>HYPERLINK("https://klasma.github.io/Logging_SKARA/tillsynsmail/A 6492-2020.docx")</f>
        <v/>
      </c>
    </row>
    <row r="333" ht="15" customHeight="1">
      <c r="A333" t="inlineStr">
        <is>
          <t>A 11312-2020</t>
        </is>
      </c>
      <c r="B333" s="1" t="n">
        <v>43892</v>
      </c>
      <c r="C333" s="1" t="n">
        <v>45182</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c r="T333">
        <f>HYPERLINK("https://klasma.github.io/Logging_LILLA_EDET/kartor/A 11312-2020.png")</f>
        <v/>
      </c>
      <c r="V333">
        <f>HYPERLINK("https://klasma.github.io/Logging_LILLA_EDET/klagomål/A 11312-2020.docx")</f>
        <v/>
      </c>
      <c r="W333">
        <f>HYPERLINK("https://klasma.github.io/Logging_LILLA_EDET/klagomålsmail/A 11312-2020.docx")</f>
        <v/>
      </c>
      <c r="X333">
        <f>HYPERLINK("https://klasma.github.io/Logging_LILLA_EDET/tillsyn/A 11312-2020.docx")</f>
        <v/>
      </c>
      <c r="Y333">
        <f>HYPERLINK("https://klasma.github.io/Logging_LILLA_EDET/tillsynsmail/A 11312-2020.docx")</f>
        <v/>
      </c>
    </row>
    <row r="334" ht="15" customHeight="1">
      <c r="A334" t="inlineStr">
        <is>
          <t>A 12800-2020</t>
        </is>
      </c>
      <c r="B334" s="1" t="n">
        <v>43893</v>
      </c>
      <c r="C334" s="1" t="n">
        <v>45182</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c r="T334">
        <f>HYPERLINK("https://klasma.github.io/Logging_STROMSTAD/kartor/A 12800-2020.png")</f>
        <v/>
      </c>
      <c r="V334">
        <f>HYPERLINK("https://klasma.github.io/Logging_STROMSTAD/klagomål/A 12800-2020.docx")</f>
        <v/>
      </c>
      <c r="W334">
        <f>HYPERLINK("https://klasma.github.io/Logging_STROMSTAD/klagomålsmail/A 12800-2020.docx")</f>
        <v/>
      </c>
      <c r="X334">
        <f>HYPERLINK("https://klasma.github.io/Logging_STROMSTAD/tillsyn/A 12800-2020.docx")</f>
        <v/>
      </c>
      <c r="Y334">
        <f>HYPERLINK("https://klasma.github.io/Logging_STROMSTAD/tillsynsmail/A 12800-2020.docx")</f>
        <v/>
      </c>
    </row>
    <row r="335" ht="15" customHeight="1">
      <c r="A335" t="inlineStr">
        <is>
          <t>A 12851-2020</t>
        </is>
      </c>
      <c r="B335" s="1" t="n">
        <v>43899</v>
      </c>
      <c r="C335" s="1" t="n">
        <v>45182</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c r="T335">
        <f>HYPERLINK("https://klasma.github.io/Logging_FARGELANDA/kartor/A 12851-2020.png")</f>
        <v/>
      </c>
      <c r="V335">
        <f>HYPERLINK("https://klasma.github.io/Logging_FARGELANDA/klagomål/A 12851-2020.docx")</f>
        <v/>
      </c>
      <c r="W335">
        <f>HYPERLINK("https://klasma.github.io/Logging_FARGELANDA/klagomålsmail/A 12851-2020.docx")</f>
        <v/>
      </c>
      <c r="X335">
        <f>HYPERLINK("https://klasma.github.io/Logging_FARGELANDA/tillsyn/A 12851-2020.docx")</f>
        <v/>
      </c>
      <c r="Y335">
        <f>HYPERLINK("https://klasma.github.io/Logging_FARGELANDA/tillsynsmail/A 12851-2020.docx")</f>
        <v/>
      </c>
    </row>
    <row r="336" ht="15" customHeight="1">
      <c r="A336" t="inlineStr">
        <is>
          <t>A 13411-2020</t>
        </is>
      </c>
      <c r="B336" s="1" t="n">
        <v>43902</v>
      </c>
      <c r="C336" s="1" t="n">
        <v>45182</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c r="T336">
        <f>HYPERLINK("https://klasma.github.io/Logging_BORAS/kartor/A 13411-2020.png")</f>
        <v/>
      </c>
      <c r="V336">
        <f>HYPERLINK("https://klasma.github.io/Logging_BORAS/klagomål/A 13411-2020.docx")</f>
        <v/>
      </c>
      <c r="W336">
        <f>HYPERLINK("https://klasma.github.io/Logging_BORAS/klagomålsmail/A 13411-2020.docx")</f>
        <v/>
      </c>
      <c r="X336">
        <f>HYPERLINK("https://klasma.github.io/Logging_BORAS/tillsyn/A 13411-2020.docx")</f>
        <v/>
      </c>
      <c r="Y336">
        <f>HYPERLINK("https://klasma.github.io/Logging_BORAS/tillsynsmail/A 13411-2020.docx")</f>
        <v/>
      </c>
    </row>
    <row r="337" ht="15" customHeight="1">
      <c r="A337" t="inlineStr">
        <is>
          <t>A 14791-2020</t>
        </is>
      </c>
      <c r="B337" s="1" t="n">
        <v>43909</v>
      </c>
      <c r="C337" s="1" t="n">
        <v>45182</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c r="T337">
        <f>HYPERLINK("https://klasma.github.io/Logging_HARRYDA/kartor/A 14791-2020.png")</f>
        <v/>
      </c>
      <c r="V337">
        <f>HYPERLINK("https://klasma.github.io/Logging_HARRYDA/klagomål/A 14791-2020.docx")</f>
        <v/>
      </c>
      <c r="W337">
        <f>HYPERLINK("https://klasma.github.io/Logging_HARRYDA/klagomålsmail/A 14791-2020.docx")</f>
        <v/>
      </c>
      <c r="X337">
        <f>HYPERLINK("https://klasma.github.io/Logging_HARRYDA/tillsyn/A 14791-2020.docx")</f>
        <v/>
      </c>
      <c r="Y337">
        <f>HYPERLINK("https://klasma.github.io/Logging_HARRYDA/tillsynsmail/A 14791-2020.docx")</f>
        <v/>
      </c>
    </row>
    <row r="338" ht="15" customHeight="1">
      <c r="A338" t="inlineStr">
        <is>
          <t>A 18853-2020</t>
        </is>
      </c>
      <c r="B338" s="1" t="n">
        <v>43929</v>
      </c>
      <c r="C338" s="1" t="n">
        <v>45182</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c r="T338">
        <f>HYPERLINK("https://klasma.github.io/Logging_HARRYDA/kartor/A 18853-2020.png")</f>
        <v/>
      </c>
      <c r="V338">
        <f>HYPERLINK("https://klasma.github.io/Logging_HARRYDA/klagomål/A 18853-2020.docx")</f>
        <v/>
      </c>
      <c r="W338">
        <f>HYPERLINK("https://klasma.github.io/Logging_HARRYDA/klagomålsmail/A 18853-2020.docx")</f>
        <v/>
      </c>
      <c r="X338">
        <f>HYPERLINK("https://klasma.github.io/Logging_HARRYDA/tillsyn/A 18853-2020.docx")</f>
        <v/>
      </c>
      <c r="Y338">
        <f>HYPERLINK("https://klasma.github.io/Logging_HARRYDA/tillsynsmail/A 18853-2020.docx")</f>
        <v/>
      </c>
    </row>
    <row r="339" ht="15" customHeight="1">
      <c r="A339" t="inlineStr">
        <is>
          <t>A 22966-2020</t>
        </is>
      </c>
      <c r="B339" s="1" t="n">
        <v>43965</v>
      </c>
      <c r="C339" s="1" t="n">
        <v>45182</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c r="T339">
        <f>HYPERLINK("https://klasma.github.io/Logging_MOLNDAL/kartor/A 22966-2020.png")</f>
        <v/>
      </c>
      <c r="V339">
        <f>HYPERLINK("https://klasma.github.io/Logging_MOLNDAL/klagomål/A 22966-2020.docx")</f>
        <v/>
      </c>
      <c r="W339">
        <f>HYPERLINK("https://klasma.github.io/Logging_MOLNDAL/klagomålsmail/A 22966-2020.docx")</f>
        <v/>
      </c>
      <c r="X339">
        <f>HYPERLINK("https://klasma.github.io/Logging_MOLNDAL/tillsyn/A 22966-2020.docx")</f>
        <v/>
      </c>
      <c r="Y339">
        <f>HYPERLINK("https://klasma.github.io/Logging_MOLNDAL/tillsynsmail/A 22966-2020.docx")</f>
        <v/>
      </c>
    </row>
    <row r="340" ht="15" customHeight="1">
      <c r="A340" t="inlineStr">
        <is>
          <t>A 23387-2020</t>
        </is>
      </c>
      <c r="B340" s="1" t="n">
        <v>43968</v>
      </c>
      <c r="C340" s="1" t="n">
        <v>45182</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c r="T340">
        <f>HYPERLINK("https://klasma.github.io/Logging_KUNGALV/kartor/A 23387-2020.png")</f>
        <v/>
      </c>
      <c r="V340">
        <f>HYPERLINK("https://klasma.github.io/Logging_KUNGALV/klagomål/A 23387-2020.docx")</f>
        <v/>
      </c>
      <c r="W340">
        <f>HYPERLINK("https://klasma.github.io/Logging_KUNGALV/klagomålsmail/A 23387-2020.docx")</f>
        <v/>
      </c>
      <c r="X340">
        <f>HYPERLINK("https://klasma.github.io/Logging_KUNGALV/tillsyn/A 23387-2020.docx")</f>
        <v/>
      </c>
      <c r="Y340">
        <f>HYPERLINK("https://klasma.github.io/Logging_KUNGALV/tillsynsmail/A 23387-2020.docx")</f>
        <v/>
      </c>
    </row>
    <row r="341" ht="15" customHeight="1">
      <c r="A341" t="inlineStr">
        <is>
          <t>A 24203-2020</t>
        </is>
      </c>
      <c r="B341" s="1" t="n">
        <v>43971</v>
      </c>
      <c r="C341" s="1" t="n">
        <v>45182</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c r="T341">
        <f>HYPERLINK("https://klasma.github.io/Logging_STENUNGSUND/kartor/A 24203-2020.png")</f>
        <v/>
      </c>
      <c r="V341">
        <f>HYPERLINK("https://klasma.github.io/Logging_STENUNGSUND/klagomål/A 24203-2020.docx")</f>
        <v/>
      </c>
      <c r="W341">
        <f>HYPERLINK("https://klasma.github.io/Logging_STENUNGSUND/klagomålsmail/A 24203-2020.docx")</f>
        <v/>
      </c>
      <c r="X341">
        <f>HYPERLINK("https://klasma.github.io/Logging_STENUNGSUND/tillsyn/A 24203-2020.docx")</f>
        <v/>
      </c>
      <c r="Y341">
        <f>HYPERLINK("https://klasma.github.io/Logging_STENUNGSUND/tillsynsmail/A 24203-2020.docx")</f>
        <v/>
      </c>
    </row>
    <row r="342" ht="15" customHeight="1">
      <c r="A342" t="inlineStr">
        <is>
          <t>A 24251-2020</t>
        </is>
      </c>
      <c r="B342" s="1" t="n">
        <v>43975</v>
      </c>
      <c r="C342" s="1" t="n">
        <v>45182</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c r="T342">
        <f>HYPERLINK("https://klasma.github.io/Logging_TANUM/kartor/A 24251-2020.png")</f>
        <v/>
      </c>
      <c r="U342">
        <f>HYPERLINK("https://klasma.github.io/Logging_TANUM/knärot/A 24251-2020.png")</f>
        <v/>
      </c>
      <c r="V342">
        <f>HYPERLINK("https://klasma.github.io/Logging_TANUM/klagomål/A 24251-2020.docx")</f>
        <v/>
      </c>
      <c r="W342">
        <f>HYPERLINK("https://klasma.github.io/Logging_TANUM/klagomålsmail/A 24251-2020.docx")</f>
        <v/>
      </c>
      <c r="X342">
        <f>HYPERLINK("https://klasma.github.io/Logging_TANUM/tillsyn/A 24251-2020.docx")</f>
        <v/>
      </c>
      <c r="Y342">
        <f>HYPERLINK("https://klasma.github.io/Logging_TANUM/tillsynsmail/A 24251-2020.docx")</f>
        <v/>
      </c>
    </row>
    <row r="343" ht="15" customHeight="1">
      <c r="A343" t="inlineStr">
        <is>
          <t>A 25598-2020</t>
        </is>
      </c>
      <c r="B343" s="1" t="n">
        <v>43983</v>
      </c>
      <c r="C343" s="1" t="n">
        <v>45182</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c r="T343">
        <f>HYPERLINK("https://klasma.github.io/Logging_VANERSBORG/kartor/A 25598-2020.png")</f>
        <v/>
      </c>
      <c r="V343">
        <f>HYPERLINK("https://klasma.github.io/Logging_VANERSBORG/klagomål/A 25598-2020.docx")</f>
        <v/>
      </c>
      <c r="W343">
        <f>HYPERLINK("https://klasma.github.io/Logging_VANERSBORG/klagomålsmail/A 25598-2020.docx")</f>
        <v/>
      </c>
      <c r="X343">
        <f>HYPERLINK("https://klasma.github.io/Logging_VANERSBORG/tillsyn/A 25598-2020.docx")</f>
        <v/>
      </c>
      <c r="Y343">
        <f>HYPERLINK("https://klasma.github.io/Logging_VANERSBORG/tillsynsmail/A 25598-2020.docx")</f>
        <v/>
      </c>
    </row>
    <row r="344" ht="15" customHeight="1">
      <c r="A344" t="inlineStr">
        <is>
          <t>A 26240-2020</t>
        </is>
      </c>
      <c r="B344" s="1" t="n">
        <v>43986</v>
      </c>
      <c r="C344" s="1" t="n">
        <v>45182</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c r="T344">
        <f>HYPERLINK("https://klasma.github.io/Logging_ALINGSAS/kartor/A 26240-2020.png")</f>
        <v/>
      </c>
      <c r="V344">
        <f>HYPERLINK("https://klasma.github.io/Logging_ALINGSAS/klagomål/A 26240-2020.docx")</f>
        <v/>
      </c>
      <c r="W344">
        <f>HYPERLINK("https://klasma.github.io/Logging_ALINGSAS/klagomålsmail/A 26240-2020.docx")</f>
        <v/>
      </c>
      <c r="X344">
        <f>HYPERLINK("https://klasma.github.io/Logging_ALINGSAS/tillsyn/A 26240-2020.docx")</f>
        <v/>
      </c>
      <c r="Y344">
        <f>HYPERLINK("https://klasma.github.io/Logging_ALINGSAS/tillsynsmail/A 26240-2020.docx")</f>
        <v/>
      </c>
    </row>
    <row r="345" ht="15" customHeight="1">
      <c r="A345" t="inlineStr">
        <is>
          <t>A 28412-2020</t>
        </is>
      </c>
      <c r="B345" s="1" t="n">
        <v>43998</v>
      </c>
      <c r="C345" s="1" t="n">
        <v>45182</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c r="T345">
        <f>HYPERLINK("https://klasma.github.io/Logging_MARK/kartor/A 28412-2020.png")</f>
        <v/>
      </c>
      <c r="V345">
        <f>HYPERLINK("https://klasma.github.io/Logging_MARK/klagomål/A 28412-2020.docx")</f>
        <v/>
      </c>
      <c r="W345">
        <f>HYPERLINK("https://klasma.github.io/Logging_MARK/klagomålsmail/A 28412-2020.docx")</f>
        <v/>
      </c>
      <c r="X345">
        <f>HYPERLINK("https://klasma.github.io/Logging_MARK/tillsyn/A 28412-2020.docx")</f>
        <v/>
      </c>
      <c r="Y345">
        <f>HYPERLINK("https://klasma.github.io/Logging_MARK/tillsynsmail/A 28412-2020.docx")</f>
        <v/>
      </c>
    </row>
    <row r="346" ht="15" customHeight="1">
      <c r="A346" t="inlineStr">
        <is>
          <t>A 28666-2020</t>
        </is>
      </c>
      <c r="B346" s="1" t="n">
        <v>43999</v>
      </c>
      <c r="C346" s="1" t="n">
        <v>45182</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c r="T346">
        <f>HYPERLINK("https://klasma.github.io/Logging_VANERSBORG/kartor/A 28666-2020.png")</f>
        <v/>
      </c>
      <c r="V346">
        <f>HYPERLINK("https://klasma.github.io/Logging_VANERSBORG/klagomål/A 28666-2020.docx")</f>
        <v/>
      </c>
      <c r="W346">
        <f>HYPERLINK("https://klasma.github.io/Logging_VANERSBORG/klagomålsmail/A 28666-2020.docx")</f>
        <v/>
      </c>
      <c r="X346">
        <f>HYPERLINK("https://klasma.github.io/Logging_VANERSBORG/tillsyn/A 28666-2020.docx")</f>
        <v/>
      </c>
      <c r="Y346">
        <f>HYPERLINK("https://klasma.github.io/Logging_VANERSBORG/tillsynsmail/A 28666-2020.docx")</f>
        <v/>
      </c>
    </row>
    <row r="347" ht="15" customHeight="1">
      <c r="A347" t="inlineStr">
        <is>
          <t>A 30048-2020</t>
        </is>
      </c>
      <c r="B347" s="1" t="n">
        <v>44006</v>
      </c>
      <c r="C347" s="1" t="n">
        <v>45182</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c r="T347">
        <f>HYPERLINK("https://klasma.github.io/Logging_STROMSTAD/kartor/A 30048-2020.png")</f>
        <v/>
      </c>
      <c r="V347">
        <f>HYPERLINK("https://klasma.github.io/Logging_STROMSTAD/klagomål/A 30048-2020.docx")</f>
        <v/>
      </c>
      <c r="W347">
        <f>HYPERLINK("https://klasma.github.io/Logging_STROMSTAD/klagomålsmail/A 30048-2020.docx")</f>
        <v/>
      </c>
      <c r="X347">
        <f>HYPERLINK("https://klasma.github.io/Logging_STROMSTAD/tillsyn/A 30048-2020.docx")</f>
        <v/>
      </c>
      <c r="Y347">
        <f>HYPERLINK("https://klasma.github.io/Logging_STROMSTAD/tillsynsmail/A 30048-2020.docx")</f>
        <v/>
      </c>
    </row>
    <row r="348" ht="15" customHeight="1">
      <c r="A348" t="inlineStr">
        <is>
          <t>A 33035-2020</t>
        </is>
      </c>
      <c r="B348" s="1" t="n">
        <v>44019</v>
      </c>
      <c r="C348" s="1" t="n">
        <v>45182</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c r="T348">
        <f>HYPERLINK("https://klasma.github.io/Logging_MARK/kartor/A 33035-2020.png")</f>
        <v/>
      </c>
      <c r="U348">
        <f>HYPERLINK("https://klasma.github.io/Logging_MARK/knärot/A 33035-2020.png")</f>
        <v/>
      </c>
      <c r="V348">
        <f>HYPERLINK("https://klasma.github.io/Logging_MARK/klagomål/A 33035-2020.docx")</f>
        <v/>
      </c>
      <c r="W348">
        <f>HYPERLINK("https://klasma.github.io/Logging_MARK/klagomålsmail/A 33035-2020.docx")</f>
        <v/>
      </c>
      <c r="X348">
        <f>HYPERLINK("https://klasma.github.io/Logging_MARK/tillsyn/A 33035-2020.docx")</f>
        <v/>
      </c>
      <c r="Y348">
        <f>HYPERLINK("https://klasma.github.io/Logging_MARK/tillsynsmail/A 33035-2020.docx")</f>
        <v/>
      </c>
    </row>
    <row r="349" ht="15" customHeight="1">
      <c r="A349" t="inlineStr">
        <is>
          <t>A 33057-2020</t>
        </is>
      </c>
      <c r="B349" s="1" t="n">
        <v>44020</v>
      </c>
      <c r="C349" s="1" t="n">
        <v>45182</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c r="T349">
        <f>HYPERLINK("https://klasma.github.io/Logging_TIDAHOLM/kartor/A 33057-2020.png")</f>
        <v/>
      </c>
      <c r="V349">
        <f>HYPERLINK("https://klasma.github.io/Logging_TIDAHOLM/klagomål/A 33057-2020.docx")</f>
        <v/>
      </c>
      <c r="W349">
        <f>HYPERLINK("https://klasma.github.io/Logging_TIDAHOLM/klagomålsmail/A 33057-2020.docx")</f>
        <v/>
      </c>
      <c r="X349">
        <f>HYPERLINK("https://klasma.github.io/Logging_TIDAHOLM/tillsyn/A 33057-2020.docx")</f>
        <v/>
      </c>
      <c r="Y349">
        <f>HYPERLINK("https://klasma.github.io/Logging_TIDAHOLM/tillsynsmail/A 33057-2020.docx")</f>
        <v/>
      </c>
    </row>
    <row r="350" ht="15" customHeight="1">
      <c r="A350" t="inlineStr">
        <is>
          <t>A 37216-2020</t>
        </is>
      </c>
      <c r="B350" s="1" t="n">
        <v>44054</v>
      </c>
      <c r="C350" s="1" t="n">
        <v>45182</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c r="T350">
        <f>HYPERLINK("https://klasma.github.io/Logging_SKOVDE/kartor/A 37216-2020.png")</f>
        <v/>
      </c>
      <c r="V350">
        <f>HYPERLINK("https://klasma.github.io/Logging_SKOVDE/klagomål/A 37216-2020.docx")</f>
        <v/>
      </c>
      <c r="W350">
        <f>HYPERLINK("https://klasma.github.io/Logging_SKOVDE/klagomålsmail/A 37216-2020.docx")</f>
        <v/>
      </c>
      <c r="X350">
        <f>HYPERLINK("https://klasma.github.io/Logging_SKOVDE/tillsyn/A 37216-2020.docx")</f>
        <v/>
      </c>
      <c r="Y350">
        <f>HYPERLINK("https://klasma.github.io/Logging_SKOVDE/tillsynsmail/A 37216-2020.docx")</f>
        <v/>
      </c>
    </row>
    <row r="351" ht="15" customHeight="1">
      <c r="A351" t="inlineStr">
        <is>
          <t>A 37323-2020</t>
        </is>
      </c>
      <c r="B351" s="1" t="n">
        <v>44055</v>
      </c>
      <c r="C351" s="1" t="n">
        <v>45182</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c r="T351">
        <f>HYPERLINK("https://klasma.github.io/Logging_MARIESTAD/kartor/A 37323-2020.png")</f>
        <v/>
      </c>
      <c r="V351">
        <f>HYPERLINK("https://klasma.github.io/Logging_MARIESTAD/klagomål/A 37323-2020.docx")</f>
        <v/>
      </c>
      <c r="W351">
        <f>HYPERLINK("https://klasma.github.io/Logging_MARIESTAD/klagomålsmail/A 37323-2020.docx")</f>
        <v/>
      </c>
      <c r="X351">
        <f>HYPERLINK("https://klasma.github.io/Logging_MARIESTAD/tillsyn/A 37323-2020.docx")</f>
        <v/>
      </c>
      <c r="Y351">
        <f>HYPERLINK("https://klasma.github.io/Logging_MARIESTAD/tillsynsmail/A 37323-2020.docx")</f>
        <v/>
      </c>
    </row>
    <row r="352" ht="15" customHeight="1">
      <c r="A352" t="inlineStr">
        <is>
          <t>A 38818-2020</t>
        </is>
      </c>
      <c r="B352" s="1" t="n">
        <v>44061</v>
      </c>
      <c r="C352" s="1" t="n">
        <v>45182</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c r="T352">
        <f>HYPERLINK("https://klasma.github.io/Logging_MELLERUD/kartor/A 38818-2020.png")</f>
        <v/>
      </c>
      <c r="V352">
        <f>HYPERLINK("https://klasma.github.io/Logging_MELLERUD/klagomål/A 38818-2020.docx")</f>
        <v/>
      </c>
      <c r="W352">
        <f>HYPERLINK("https://klasma.github.io/Logging_MELLERUD/klagomålsmail/A 38818-2020.docx")</f>
        <v/>
      </c>
      <c r="X352">
        <f>HYPERLINK("https://klasma.github.io/Logging_MELLERUD/tillsyn/A 38818-2020.docx")</f>
        <v/>
      </c>
      <c r="Y352">
        <f>HYPERLINK("https://klasma.github.io/Logging_MELLERUD/tillsynsmail/A 38818-2020.docx")</f>
        <v/>
      </c>
    </row>
    <row r="353" ht="15" customHeight="1">
      <c r="A353" t="inlineStr">
        <is>
          <t>A 40799-2020</t>
        </is>
      </c>
      <c r="B353" s="1" t="n">
        <v>44070</v>
      </c>
      <c r="C353" s="1" t="n">
        <v>45182</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c r="T353">
        <f>HYPERLINK("https://klasma.github.io/Logging_LERUM/kartor/A 40799-2020.png")</f>
        <v/>
      </c>
      <c r="U353">
        <f>HYPERLINK("https://klasma.github.io/Logging_LERUM/knärot/A 40799-2020.png")</f>
        <v/>
      </c>
      <c r="V353">
        <f>HYPERLINK("https://klasma.github.io/Logging_LERUM/klagomål/A 40799-2020.docx")</f>
        <v/>
      </c>
      <c r="W353">
        <f>HYPERLINK("https://klasma.github.io/Logging_LERUM/klagomålsmail/A 40799-2020.docx")</f>
        <v/>
      </c>
      <c r="X353">
        <f>HYPERLINK("https://klasma.github.io/Logging_LERUM/tillsyn/A 40799-2020.docx")</f>
        <v/>
      </c>
      <c r="Y353">
        <f>HYPERLINK("https://klasma.github.io/Logging_LERUM/tillsynsmail/A 40799-2020.docx")</f>
        <v/>
      </c>
    </row>
    <row r="354" ht="15" customHeight="1">
      <c r="A354" t="inlineStr">
        <is>
          <t>A 41328-2020</t>
        </is>
      </c>
      <c r="B354" s="1" t="n">
        <v>44071</v>
      </c>
      <c r="C354" s="1" t="n">
        <v>45182</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c r="T354">
        <f>HYPERLINK("https://klasma.github.io/Logging_BENGTSFORS/kartor/A 41328-2020.png")</f>
        <v/>
      </c>
      <c r="V354">
        <f>HYPERLINK("https://klasma.github.io/Logging_BENGTSFORS/klagomål/A 41328-2020.docx")</f>
        <v/>
      </c>
      <c r="W354">
        <f>HYPERLINK("https://klasma.github.io/Logging_BENGTSFORS/klagomålsmail/A 41328-2020.docx")</f>
        <v/>
      </c>
      <c r="X354">
        <f>HYPERLINK("https://klasma.github.io/Logging_BENGTSFORS/tillsyn/A 41328-2020.docx")</f>
        <v/>
      </c>
      <c r="Y354">
        <f>HYPERLINK("https://klasma.github.io/Logging_BENGTSFORS/tillsynsmail/A 41328-2020.docx")</f>
        <v/>
      </c>
    </row>
    <row r="355" ht="15" customHeight="1">
      <c r="A355" t="inlineStr">
        <is>
          <t>A 41211-2020</t>
        </is>
      </c>
      <c r="B355" s="1" t="n">
        <v>44071</v>
      </c>
      <c r="C355" s="1" t="n">
        <v>45182</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c r="T355">
        <f>HYPERLINK("https://klasma.github.io/Logging_STROMSTAD/kartor/A 41211-2020.png")</f>
        <v/>
      </c>
      <c r="V355">
        <f>HYPERLINK("https://klasma.github.io/Logging_STROMSTAD/klagomål/A 41211-2020.docx")</f>
        <v/>
      </c>
      <c r="W355">
        <f>HYPERLINK("https://klasma.github.io/Logging_STROMSTAD/klagomålsmail/A 41211-2020.docx")</f>
        <v/>
      </c>
      <c r="X355">
        <f>HYPERLINK("https://klasma.github.io/Logging_STROMSTAD/tillsyn/A 41211-2020.docx")</f>
        <v/>
      </c>
      <c r="Y355">
        <f>HYPERLINK("https://klasma.github.io/Logging_STROMSTAD/tillsynsmail/A 41211-2020.docx")</f>
        <v/>
      </c>
    </row>
    <row r="356" ht="15" customHeight="1">
      <c r="A356" t="inlineStr">
        <is>
          <t>A 41475-2020</t>
        </is>
      </c>
      <c r="B356" s="1" t="n">
        <v>44074</v>
      </c>
      <c r="C356" s="1" t="n">
        <v>45182</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c r="T356">
        <f>HYPERLINK("https://klasma.github.io/Logging_MELLERUD/kartor/A 41475-2020.png")</f>
        <v/>
      </c>
      <c r="V356">
        <f>HYPERLINK("https://klasma.github.io/Logging_MELLERUD/klagomål/A 41475-2020.docx")</f>
        <v/>
      </c>
      <c r="W356">
        <f>HYPERLINK("https://klasma.github.io/Logging_MELLERUD/klagomålsmail/A 41475-2020.docx")</f>
        <v/>
      </c>
      <c r="X356">
        <f>HYPERLINK("https://klasma.github.io/Logging_MELLERUD/tillsyn/A 41475-2020.docx")</f>
        <v/>
      </c>
      <c r="Y356">
        <f>HYPERLINK("https://klasma.github.io/Logging_MELLERUD/tillsynsmail/A 41475-2020.docx")</f>
        <v/>
      </c>
    </row>
    <row r="357" ht="15" customHeight="1">
      <c r="A357" t="inlineStr">
        <is>
          <t>A 46628-2020</t>
        </is>
      </c>
      <c r="B357" s="1" t="n">
        <v>44089</v>
      </c>
      <c r="C357" s="1" t="n">
        <v>45182</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c r="T357">
        <f>HYPERLINK("https://klasma.github.io/Logging_TIDAHOLM/kartor/A 46628-2020.png")</f>
        <v/>
      </c>
      <c r="V357">
        <f>HYPERLINK("https://klasma.github.io/Logging_TIDAHOLM/klagomål/A 46628-2020.docx")</f>
        <v/>
      </c>
      <c r="W357">
        <f>HYPERLINK("https://klasma.github.io/Logging_TIDAHOLM/klagomålsmail/A 46628-2020.docx")</f>
        <v/>
      </c>
      <c r="X357">
        <f>HYPERLINK("https://klasma.github.io/Logging_TIDAHOLM/tillsyn/A 46628-2020.docx")</f>
        <v/>
      </c>
      <c r="Y357">
        <f>HYPERLINK("https://klasma.github.io/Logging_TIDAHOLM/tillsynsmail/A 46628-2020.docx")</f>
        <v/>
      </c>
    </row>
    <row r="358" ht="15" customHeight="1">
      <c r="A358" t="inlineStr">
        <is>
          <t>A 50811-2020</t>
        </is>
      </c>
      <c r="B358" s="1" t="n">
        <v>44111</v>
      </c>
      <c r="C358" s="1" t="n">
        <v>45182</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c r="T358">
        <f>HYPERLINK("https://klasma.github.io/Logging_MARIESTAD/kartor/A 50811-2020.png")</f>
        <v/>
      </c>
      <c r="V358">
        <f>HYPERLINK("https://klasma.github.io/Logging_MARIESTAD/klagomål/A 50811-2020.docx")</f>
        <v/>
      </c>
      <c r="W358">
        <f>HYPERLINK("https://klasma.github.io/Logging_MARIESTAD/klagomålsmail/A 50811-2020.docx")</f>
        <v/>
      </c>
      <c r="X358">
        <f>HYPERLINK("https://klasma.github.io/Logging_MARIESTAD/tillsyn/A 50811-2020.docx")</f>
        <v/>
      </c>
      <c r="Y358">
        <f>HYPERLINK("https://klasma.github.io/Logging_MARIESTAD/tillsynsmail/A 50811-2020.docx")</f>
        <v/>
      </c>
    </row>
    <row r="359" ht="15" customHeight="1">
      <c r="A359" t="inlineStr">
        <is>
          <t>A 51309-2020</t>
        </is>
      </c>
      <c r="B359" s="1" t="n">
        <v>44112</v>
      </c>
      <c r="C359" s="1" t="n">
        <v>45182</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c r="T359">
        <f>HYPERLINK("https://klasma.github.io/Logging_GULLSPANG/kartor/A 51309-2020.png")</f>
        <v/>
      </c>
      <c r="V359">
        <f>HYPERLINK("https://klasma.github.io/Logging_GULLSPANG/klagomål/A 51309-2020.docx")</f>
        <v/>
      </c>
      <c r="W359">
        <f>HYPERLINK("https://klasma.github.io/Logging_GULLSPANG/klagomålsmail/A 51309-2020.docx")</f>
        <v/>
      </c>
      <c r="X359">
        <f>HYPERLINK("https://klasma.github.io/Logging_GULLSPANG/tillsyn/A 51309-2020.docx")</f>
        <v/>
      </c>
      <c r="Y359">
        <f>HYPERLINK("https://klasma.github.io/Logging_GULLSPANG/tillsynsmail/A 51309-2020.docx")</f>
        <v/>
      </c>
    </row>
    <row r="360" ht="15" customHeight="1">
      <c r="A360" t="inlineStr">
        <is>
          <t>A 51541-2020</t>
        </is>
      </c>
      <c r="B360" s="1" t="n">
        <v>44113</v>
      </c>
      <c r="C360" s="1" t="n">
        <v>45182</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c r="T360">
        <f>HYPERLINK("https://klasma.github.io/Logging_BOLLEBYGD/kartor/A 51541-2020.png")</f>
        <v/>
      </c>
      <c r="V360">
        <f>HYPERLINK("https://klasma.github.io/Logging_BOLLEBYGD/klagomål/A 51541-2020.docx")</f>
        <v/>
      </c>
      <c r="W360">
        <f>HYPERLINK("https://klasma.github.io/Logging_BOLLEBYGD/klagomålsmail/A 51541-2020.docx")</f>
        <v/>
      </c>
      <c r="X360">
        <f>HYPERLINK("https://klasma.github.io/Logging_BOLLEBYGD/tillsyn/A 51541-2020.docx")</f>
        <v/>
      </c>
      <c r="Y360">
        <f>HYPERLINK("https://klasma.github.io/Logging_BOLLEBYGD/tillsynsmail/A 51541-2020.docx")</f>
        <v/>
      </c>
    </row>
    <row r="361" ht="15" customHeight="1">
      <c r="A361" t="inlineStr">
        <is>
          <t>A 53041-2020</t>
        </is>
      </c>
      <c r="B361" s="1" t="n">
        <v>44120</v>
      </c>
      <c r="C361" s="1" t="n">
        <v>45182</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c r="T361">
        <f>HYPERLINK("https://klasma.github.io/Logging_ULRICEHAMN/kartor/A 53041-2020.png")</f>
        <v/>
      </c>
      <c r="V361">
        <f>HYPERLINK("https://klasma.github.io/Logging_ULRICEHAMN/klagomål/A 53041-2020.docx")</f>
        <v/>
      </c>
      <c r="W361">
        <f>HYPERLINK("https://klasma.github.io/Logging_ULRICEHAMN/klagomålsmail/A 53041-2020.docx")</f>
        <v/>
      </c>
      <c r="X361">
        <f>HYPERLINK("https://klasma.github.io/Logging_ULRICEHAMN/tillsyn/A 53041-2020.docx")</f>
        <v/>
      </c>
      <c r="Y361">
        <f>HYPERLINK("https://klasma.github.io/Logging_ULRICEHAMN/tillsynsmail/A 53041-2020.docx")</f>
        <v/>
      </c>
    </row>
    <row r="362" ht="15" customHeight="1">
      <c r="A362" t="inlineStr">
        <is>
          <t>A 54232-2020</t>
        </is>
      </c>
      <c r="B362" s="1" t="n">
        <v>44126</v>
      </c>
      <c r="C362" s="1" t="n">
        <v>45182</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c r="T362">
        <f>HYPERLINK("https://klasma.github.io/Logging_MARK/kartor/A 54232-2020.png")</f>
        <v/>
      </c>
      <c r="V362">
        <f>HYPERLINK("https://klasma.github.io/Logging_MARK/klagomål/A 54232-2020.docx")</f>
        <v/>
      </c>
      <c r="W362">
        <f>HYPERLINK("https://klasma.github.io/Logging_MARK/klagomålsmail/A 54232-2020.docx")</f>
        <v/>
      </c>
      <c r="X362">
        <f>HYPERLINK("https://klasma.github.io/Logging_MARK/tillsyn/A 54232-2020.docx")</f>
        <v/>
      </c>
      <c r="Y362">
        <f>HYPERLINK("https://klasma.github.io/Logging_MARK/tillsynsmail/A 54232-2020.docx")</f>
        <v/>
      </c>
    </row>
    <row r="363" ht="15" customHeight="1">
      <c r="A363" t="inlineStr">
        <is>
          <t>A 55551-2020</t>
        </is>
      </c>
      <c r="B363" s="1" t="n">
        <v>44131</v>
      </c>
      <c r="C363" s="1" t="n">
        <v>45182</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c r="T363">
        <f>HYPERLINK("https://klasma.github.io/Logging_TANUM/kartor/A 55551-2020.png")</f>
        <v/>
      </c>
      <c r="U363">
        <f>HYPERLINK("https://klasma.github.io/Logging_TANUM/knärot/A 55551-2020.png")</f>
        <v/>
      </c>
      <c r="V363">
        <f>HYPERLINK("https://klasma.github.io/Logging_TANUM/klagomål/A 55551-2020.docx")</f>
        <v/>
      </c>
      <c r="W363">
        <f>HYPERLINK("https://klasma.github.io/Logging_TANUM/klagomålsmail/A 55551-2020.docx")</f>
        <v/>
      </c>
      <c r="X363">
        <f>HYPERLINK("https://klasma.github.io/Logging_TANUM/tillsyn/A 55551-2020.docx")</f>
        <v/>
      </c>
      <c r="Y363">
        <f>HYPERLINK("https://klasma.github.io/Logging_TANUM/tillsynsmail/A 55551-2020.docx")</f>
        <v/>
      </c>
    </row>
    <row r="364" ht="15" customHeight="1">
      <c r="A364" t="inlineStr">
        <is>
          <t>A 56400-2020</t>
        </is>
      </c>
      <c r="B364" s="1" t="n">
        <v>44137</v>
      </c>
      <c r="C364" s="1" t="n">
        <v>45182</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c r="T364">
        <f>HYPERLINK("https://klasma.github.io/Logging_MARIESTAD/kartor/A 56400-2020.png")</f>
        <v/>
      </c>
      <c r="V364">
        <f>HYPERLINK("https://klasma.github.io/Logging_MARIESTAD/klagomål/A 56400-2020.docx")</f>
        <v/>
      </c>
      <c r="W364">
        <f>HYPERLINK("https://klasma.github.io/Logging_MARIESTAD/klagomålsmail/A 56400-2020.docx")</f>
        <v/>
      </c>
      <c r="X364">
        <f>HYPERLINK("https://klasma.github.io/Logging_MARIESTAD/tillsyn/A 56400-2020.docx")</f>
        <v/>
      </c>
      <c r="Y364">
        <f>HYPERLINK("https://klasma.github.io/Logging_MARIESTAD/tillsynsmail/A 56400-2020.docx")</f>
        <v/>
      </c>
    </row>
    <row r="365" ht="15" customHeight="1">
      <c r="A365" t="inlineStr">
        <is>
          <t>A 57206-2020</t>
        </is>
      </c>
      <c r="B365" s="1" t="n">
        <v>44139</v>
      </c>
      <c r="C365" s="1" t="n">
        <v>45182</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c r="T365">
        <f>HYPERLINK("https://klasma.github.io/Logging_SKARA/kartor/A 57206-2020.png")</f>
        <v/>
      </c>
      <c r="V365">
        <f>HYPERLINK("https://klasma.github.io/Logging_SKARA/klagomål/A 57206-2020.docx")</f>
        <v/>
      </c>
      <c r="W365">
        <f>HYPERLINK("https://klasma.github.io/Logging_SKARA/klagomålsmail/A 57206-2020.docx")</f>
        <v/>
      </c>
      <c r="X365">
        <f>HYPERLINK("https://klasma.github.io/Logging_SKARA/tillsyn/A 57206-2020.docx")</f>
        <v/>
      </c>
      <c r="Y365">
        <f>HYPERLINK("https://klasma.github.io/Logging_SKARA/tillsynsmail/A 57206-2020.docx")</f>
        <v/>
      </c>
    </row>
    <row r="366" ht="15" customHeight="1">
      <c r="A366" t="inlineStr">
        <is>
          <t>A 59982-2020</t>
        </is>
      </c>
      <c r="B366" s="1" t="n">
        <v>44151</v>
      </c>
      <c r="C366" s="1" t="n">
        <v>45182</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c r="T366">
        <f>HYPERLINK("https://klasma.github.io/Logging_STROMSTAD/kartor/A 59982-2020.png")</f>
        <v/>
      </c>
      <c r="V366">
        <f>HYPERLINK("https://klasma.github.io/Logging_STROMSTAD/klagomål/A 59982-2020.docx")</f>
        <v/>
      </c>
      <c r="W366">
        <f>HYPERLINK("https://klasma.github.io/Logging_STROMSTAD/klagomålsmail/A 59982-2020.docx")</f>
        <v/>
      </c>
      <c r="X366">
        <f>HYPERLINK("https://klasma.github.io/Logging_STROMSTAD/tillsyn/A 59982-2020.docx")</f>
        <v/>
      </c>
      <c r="Y366">
        <f>HYPERLINK("https://klasma.github.io/Logging_STROMSTAD/tillsynsmail/A 59982-2020.docx")</f>
        <v/>
      </c>
    </row>
    <row r="367" ht="15" customHeight="1">
      <c r="A367" t="inlineStr">
        <is>
          <t>A 60640-2020</t>
        </is>
      </c>
      <c r="B367" s="1" t="n">
        <v>44153</v>
      </c>
      <c r="C367" s="1" t="n">
        <v>45182</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c r="T367">
        <f>HYPERLINK("https://klasma.github.io/Logging_TANUM/kartor/A 60640-2020.png")</f>
        <v/>
      </c>
      <c r="V367">
        <f>HYPERLINK("https://klasma.github.io/Logging_TANUM/klagomål/A 60640-2020.docx")</f>
        <v/>
      </c>
      <c r="W367">
        <f>HYPERLINK("https://klasma.github.io/Logging_TANUM/klagomålsmail/A 60640-2020.docx")</f>
        <v/>
      </c>
      <c r="X367">
        <f>HYPERLINK("https://klasma.github.io/Logging_TANUM/tillsyn/A 60640-2020.docx")</f>
        <v/>
      </c>
      <c r="Y367">
        <f>HYPERLINK("https://klasma.github.io/Logging_TANUM/tillsynsmail/A 60640-2020.docx")</f>
        <v/>
      </c>
    </row>
    <row r="368" ht="15" customHeight="1">
      <c r="A368" t="inlineStr">
        <is>
          <t>A 64046-2020</t>
        </is>
      </c>
      <c r="B368" s="1" t="n">
        <v>44167</v>
      </c>
      <c r="C368" s="1" t="n">
        <v>45182</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c r="T368">
        <f>HYPERLINK("https://klasma.github.io/Logging_MARIESTAD/kartor/A 64046-2020.png")</f>
        <v/>
      </c>
      <c r="V368">
        <f>HYPERLINK("https://klasma.github.io/Logging_MARIESTAD/klagomål/A 64046-2020.docx")</f>
        <v/>
      </c>
      <c r="W368">
        <f>HYPERLINK("https://klasma.github.io/Logging_MARIESTAD/klagomålsmail/A 64046-2020.docx")</f>
        <v/>
      </c>
      <c r="X368">
        <f>HYPERLINK("https://klasma.github.io/Logging_MARIESTAD/tillsyn/A 64046-2020.docx")</f>
        <v/>
      </c>
      <c r="Y368">
        <f>HYPERLINK("https://klasma.github.io/Logging_MARIESTAD/tillsynsmail/A 64046-2020.docx")</f>
        <v/>
      </c>
    </row>
    <row r="369" ht="15" customHeight="1">
      <c r="A369" t="inlineStr">
        <is>
          <t>A 64414-2020</t>
        </is>
      </c>
      <c r="B369" s="1" t="n">
        <v>44168</v>
      </c>
      <c r="C369" s="1" t="n">
        <v>45182</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c r="T369">
        <f>HYPERLINK("https://klasma.github.io/Logging_BORAS/kartor/A 64414-2020.png")</f>
        <v/>
      </c>
      <c r="V369">
        <f>HYPERLINK("https://klasma.github.io/Logging_BORAS/klagomål/A 64414-2020.docx")</f>
        <v/>
      </c>
      <c r="W369">
        <f>HYPERLINK("https://klasma.github.io/Logging_BORAS/klagomålsmail/A 64414-2020.docx")</f>
        <v/>
      </c>
      <c r="X369">
        <f>HYPERLINK("https://klasma.github.io/Logging_BORAS/tillsyn/A 64414-2020.docx")</f>
        <v/>
      </c>
      <c r="Y369">
        <f>HYPERLINK("https://klasma.github.io/Logging_BORAS/tillsynsmail/A 64414-2020.docx")</f>
        <v/>
      </c>
    </row>
    <row r="370" ht="15" customHeight="1">
      <c r="A370" t="inlineStr">
        <is>
          <t>A 64734-2020</t>
        </is>
      </c>
      <c r="B370" s="1" t="n">
        <v>44169</v>
      </c>
      <c r="C370" s="1" t="n">
        <v>45182</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c r="T370">
        <f>HYPERLINK("https://klasma.github.io/Logging_HARRYDA/kartor/A 64734-2020.png")</f>
        <v/>
      </c>
      <c r="V370">
        <f>HYPERLINK("https://klasma.github.io/Logging_HARRYDA/klagomål/A 64734-2020.docx")</f>
        <v/>
      </c>
      <c r="W370">
        <f>HYPERLINK("https://klasma.github.io/Logging_HARRYDA/klagomålsmail/A 64734-2020.docx")</f>
        <v/>
      </c>
      <c r="X370">
        <f>HYPERLINK("https://klasma.github.io/Logging_HARRYDA/tillsyn/A 64734-2020.docx")</f>
        <v/>
      </c>
      <c r="Y370">
        <f>HYPERLINK("https://klasma.github.io/Logging_HARRYDA/tillsynsmail/A 64734-2020.docx")</f>
        <v/>
      </c>
    </row>
    <row r="371" ht="15" customHeight="1">
      <c r="A371" t="inlineStr">
        <is>
          <t>A 65769-2020</t>
        </is>
      </c>
      <c r="B371" s="1" t="n">
        <v>44172</v>
      </c>
      <c r="C371" s="1" t="n">
        <v>45182</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c r="T371">
        <f>HYPERLINK("https://klasma.github.io/Logging_MELLERUD/kartor/A 65769-2020.png")</f>
        <v/>
      </c>
      <c r="V371">
        <f>HYPERLINK("https://klasma.github.io/Logging_MELLERUD/klagomål/A 65769-2020.docx")</f>
        <v/>
      </c>
      <c r="W371">
        <f>HYPERLINK("https://klasma.github.io/Logging_MELLERUD/klagomålsmail/A 65769-2020.docx")</f>
        <v/>
      </c>
      <c r="X371">
        <f>HYPERLINK("https://klasma.github.io/Logging_MELLERUD/tillsyn/A 65769-2020.docx")</f>
        <v/>
      </c>
      <c r="Y371">
        <f>HYPERLINK("https://klasma.github.io/Logging_MELLERUD/tillsynsmail/A 65769-2020.docx")</f>
        <v/>
      </c>
    </row>
    <row r="372" ht="15" customHeight="1">
      <c r="A372" t="inlineStr">
        <is>
          <t>A 65581-2020</t>
        </is>
      </c>
      <c r="B372" s="1" t="n">
        <v>44173</v>
      </c>
      <c r="C372" s="1" t="n">
        <v>45182</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c r="T372">
        <f>HYPERLINK("https://klasma.github.io/Logging_BOLLEBYGD/kartor/A 65581-2020.png")</f>
        <v/>
      </c>
      <c r="U372">
        <f>HYPERLINK("https://klasma.github.io/Logging_BOLLEBYGD/knärot/A 65581-2020.png")</f>
        <v/>
      </c>
      <c r="V372">
        <f>HYPERLINK("https://klasma.github.io/Logging_BOLLEBYGD/klagomål/A 65581-2020.docx")</f>
        <v/>
      </c>
      <c r="W372">
        <f>HYPERLINK("https://klasma.github.io/Logging_BOLLEBYGD/klagomålsmail/A 65581-2020.docx")</f>
        <v/>
      </c>
      <c r="X372">
        <f>HYPERLINK("https://klasma.github.io/Logging_BOLLEBYGD/tillsyn/A 65581-2020.docx")</f>
        <v/>
      </c>
      <c r="Y372">
        <f>HYPERLINK("https://klasma.github.io/Logging_BOLLEBYGD/tillsynsmail/A 65581-2020.docx")</f>
        <v/>
      </c>
    </row>
    <row r="373" ht="15" customHeight="1">
      <c r="A373" t="inlineStr">
        <is>
          <t>A 66393-2020</t>
        </is>
      </c>
      <c r="B373" s="1" t="n">
        <v>44176</v>
      </c>
      <c r="C373" s="1" t="n">
        <v>45182</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c r="T373">
        <f>HYPERLINK("https://klasma.github.io/Logging_STROMSTAD/kartor/A 66393-2020.png")</f>
        <v/>
      </c>
      <c r="V373">
        <f>HYPERLINK("https://klasma.github.io/Logging_STROMSTAD/klagomål/A 66393-2020.docx")</f>
        <v/>
      </c>
      <c r="W373">
        <f>HYPERLINK("https://klasma.github.io/Logging_STROMSTAD/klagomålsmail/A 66393-2020.docx")</f>
        <v/>
      </c>
      <c r="X373">
        <f>HYPERLINK("https://klasma.github.io/Logging_STROMSTAD/tillsyn/A 66393-2020.docx")</f>
        <v/>
      </c>
      <c r="Y373">
        <f>HYPERLINK("https://klasma.github.io/Logging_STROMSTAD/tillsynsmail/A 66393-2020.docx")</f>
        <v/>
      </c>
    </row>
    <row r="374" ht="15" customHeight="1">
      <c r="A374" t="inlineStr">
        <is>
          <t>A 67174-2020</t>
        </is>
      </c>
      <c r="B374" s="1" t="n">
        <v>44180</v>
      </c>
      <c r="C374" s="1" t="n">
        <v>45182</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c r="T374">
        <f>HYPERLINK("https://klasma.github.io/Logging_DALS-ED/kartor/A 67174-2020.png")</f>
        <v/>
      </c>
      <c r="V374">
        <f>HYPERLINK("https://klasma.github.io/Logging_DALS-ED/klagomål/A 67174-2020.docx")</f>
        <v/>
      </c>
      <c r="W374">
        <f>HYPERLINK("https://klasma.github.io/Logging_DALS-ED/klagomålsmail/A 67174-2020.docx")</f>
        <v/>
      </c>
      <c r="X374">
        <f>HYPERLINK("https://klasma.github.io/Logging_DALS-ED/tillsyn/A 67174-2020.docx")</f>
        <v/>
      </c>
      <c r="Y374">
        <f>HYPERLINK("https://klasma.github.io/Logging_DALS-ED/tillsynsmail/A 67174-2020.docx")</f>
        <v/>
      </c>
    </row>
    <row r="375" ht="15" customHeight="1">
      <c r="A375" t="inlineStr">
        <is>
          <t>A 901-2021</t>
        </is>
      </c>
      <c r="B375" s="1" t="n">
        <v>44206</v>
      </c>
      <c r="C375" s="1" t="n">
        <v>45182</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c r="T375">
        <f>HYPERLINK("https://klasma.github.io/Logging_AMAL/kartor/A 901-2021.png")</f>
        <v/>
      </c>
      <c r="V375">
        <f>HYPERLINK("https://klasma.github.io/Logging_AMAL/klagomål/A 901-2021.docx")</f>
        <v/>
      </c>
      <c r="W375">
        <f>HYPERLINK("https://klasma.github.io/Logging_AMAL/klagomålsmail/A 901-2021.docx")</f>
        <v/>
      </c>
      <c r="X375">
        <f>HYPERLINK("https://klasma.github.io/Logging_AMAL/tillsyn/A 901-2021.docx")</f>
        <v/>
      </c>
      <c r="Y375">
        <f>HYPERLINK("https://klasma.github.io/Logging_AMAL/tillsynsmail/A 901-2021.docx")</f>
        <v/>
      </c>
    </row>
    <row r="376" ht="15" customHeight="1">
      <c r="A376" t="inlineStr">
        <is>
          <t>A 1255-2021</t>
        </is>
      </c>
      <c r="B376" s="1" t="n">
        <v>44207</v>
      </c>
      <c r="C376" s="1" t="n">
        <v>45182</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c r="T376">
        <f>HYPERLINK("https://klasma.github.io/Logging_TANUM/kartor/A 1255-2021.png")</f>
        <v/>
      </c>
      <c r="V376">
        <f>HYPERLINK("https://klasma.github.io/Logging_TANUM/klagomål/A 1255-2021.docx")</f>
        <v/>
      </c>
      <c r="W376">
        <f>HYPERLINK("https://klasma.github.io/Logging_TANUM/klagomålsmail/A 1255-2021.docx")</f>
        <v/>
      </c>
      <c r="X376">
        <f>HYPERLINK("https://klasma.github.io/Logging_TANUM/tillsyn/A 1255-2021.docx")</f>
        <v/>
      </c>
      <c r="Y376">
        <f>HYPERLINK("https://klasma.github.io/Logging_TANUM/tillsynsmail/A 1255-2021.docx")</f>
        <v/>
      </c>
    </row>
    <row r="377" ht="15" customHeight="1">
      <c r="A377" t="inlineStr">
        <is>
          <t>A 2381-2021</t>
        </is>
      </c>
      <c r="B377" s="1" t="n">
        <v>44211</v>
      </c>
      <c r="C377" s="1" t="n">
        <v>45182</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c r="T377">
        <f>HYPERLINK("https://klasma.github.io/Logging_LILLA_EDET/kartor/A 2381-2021.png")</f>
        <v/>
      </c>
      <c r="V377">
        <f>HYPERLINK("https://klasma.github.io/Logging_LILLA_EDET/klagomål/A 2381-2021.docx")</f>
        <v/>
      </c>
      <c r="W377">
        <f>HYPERLINK("https://klasma.github.io/Logging_LILLA_EDET/klagomålsmail/A 2381-2021.docx")</f>
        <v/>
      </c>
      <c r="X377">
        <f>HYPERLINK("https://klasma.github.io/Logging_LILLA_EDET/tillsyn/A 2381-2021.docx")</f>
        <v/>
      </c>
      <c r="Y377">
        <f>HYPERLINK("https://klasma.github.io/Logging_LILLA_EDET/tillsynsmail/A 2381-2021.docx")</f>
        <v/>
      </c>
    </row>
    <row r="378" ht="15" customHeight="1">
      <c r="A378" t="inlineStr">
        <is>
          <t>A 2741-2021</t>
        </is>
      </c>
      <c r="B378" s="1" t="n">
        <v>44215</v>
      </c>
      <c r="C378" s="1" t="n">
        <v>45182</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c r="T378">
        <f>HYPERLINK("https://klasma.github.io/Logging_HJO/kartor/A 2741-2021.png")</f>
        <v/>
      </c>
      <c r="V378">
        <f>HYPERLINK("https://klasma.github.io/Logging_HJO/klagomål/A 2741-2021.docx")</f>
        <v/>
      </c>
      <c r="W378">
        <f>HYPERLINK("https://klasma.github.io/Logging_HJO/klagomålsmail/A 2741-2021.docx")</f>
        <v/>
      </c>
      <c r="X378">
        <f>HYPERLINK("https://klasma.github.io/Logging_HJO/tillsyn/A 2741-2021.docx")</f>
        <v/>
      </c>
      <c r="Y378">
        <f>HYPERLINK("https://klasma.github.io/Logging_HJO/tillsynsmail/A 2741-2021.docx")</f>
        <v/>
      </c>
    </row>
    <row r="379" ht="15" customHeight="1">
      <c r="A379" t="inlineStr">
        <is>
          <t>A 3899-2021</t>
        </is>
      </c>
      <c r="B379" s="1" t="n">
        <v>44217</v>
      </c>
      <c r="C379" s="1" t="n">
        <v>45182</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c r="T379">
        <f>HYPERLINK("https://klasma.github.io/Logging_MUNKEDAL/kartor/A 3899-2021.png")</f>
        <v/>
      </c>
      <c r="V379">
        <f>HYPERLINK("https://klasma.github.io/Logging_MUNKEDAL/klagomål/A 3899-2021.docx")</f>
        <v/>
      </c>
      <c r="W379">
        <f>HYPERLINK("https://klasma.github.io/Logging_MUNKEDAL/klagomålsmail/A 3899-2021.docx")</f>
        <v/>
      </c>
      <c r="X379">
        <f>HYPERLINK("https://klasma.github.io/Logging_MUNKEDAL/tillsyn/A 3899-2021.docx")</f>
        <v/>
      </c>
      <c r="Y379">
        <f>HYPERLINK("https://klasma.github.io/Logging_MUNKEDAL/tillsynsmail/A 3899-2021.docx")</f>
        <v/>
      </c>
    </row>
    <row r="380" ht="15" customHeight="1">
      <c r="A380" t="inlineStr">
        <is>
          <t>A 3798-2021</t>
        </is>
      </c>
      <c r="B380" s="1" t="n">
        <v>44221</v>
      </c>
      <c r="C380" s="1" t="n">
        <v>45182</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c r="T380">
        <f>HYPERLINK("https://klasma.github.io/Logging_VANERSBORG/kartor/A 3798-2021.png")</f>
        <v/>
      </c>
      <c r="V380">
        <f>HYPERLINK("https://klasma.github.io/Logging_VANERSBORG/klagomål/A 3798-2021.docx")</f>
        <v/>
      </c>
      <c r="W380">
        <f>HYPERLINK("https://klasma.github.io/Logging_VANERSBORG/klagomålsmail/A 3798-2021.docx")</f>
        <v/>
      </c>
      <c r="X380">
        <f>HYPERLINK("https://klasma.github.io/Logging_VANERSBORG/tillsyn/A 3798-2021.docx")</f>
        <v/>
      </c>
      <c r="Y380">
        <f>HYPERLINK("https://klasma.github.io/Logging_VANERSBORG/tillsynsmail/A 3798-2021.docx")</f>
        <v/>
      </c>
    </row>
    <row r="381" ht="15" customHeight="1">
      <c r="A381" t="inlineStr">
        <is>
          <t>A 6484-2021</t>
        </is>
      </c>
      <c r="B381" s="1" t="n">
        <v>44235</v>
      </c>
      <c r="C381" s="1" t="n">
        <v>45182</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c r="T381">
        <f>HYPERLINK("https://klasma.github.io/Logging_SKOVDE/kartor/A 6484-2021.png")</f>
        <v/>
      </c>
      <c r="V381">
        <f>HYPERLINK("https://klasma.github.io/Logging_SKOVDE/klagomål/A 6484-2021.docx")</f>
        <v/>
      </c>
      <c r="W381">
        <f>HYPERLINK("https://klasma.github.io/Logging_SKOVDE/klagomålsmail/A 6484-2021.docx")</f>
        <v/>
      </c>
      <c r="X381">
        <f>HYPERLINK("https://klasma.github.io/Logging_SKOVDE/tillsyn/A 6484-2021.docx")</f>
        <v/>
      </c>
      <c r="Y381">
        <f>HYPERLINK("https://klasma.github.io/Logging_SKOVDE/tillsynsmail/A 6484-2021.docx")</f>
        <v/>
      </c>
    </row>
    <row r="382" ht="15" customHeight="1">
      <c r="A382" t="inlineStr">
        <is>
          <t>A 7814-2021</t>
        </is>
      </c>
      <c r="B382" s="1" t="n">
        <v>44242</v>
      </c>
      <c r="C382" s="1" t="n">
        <v>45182</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c r="T382">
        <f>HYPERLINK("https://klasma.github.io/Logging_HARRYDA/kartor/A 7814-2021.png")</f>
        <v/>
      </c>
      <c r="V382">
        <f>HYPERLINK("https://klasma.github.io/Logging_HARRYDA/klagomål/A 7814-2021.docx")</f>
        <v/>
      </c>
      <c r="W382">
        <f>HYPERLINK("https://klasma.github.io/Logging_HARRYDA/klagomålsmail/A 7814-2021.docx")</f>
        <v/>
      </c>
      <c r="X382">
        <f>HYPERLINK("https://klasma.github.io/Logging_HARRYDA/tillsyn/A 7814-2021.docx")</f>
        <v/>
      </c>
      <c r="Y382">
        <f>HYPERLINK("https://klasma.github.io/Logging_HARRYDA/tillsynsmail/A 7814-2021.docx")</f>
        <v/>
      </c>
    </row>
    <row r="383" ht="15" customHeight="1">
      <c r="A383" t="inlineStr">
        <is>
          <t>A 7778-2021</t>
        </is>
      </c>
      <c r="B383" s="1" t="n">
        <v>44242</v>
      </c>
      <c r="C383" s="1" t="n">
        <v>45182</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c r="T383">
        <f>HYPERLINK("https://klasma.github.io/Logging_STROMSTAD/kartor/A 7778-2021.png")</f>
        <v/>
      </c>
      <c r="V383">
        <f>HYPERLINK("https://klasma.github.io/Logging_STROMSTAD/klagomål/A 7778-2021.docx")</f>
        <v/>
      </c>
      <c r="W383">
        <f>HYPERLINK("https://klasma.github.io/Logging_STROMSTAD/klagomålsmail/A 7778-2021.docx")</f>
        <v/>
      </c>
      <c r="X383">
        <f>HYPERLINK("https://klasma.github.io/Logging_STROMSTAD/tillsyn/A 7778-2021.docx")</f>
        <v/>
      </c>
      <c r="Y383">
        <f>HYPERLINK("https://klasma.github.io/Logging_STROMSTAD/tillsynsmail/A 7778-2021.docx")</f>
        <v/>
      </c>
    </row>
    <row r="384" ht="15" customHeight="1">
      <c r="A384" t="inlineStr">
        <is>
          <t>A 8209-2021</t>
        </is>
      </c>
      <c r="B384" s="1" t="n">
        <v>44244</v>
      </c>
      <c r="C384" s="1" t="n">
        <v>45182</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c r="T384">
        <f>HYPERLINK("https://klasma.github.io/Logging_ALINGSAS/kartor/A 8209-2021.png")</f>
        <v/>
      </c>
      <c r="V384">
        <f>HYPERLINK("https://klasma.github.io/Logging_ALINGSAS/klagomål/A 8209-2021.docx")</f>
        <v/>
      </c>
      <c r="W384">
        <f>HYPERLINK("https://klasma.github.io/Logging_ALINGSAS/klagomålsmail/A 8209-2021.docx")</f>
        <v/>
      </c>
      <c r="X384">
        <f>HYPERLINK("https://klasma.github.io/Logging_ALINGSAS/tillsyn/A 8209-2021.docx")</f>
        <v/>
      </c>
      <c r="Y384">
        <f>HYPERLINK("https://klasma.github.io/Logging_ALINGSAS/tillsynsmail/A 8209-2021.docx")</f>
        <v/>
      </c>
    </row>
    <row r="385" ht="15" customHeight="1">
      <c r="A385" t="inlineStr">
        <is>
          <t>A 9043-2021</t>
        </is>
      </c>
      <c r="B385" s="1" t="n">
        <v>44249</v>
      </c>
      <c r="C385" s="1" t="n">
        <v>45182</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c r="T385">
        <f>HYPERLINK("https://klasma.github.io/Logging_BENGTSFORS/kartor/A 9043-2021.png")</f>
        <v/>
      </c>
      <c r="V385">
        <f>HYPERLINK("https://klasma.github.io/Logging_BENGTSFORS/klagomål/A 9043-2021.docx")</f>
        <v/>
      </c>
      <c r="W385">
        <f>HYPERLINK("https://klasma.github.io/Logging_BENGTSFORS/klagomålsmail/A 9043-2021.docx")</f>
        <v/>
      </c>
      <c r="X385">
        <f>HYPERLINK("https://klasma.github.io/Logging_BENGTSFORS/tillsyn/A 9043-2021.docx")</f>
        <v/>
      </c>
      <c r="Y385">
        <f>HYPERLINK("https://klasma.github.io/Logging_BENGTSFORS/tillsynsmail/A 9043-2021.docx")</f>
        <v/>
      </c>
    </row>
    <row r="386" ht="15" customHeight="1">
      <c r="A386" t="inlineStr">
        <is>
          <t>A 9246-2021</t>
        </is>
      </c>
      <c r="B386" s="1" t="n">
        <v>44250</v>
      </c>
      <c r="C386" s="1" t="n">
        <v>45182</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c r="T386">
        <f>HYPERLINK("https://klasma.github.io/Logging_SVENLJUNGA/kartor/A 9246-2021.png")</f>
        <v/>
      </c>
      <c r="V386">
        <f>HYPERLINK("https://klasma.github.io/Logging_SVENLJUNGA/klagomål/A 9246-2021.docx")</f>
        <v/>
      </c>
      <c r="W386">
        <f>HYPERLINK("https://klasma.github.io/Logging_SVENLJUNGA/klagomålsmail/A 9246-2021.docx")</f>
        <v/>
      </c>
      <c r="X386">
        <f>HYPERLINK("https://klasma.github.io/Logging_SVENLJUNGA/tillsyn/A 9246-2021.docx")</f>
        <v/>
      </c>
      <c r="Y386">
        <f>HYPERLINK("https://klasma.github.io/Logging_SVENLJUNGA/tillsynsmail/A 9246-2021.docx")</f>
        <v/>
      </c>
    </row>
    <row r="387" ht="15" customHeight="1">
      <c r="A387" t="inlineStr">
        <is>
          <t>A 9947-2021</t>
        </is>
      </c>
      <c r="B387" s="1" t="n">
        <v>44252</v>
      </c>
      <c r="C387" s="1" t="n">
        <v>45182</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c r="T387">
        <f>HYPERLINK("https://klasma.github.io/Logging_STROMSTAD/kartor/A 9947-2021.png")</f>
        <v/>
      </c>
      <c r="U387">
        <f>HYPERLINK("https://klasma.github.io/Logging_STROMSTAD/knärot/A 9947-2021.png")</f>
        <v/>
      </c>
      <c r="V387">
        <f>HYPERLINK("https://klasma.github.io/Logging_STROMSTAD/klagomål/A 9947-2021.docx")</f>
        <v/>
      </c>
      <c r="W387">
        <f>HYPERLINK("https://klasma.github.io/Logging_STROMSTAD/klagomålsmail/A 9947-2021.docx")</f>
        <v/>
      </c>
      <c r="X387">
        <f>HYPERLINK("https://klasma.github.io/Logging_STROMSTAD/tillsyn/A 9947-2021.docx")</f>
        <v/>
      </c>
      <c r="Y387">
        <f>HYPERLINK("https://klasma.github.io/Logging_STROMSTAD/tillsynsmail/A 9947-2021.docx")</f>
        <v/>
      </c>
    </row>
    <row r="388" ht="15" customHeight="1">
      <c r="A388" t="inlineStr">
        <is>
          <t>A 9865-2021</t>
        </is>
      </c>
      <c r="B388" s="1" t="n">
        <v>44253</v>
      </c>
      <c r="C388" s="1" t="n">
        <v>45182</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c r="T388">
        <f>HYPERLINK("https://klasma.github.io/Logging_LYSEKIL/kartor/A 9865-2021.png")</f>
        <v/>
      </c>
      <c r="V388">
        <f>HYPERLINK("https://klasma.github.io/Logging_LYSEKIL/klagomål/A 9865-2021.docx")</f>
        <v/>
      </c>
      <c r="W388">
        <f>HYPERLINK("https://klasma.github.io/Logging_LYSEKIL/klagomålsmail/A 9865-2021.docx")</f>
        <v/>
      </c>
      <c r="X388">
        <f>HYPERLINK("https://klasma.github.io/Logging_LYSEKIL/tillsyn/A 9865-2021.docx")</f>
        <v/>
      </c>
      <c r="Y388">
        <f>HYPERLINK("https://klasma.github.io/Logging_LYSEKIL/tillsynsmail/A 9865-2021.docx")</f>
        <v/>
      </c>
    </row>
    <row r="389" ht="15" customHeight="1">
      <c r="A389" t="inlineStr">
        <is>
          <t>A 11615-2021</t>
        </is>
      </c>
      <c r="B389" s="1" t="n">
        <v>44264</v>
      </c>
      <c r="C389" s="1" t="n">
        <v>45182</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c r="T389">
        <f>HYPERLINK("https://klasma.github.io/Logging_VANERSBORG/kartor/A 11615-2021.png")</f>
        <v/>
      </c>
      <c r="V389">
        <f>HYPERLINK("https://klasma.github.io/Logging_VANERSBORG/klagomål/A 11615-2021.docx")</f>
        <v/>
      </c>
      <c r="W389">
        <f>HYPERLINK("https://klasma.github.io/Logging_VANERSBORG/klagomålsmail/A 11615-2021.docx")</f>
        <v/>
      </c>
      <c r="X389">
        <f>HYPERLINK("https://klasma.github.io/Logging_VANERSBORG/tillsyn/A 11615-2021.docx")</f>
        <v/>
      </c>
      <c r="Y389">
        <f>HYPERLINK("https://klasma.github.io/Logging_VANERSBORG/tillsynsmail/A 11615-2021.docx")</f>
        <v/>
      </c>
    </row>
    <row r="390" ht="15" customHeight="1">
      <c r="A390" t="inlineStr">
        <is>
          <t>A 12624-2021</t>
        </is>
      </c>
      <c r="B390" s="1" t="n">
        <v>44270</v>
      </c>
      <c r="C390" s="1" t="n">
        <v>45182</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c r="T390">
        <f>HYPERLINK("https://klasma.github.io/Logging_AMAL/kartor/A 12624-2021.png")</f>
        <v/>
      </c>
      <c r="V390">
        <f>HYPERLINK("https://klasma.github.io/Logging_AMAL/klagomål/A 12624-2021.docx")</f>
        <v/>
      </c>
      <c r="W390">
        <f>HYPERLINK("https://klasma.github.io/Logging_AMAL/klagomålsmail/A 12624-2021.docx")</f>
        <v/>
      </c>
      <c r="X390">
        <f>HYPERLINK("https://klasma.github.io/Logging_AMAL/tillsyn/A 12624-2021.docx")</f>
        <v/>
      </c>
      <c r="Y390">
        <f>HYPERLINK("https://klasma.github.io/Logging_AMAL/tillsynsmail/A 12624-2021.docx")</f>
        <v/>
      </c>
    </row>
    <row r="391" ht="15" customHeight="1">
      <c r="A391" t="inlineStr">
        <is>
          <t>A 13597-2021</t>
        </is>
      </c>
      <c r="B391" s="1" t="n">
        <v>44274</v>
      </c>
      <c r="C391" s="1" t="n">
        <v>45182</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c r="T391">
        <f>HYPERLINK("https://klasma.github.io/Logging_TROLLHATTAN/kartor/A 13597-2021.png")</f>
        <v/>
      </c>
      <c r="V391">
        <f>HYPERLINK("https://klasma.github.io/Logging_TROLLHATTAN/klagomål/A 13597-2021.docx")</f>
        <v/>
      </c>
      <c r="W391">
        <f>HYPERLINK("https://klasma.github.io/Logging_TROLLHATTAN/klagomålsmail/A 13597-2021.docx")</f>
        <v/>
      </c>
      <c r="X391">
        <f>HYPERLINK("https://klasma.github.io/Logging_TROLLHATTAN/tillsyn/A 13597-2021.docx")</f>
        <v/>
      </c>
      <c r="Y391">
        <f>HYPERLINK("https://klasma.github.io/Logging_TROLLHATTAN/tillsynsmail/A 13597-2021.docx")</f>
        <v/>
      </c>
    </row>
    <row r="392" ht="15" customHeight="1">
      <c r="A392" t="inlineStr">
        <is>
          <t>A 17546-2021</t>
        </is>
      </c>
      <c r="B392" s="1" t="n">
        <v>44299</v>
      </c>
      <c r="C392" s="1" t="n">
        <v>45182</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c r="T392">
        <f>HYPERLINK("https://klasma.github.io/Logging_SKARA/kartor/A 17546-2021.png")</f>
        <v/>
      </c>
      <c r="V392">
        <f>HYPERLINK("https://klasma.github.io/Logging_SKARA/klagomål/A 17546-2021.docx")</f>
        <v/>
      </c>
      <c r="W392">
        <f>HYPERLINK("https://klasma.github.io/Logging_SKARA/klagomålsmail/A 17546-2021.docx")</f>
        <v/>
      </c>
      <c r="X392">
        <f>HYPERLINK("https://klasma.github.io/Logging_SKARA/tillsyn/A 17546-2021.docx")</f>
        <v/>
      </c>
      <c r="Y392">
        <f>HYPERLINK("https://klasma.github.io/Logging_SKARA/tillsynsmail/A 17546-2021.docx")</f>
        <v/>
      </c>
    </row>
    <row r="393" ht="15" customHeight="1">
      <c r="A393" t="inlineStr">
        <is>
          <t>A 17770-2021</t>
        </is>
      </c>
      <c r="B393" s="1" t="n">
        <v>44300</v>
      </c>
      <c r="C393" s="1" t="n">
        <v>45182</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c r="T393">
        <f>HYPERLINK("https://klasma.github.io/Logging_SKARA/kartor/A 17770-2021.png")</f>
        <v/>
      </c>
      <c r="V393">
        <f>HYPERLINK("https://klasma.github.io/Logging_SKARA/klagomål/A 17770-2021.docx")</f>
        <v/>
      </c>
      <c r="W393">
        <f>HYPERLINK("https://klasma.github.io/Logging_SKARA/klagomålsmail/A 17770-2021.docx")</f>
        <v/>
      </c>
      <c r="X393">
        <f>HYPERLINK("https://klasma.github.io/Logging_SKARA/tillsyn/A 17770-2021.docx")</f>
        <v/>
      </c>
      <c r="Y393">
        <f>HYPERLINK("https://klasma.github.io/Logging_SKARA/tillsynsmail/A 17770-2021.docx")</f>
        <v/>
      </c>
    </row>
    <row r="394" ht="15" customHeight="1">
      <c r="A394" t="inlineStr">
        <is>
          <t>A 17804-2021</t>
        </is>
      </c>
      <c r="B394" s="1" t="n">
        <v>44300</v>
      </c>
      <c r="C394" s="1" t="n">
        <v>45182</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c r="T394">
        <f>HYPERLINK("https://klasma.github.io/Logging_STROMSTAD/kartor/A 17804-2021.png")</f>
        <v/>
      </c>
      <c r="V394">
        <f>HYPERLINK("https://klasma.github.io/Logging_STROMSTAD/klagomål/A 17804-2021.docx")</f>
        <v/>
      </c>
      <c r="W394">
        <f>HYPERLINK("https://klasma.github.io/Logging_STROMSTAD/klagomålsmail/A 17804-2021.docx")</f>
        <v/>
      </c>
      <c r="X394">
        <f>HYPERLINK("https://klasma.github.io/Logging_STROMSTAD/tillsyn/A 17804-2021.docx")</f>
        <v/>
      </c>
      <c r="Y394">
        <f>HYPERLINK("https://klasma.github.io/Logging_STROMSTAD/tillsynsmail/A 17804-2021.docx")</f>
        <v/>
      </c>
    </row>
    <row r="395" ht="15" customHeight="1">
      <c r="A395" t="inlineStr">
        <is>
          <t>A 19162-2021</t>
        </is>
      </c>
      <c r="B395" s="1" t="n">
        <v>44308</v>
      </c>
      <c r="C395" s="1" t="n">
        <v>45182</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c r="T395">
        <f>HYPERLINK("https://klasma.github.io/Logging_TRANEMO/kartor/A 19162-2021.png")</f>
        <v/>
      </c>
      <c r="V395">
        <f>HYPERLINK("https://klasma.github.io/Logging_TRANEMO/klagomål/A 19162-2021.docx")</f>
        <v/>
      </c>
      <c r="W395">
        <f>HYPERLINK("https://klasma.github.io/Logging_TRANEMO/klagomålsmail/A 19162-2021.docx")</f>
        <v/>
      </c>
      <c r="X395">
        <f>HYPERLINK("https://klasma.github.io/Logging_TRANEMO/tillsyn/A 19162-2021.docx")</f>
        <v/>
      </c>
      <c r="Y395">
        <f>HYPERLINK("https://klasma.github.io/Logging_TRANEMO/tillsynsmail/A 19162-2021.docx")</f>
        <v/>
      </c>
    </row>
    <row r="396" ht="15" customHeight="1">
      <c r="A396" t="inlineStr">
        <is>
          <t>A 23519-2021</t>
        </is>
      </c>
      <c r="B396" s="1" t="n">
        <v>44333</v>
      </c>
      <c r="C396" s="1" t="n">
        <v>45182</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c r="T396">
        <f>HYPERLINK("https://klasma.github.io/Logging_MARK/kartor/A 23519-2021.png")</f>
        <v/>
      </c>
      <c r="V396">
        <f>HYPERLINK("https://klasma.github.io/Logging_MARK/klagomål/A 23519-2021.docx")</f>
        <v/>
      </c>
      <c r="W396">
        <f>HYPERLINK("https://klasma.github.io/Logging_MARK/klagomålsmail/A 23519-2021.docx")</f>
        <v/>
      </c>
      <c r="X396">
        <f>HYPERLINK("https://klasma.github.io/Logging_MARK/tillsyn/A 23519-2021.docx")</f>
        <v/>
      </c>
      <c r="Y396">
        <f>HYPERLINK("https://klasma.github.io/Logging_MARK/tillsynsmail/A 23519-2021.docx")</f>
        <v/>
      </c>
    </row>
    <row r="397" ht="15" customHeight="1">
      <c r="A397" t="inlineStr">
        <is>
          <t>A 23982-2021</t>
        </is>
      </c>
      <c r="B397" s="1" t="n">
        <v>44335</v>
      </c>
      <c r="C397" s="1" t="n">
        <v>45182</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c r="T397">
        <f>HYPERLINK("https://klasma.github.io/Logging_MARK/kartor/A 23982-2021.png")</f>
        <v/>
      </c>
      <c r="V397">
        <f>HYPERLINK("https://klasma.github.io/Logging_MARK/klagomål/A 23982-2021.docx")</f>
        <v/>
      </c>
      <c r="W397">
        <f>HYPERLINK("https://klasma.github.io/Logging_MARK/klagomålsmail/A 23982-2021.docx")</f>
        <v/>
      </c>
      <c r="X397">
        <f>HYPERLINK("https://klasma.github.io/Logging_MARK/tillsyn/A 23982-2021.docx")</f>
        <v/>
      </c>
      <c r="Y397">
        <f>HYPERLINK("https://klasma.github.io/Logging_MARK/tillsynsmail/A 23982-2021.docx")</f>
        <v/>
      </c>
    </row>
    <row r="398" ht="15" customHeight="1">
      <c r="A398" t="inlineStr">
        <is>
          <t>A 25884-2021</t>
        </is>
      </c>
      <c r="B398" s="1" t="n">
        <v>44344</v>
      </c>
      <c r="C398" s="1" t="n">
        <v>45182</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c r="T398">
        <f>HYPERLINK("https://klasma.github.io/Logging_SKARA/kartor/A 25884-2021.png")</f>
        <v/>
      </c>
      <c r="V398">
        <f>HYPERLINK("https://klasma.github.io/Logging_SKARA/klagomål/A 25884-2021.docx")</f>
        <v/>
      </c>
      <c r="W398">
        <f>HYPERLINK("https://klasma.github.io/Logging_SKARA/klagomålsmail/A 25884-2021.docx")</f>
        <v/>
      </c>
      <c r="X398">
        <f>HYPERLINK("https://klasma.github.io/Logging_SKARA/tillsyn/A 25884-2021.docx")</f>
        <v/>
      </c>
      <c r="Y398">
        <f>HYPERLINK("https://klasma.github.io/Logging_SKARA/tillsynsmail/A 25884-2021.docx")</f>
        <v/>
      </c>
    </row>
    <row r="399" ht="15" customHeight="1">
      <c r="A399" t="inlineStr">
        <is>
          <t>A 26710-2021</t>
        </is>
      </c>
      <c r="B399" s="1" t="n">
        <v>44349</v>
      </c>
      <c r="C399" s="1" t="n">
        <v>45182</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c r="T399">
        <f>HYPERLINK("https://klasma.github.io/Logging_FALKOPING/kartor/A 26710-2021.png")</f>
        <v/>
      </c>
      <c r="V399">
        <f>HYPERLINK("https://klasma.github.io/Logging_FALKOPING/klagomål/A 26710-2021.docx")</f>
        <v/>
      </c>
      <c r="W399">
        <f>HYPERLINK("https://klasma.github.io/Logging_FALKOPING/klagomålsmail/A 26710-2021.docx")</f>
        <v/>
      </c>
      <c r="X399">
        <f>HYPERLINK("https://klasma.github.io/Logging_FALKOPING/tillsyn/A 26710-2021.docx")</f>
        <v/>
      </c>
      <c r="Y399">
        <f>HYPERLINK("https://klasma.github.io/Logging_FALKOPING/tillsynsmail/A 26710-2021.docx")</f>
        <v/>
      </c>
    </row>
    <row r="400" ht="15" customHeight="1">
      <c r="A400" t="inlineStr">
        <is>
          <t>A 29668-2021</t>
        </is>
      </c>
      <c r="B400" s="1" t="n">
        <v>44361</v>
      </c>
      <c r="C400" s="1" t="n">
        <v>45182</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c r="T400">
        <f>HYPERLINK("https://klasma.github.io/Logging_TANUM/kartor/A 29668-2021.png")</f>
        <v/>
      </c>
      <c r="V400">
        <f>HYPERLINK("https://klasma.github.io/Logging_TANUM/klagomål/A 29668-2021.docx")</f>
        <v/>
      </c>
      <c r="W400">
        <f>HYPERLINK("https://klasma.github.io/Logging_TANUM/klagomålsmail/A 29668-2021.docx")</f>
        <v/>
      </c>
      <c r="X400">
        <f>HYPERLINK("https://klasma.github.io/Logging_TANUM/tillsyn/A 29668-2021.docx")</f>
        <v/>
      </c>
      <c r="Y400">
        <f>HYPERLINK("https://klasma.github.io/Logging_TANUM/tillsynsmail/A 29668-2021.docx")</f>
        <v/>
      </c>
    </row>
    <row r="401" ht="15" customHeight="1">
      <c r="A401" t="inlineStr">
        <is>
          <t>A 34678-2021</t>
        </is>
      </c>
      <c r="B401" s="1" t="n">
        <v>44381</v>
      </c>
      <c r="C401" s="1" t="n">
        <v>45182</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c r="T401">
        <f>HYPERLINK("https://klasma.github.io/Logging_SOTENAS/kartor/A 34678-2021.png")</f>
        <v/>
      </c>
      <c r="V401">
        <f>HYPERLINK("https://klasma.github.io/Logging_SOTENAS/klagomål/A 34678-2021.docx")</f>
        <v/>
      </c>
      <c r="W401">
        <f>HYPERLINK("https://klasma.github.io/Logging_SOTENAS/klagomålsmail/A 34678-2021.docx")</f>
        <v/>
      </c>
      <c r="X401">
        <f>HYPERLINK("https://klasma.github.io/Logging_SOTENAS/tillsyn/A 34678-2021.docx")</f>
        <v/>
      </c>
      <c r="Y401">
        <f>HYPERLINK("https://klasma.github.io/Logging_SOTENAS/tillsynsmail/A 34678-2021.docx")</f>
        <v/>
      </c>
    </row>
    <row r="402" ht="15" customHeight="1">
      <c r="A402" t="inlineStr">
        <is>
          <t>A 34589-2021</t>
        </is>
      </c>
      <c r="B402" s="1" t="n">
        <v>44382</v>
      </c>
      <c r="C402" s="1" t="n">
        <v>45182</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c r="T402">
        <f>HYPERLINK("https://klasma.github.io/Logging_VANERSBORG/kartor/A 34589-2021.png")</f>
        <v/>
      </c>
      <c r="V402">
        <f>HYPERLINK("https://klasma.github.io/Logging_VANERSBORG/klagomål/A 34589-2021.docx")</f>
        <v/>
      </c>
      <c r="W402">
        <f>HYPERLINK("https://klasma.github.io/Logging_VANERSBORG/klagomålsmail/A 34589-2021.docx")</f>
        <v/>
      </c>
      <c r="X402">
        <f>HYPERLINK("https://klasma.github.io/Logging_VANERSBORG/tillsyn/A 34589-2021.docx")</f>
        <v/>
      </c>
      <c r="Y402">
        <f>HYPERLINK("https://klasma.github.io/Logging_VANERSBORG/tillsynsmail/A 34589-2021.docx")</f>
        <v/>
      </c>
    </row>
    <row r="403" ht="15" customHeight="1">
      <c r="A403" t="inlineStr">
        <is>
          <t>A 36083-2021</t>
        </is>
      </c>
      <c r="B403" s="1" t="n">
        <v>44389</v>
      </c>
      <c r="C403" s="1" t="n">
        <v>45182</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c r="T403">
        <f>HYPERLINK("https://klasma.github.io/Logging_MELLERUD/kartor/A 36083-2021.png")</f>
        <v/>
      </c>
      <c r="V403">
        <f>HYPERLINK("https://klasma.github.io/Logging_MELLERUD/klagomål/A 36083-2021.docx")</f>
        <v/>
      </c>
      <c r="W403">
        <f>HYPERLINK("https://klasma.github.io/Logging_MELLERUD/klagomålsmail/A 36083-2021.docx")</f>
        <v/>
      </c>
      <c r="X403">
        <f>HYPERLINK("https://klasma.github.io/Logging_MELLERUD/tillsyn/A 36083-2021.docx")</f>
        <v/>
      </c>
      <c r="Y403">
        <f>HYPERLINK("https://klasma.github.io/Logging_MELLERUD/tillsynsmail/A 36083-2021.docx")</f>
        <v/>
      </c>
    </row>
    <row r="404" ht="15" customHeight="1">
      <c r="A404" t="inlineStr">
        <is>
          <t>A 36840-2021</t>
        </is>
      </c>
      <c r="B404" s="1" t="n">
        <v>44393</v>
      </c>
      <c r="C404" s="1" t="n">
        <v>45182</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c r="T404">
        <f>HYPERLINK("https://klasma.github.io/Logging_MARK/kartor/A 36840-2021.png")</f>
        <v/>
      </c>
      <c r="V404">
        <f>HYPERLINK("https://klasma.github.io/Logging_MARK/klagomål/A 36840-2021.docx")</f>
        <v/>
      </c>
      <c r="W404">
        <f>HYPERLINK("https://klasma.github.io/Logging_MARK/klagomålsmail/A 36840-2021.docx")</f>
        <v/>
      </c>
      <c r="X404">
        <f>HYPERLINK("https://klasma.github.io/Logging_MARK/tillsyn/A 36840-2021.docx")</f>
        <v/>
      </c>
      <c r="Y404">
        <f>HYPERLINK("https://klasma.github.io/Logging_MARK/tillsynsmail/A 36840-2021.docx")</f>
        <v/>
      </c>
    </row>
    <row r="405" ht="15" customHeight="1">
      <c r="A405" t="inlineStr">
        <is>
          <t>A 39846-2021</t>
        </is>
      </c>
      <c r="B405" s="1" t="n">
        <v>44417</v>
      </c>
      <c r="C405" s="1" t="n">
        <v>45182</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c r="T405">
        <f>HYPERLINK("https://klasma.github.io/Logging_MARK/kartor/A 39846-2021.png")</f>
        <v/>
      </c>
      <c r="V405">
        <f>HYPERLINK("https://klasma.github.io/Logging_MARK/klagomål/A 39846-2021.docx")</f>
        <v/>
      </c>
      <c r="W405">
        <f>HYPERLINK("https://klasma.github.io/Logging_MARK/klagomålsmail/A 39846-2021.docx")</f>
        <v/>
      </c>
      <c r="X405">
        <f>HYPERLINK("https://klasma.github.io/Logging_MARK/tillsyn/A 39846-2021.docx")</f>
        <v/>
      </c>
      <c r="Y405">
        <f>HYPERLINK("https://klasma.github.io/Logging_MARK/tillsynsmail/A 39846-2021.docx")</f>
        <v/>
      </c>
    </row>
    <row r="406" ht="15" customHeight="1">
      <c r="A406" t="inlineStr">
        <is>
          <t>A 39804-2021</t>
        </is>
      </c>
      <c r="B406" s="1" t="n">
        <v>44417</v>
      </c>
      <c r="C406" s="1" t="n">
        <v>45182</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c r="T406">
        <f>HYPERLINK("https://klasma.github.io/Logging_BENGTSFORS/kartor/A 39804-2021.png")</f>
        <v/>
      </c>
      <c r="V406">
        <f>HYPERLINK("https://klasma.github.io/Logging_BENGTSFORS/klagomål/A 39804-2021.docx")</f>
        <v/>
      </c>
      <c r="W406">
        <f>HYPERLINK("https://klasma.github.io/Logging_BENGTSFORS/klagomålsmail/A 39804-2021.docx")</f>
        <v/>
      </c>
      <c r="X406">
        <f>HYPERLINK("https://klasma.github.io/Logging_BENGTSFORS/tillsyn/A 39804-2021.docx")</f>
        <v/>
      </c>
      <c r="Y406">
        <f>HYPERLINK("https://klasma.github.io/Logging_BENGTSFORS/tillsynsmail/A 39804-2021.docx")</f>
        <v/>
      </c>
    </row>
    <row r="407" ht="15" customHeight="1">
      <c r="A407" t="inlineStr">
        <is>
          <t>A 40547-2021</t>
        </is>
      </c>
      <c r="B407" s="1" t="n">
        <v>44420</v>
      </c>
      <c r="C407" s="1" t="n">
        <v>45182</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c r="T407">
        <f>HYPERLINK("https://klasma.github.io/Logging_TIDAHOLM/kartor/A 40547-2021.png")</f>
        <v/>
      </c>
      <c r="V407">
        <f>HYPERLINK("https://klasma.github.io/Logging_TIDAHOLM/klagomål/A 40547-2021.docx")</f>
        <v/>
      </c>
      <c r="W407">
        <f>HYPERLINK("https://klasma.github.io/Logging_TIDAHOLM/klagomålsmail/A 40547-2021.docx")</f>
        <v/>
      </c>
      <c r="X407">
        <f>HYPERLINK("https://klasma.github.io/Logging_TIDAHOLM/tillsyn/A 40547-2021.docx")</f>
        <v/>
      </c>
      <c r="Y407">
        <f>HYPERLINK("https://klasma.github.io/Logging_TIDAHOLM/tillsynsmail/A 40547-2021.docx")</f>
        <v/>
      </c>
    </row>
    <row r="408" ht="15" customHeight="1">
      <c r="A408" t="inlineStr">
        <is>
          <t>A 42509-2021</t>
        </is>
      </c>
      <c r="B408" s="1" t="n">
        <v>44427</v>
      </c>
      <c r="C408" s="1" t="n">
        <v>45182</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c r="T408">
        <f>HYPERLINK("https://klasma.github.io/Logging_FALKOPING/kartor/A 42509-2021.png")</f>
        <v/>
      </c>
      <c r="V408">
        <f>HYPERLINK("https://klasma.github.io/Logging_FALKOPING/klagomål/A 42509-2021.docx")</f>
        <v/>
      </c>
      <c r="W408">
        <f>HYPERLINK("https://klasma.github.io/Logging_FALKOPING/klagomålsmail/A 42509-2021.docx")</f>
        <v/>
      </c>
      <c r="X408">
        <f>HYPERLINK("https://klasma.github.io/Logging_FALKOPING/tillsyn/A 42509-2021.docx")</f>
        <v/>
      </c>
      <c r="Y408">
        <f>HYPERLINK("https://klasma.github.io/Logging_FALKOPING/tillsynsmail/A 42509-2021.docx")</f>
        <v/>
      </c>
    </row>
    <row r="409" ht="15" customHeight="1">
      <c r="A409" t="inlineStr">
        <is>
          <t>A 44202-2021</t>
        </is>
      </c>
      <c r="B409" s="1" t="n">
        <v>44434</v>
      </c>
      <c r="C409" s="1" t="n">
        <v>45182</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c r="T409">
        <f>HYPERLINK("https://klasma.github.io/Logging_BORAS/kartor/A 44202-2021.png")</f>
        <v/>
      </c>
      <c r="V409">
        <f>HYPERLINK("https://klasma.github.io/Logging_BORAS/klagomål/A 44202-2021.docx")</f>
        <v/>
      </c>
      <c r="W409">
        <f>HYPERLINK("https://klasma.github.io/Logging_BORAS/klagomålsmail/A 44202-2021.docx")</f>
        <v/>
      </c>
      <c r="X409">
        <f>HYPERLINK("https://klasma.github.io/Logging_BORAS/tillsyn/A 44202-2021.docx")</f>
        <v/>
      </c>
      <c r="Y409">
        <f>HYPERLINK("https://klasma.github.io/Logging_BORAS/tillsynsmail/A 44202-2021.docx")</f>
        <v/>
      </c>
    </row>
    <row r="410" ht="15" customHeight="1">
      <c r="A410" t="inlineStr">
        <is>
          <t>A 45168-2021</t>
        </is>
      </c>
      <c r="B410" s="1" t="n">
        <v>44439</v>
      </c>
      <c r="C410" s="1" t="n">
        <v>45182</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c r="T410">
        <f>HYPERLINK("https://klasma.github.io/Logging_TOREBODA/kartor/A 45168-2021.png")</f>
        <v/>
      </c>
      <c r="V410">
        <f>HYPERLINK("https://klasma.github.io/Logging_TOREBODA/klagomål/A 45168-2021.docx")</f>
        <v/>
      </c>
      <c r="W410">
        <f>HYPERLINK("https://klasma.github.io/Logging_TOREBODA/klagomålsmail/A 45168-2021.docx")</f>
        <v/>
      </c>
      <c r="X410">
        <f>HYPERLINK("https://klasma.github.io/Logging_TOREBODA/tillsyn/A 45168-2021.docx")</f>
        <v/>
      </c>
      <c r="Y410">
        <f>HYPERLINK("https://klasma.github.io/Logging_TOREBODA/tillsynsmail/A 45168-2021.docx")</f>
        <v/>
      </c>
    </row>
    <row r="411" ht="15" customHeight="1">
      <c r="A411" t="inlineStr">
        <is>
          <t>A 47082-2021</t>
        </is>
      </c>
      <c r="B411" s="1" t="n">
        <v>44446</v>
      </c>
      <c r="C411" s="1" t="n">
        <v>45182</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c r="T411">
        <f>HYPERLINK("https://klasma.github.io/Logging_BENGTSFORS/kartor/A 47082-2021.png")</f>
        <v/>
      </c>
      <c r="V411">
        <f>HYPERLINK("https://klasma.github.io/Logging_BENGTSFORS/klagomål/A 47082-2021.docx")</f>
        <v/>
      </c>
      <c r="W411">
        <f>HYPERLINK("https://klasma.github.io/Logging_BENGTSFORS/klagomålsmail/A 47082-2021.docx")</f>
        <v/>
      </c>
      <c r="X411">
        <f>HYPERLINK("https://klasma.github.io/Logging_BENGTSFORS/tillsyn/A 47082-2021.docx")</f>
        <v/>
      </c>
      <c r="Y411">
        <f>HYPERLINK("https://klasma.github.io/Logging_BENGTSFORS/tillsynsmail/A 47082-2021.docx")</f>
        <v/>
      </c>
    </row>
    <row r="412" ht="15" customHeight="1">
      <c r="A412" t="inlineStr">
        <is>
          <t>A 48150-2021</t>
        </is>
      </c>
      <c r="B412" s="1" t="n">
        <v>44449</v>
      </c>
      <c r="C412" s="1" t="n">
        <v>45182</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c r="T412">
        <f>HYPERLINK("https://klasma.github.io/Logging_ULRICEHAMN/kartor/A 48150-2021.png")</f>
        <v/>
      </c>
      <c r="V412">
        <f>HYPERLINK("https://klasma.github.io/Logging_ULRICEHAMN/klagomål/A 48150-2021.docx")</f>
        <v/>
      </c>
      <c r="W412">
        <f>HYPERLINK("https://klasma.github.io/Logging_ULRICEHAMN/klagomålsmail/A 48150-2021.docx")</f>
        <v/>
      </c>
      <c r="X412">
        <f>HYPERLINK("https://klasma.github.io/Logging_ULRICEHAMN/tillsyn/A 48150-2021.docx")</f>
        <v/>
      </c>
      <c r="Y412">
        <f>HYPERLINK("https://klasma.github.io/Logging_ULRICEHAMN/tillsynsmail/A 48150-2021.docx")</f>
        <v/>
      </c>
    </row>
    <row r="413" ht="15" customHeight="1">
      <c r="A413" t="inlineStr">
        <is>
          <t>A 48330-2021</t>
        </is>
      </c>
      <c r="B413" s="1" t="n">
        <v>44450</v>
      </c>
      <c r="C413" s="1" t="n">
        <v>45182</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c r="T413">
        <f>HYPERLINK("https://klasma.github.io/Logging_AMAL/kartor/A 48330-2021.png")</f>
        <v/>
      </c>
      <c r="V413">
        <f>HYPERLINK("https://klasma.github.io/Logging_AMAL/klagomål/A 48330-2021.docx")</f>
        <v/>
      </c>
      <c r="W413">
        <f>HYPERLINK("https://klasma.github.io/Logging_AMAL/klagomålsmail/A 48330-2021.docx")</f>
        <v/>
      </c>
      <c r="X413">
        <f>HYPERLINK("https://klasma.github.io/Logging_AMAL/tillsyn/A 48330-2021.docx")</f>
        <v/>
      </c>
      <c r="Y413">
        <f>HYPERLINK("https://klasma.github.io/Logging_AMAL/tillsynsmail/A 48330-2021.docx")</f>
        <v/>
      </c>
    </row>
    <row r="414" ht="15" customHeight="1">
      <c r="A414" t="inlineStr">
        <is>
          <t>A 50555-2021</t>
        </is>
      </c>
      <c r="B414" s="1" t="n">
        <v>44455</v>
      </c>
      <c r="C414" s="1" t="n">
        <v>45182</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c r="T414">
        <f>HYPERLINK("https://klasma.github.io/Logging_ULRICEHAMN/kartor/A 50555-2021.png")</f>
        <v/>
      </c>
      <c r="V414">
        <f>HYPERLINK("https://klasma.github.io/Logging_ULRICEHAMN/klagomål/A 50555-2021.docx")</f>
        <v/>
      </c>
      <c r="W414">
        <f>HYPERLINK("https://klasma.github.io/Logging_ULRICEHAMN/klagomålsmail/A 50555-2021.docx")</f>
        <v/>
      </c>
      <c r="X414">
        <f>HYPERLINK("https://klasma.github.io/Logging_ULRICEHAMN/tillsyn/A 50555-2021.docx")</f>
        <v/>
      </c>
      <c r="Y414">
        <f>HYPERLINK("https://klasma.github.io/Logging_ULRICEHAMN/tillsynsmail/A 50555-2021.docx")</f>
        <v/>
      </c>
    </row>
    <row r="415" ht="15" customHeight="1">
      <c r="A415" t="inlineStr">
        <is>
          <t>A 53156-2021</t>
        </is>
      </c>
      <c r="B415" s="1" t="n">
        <v>44468</v>
      </c>
      <c r="C415" s="1" t="n">
        <v>45182</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c r="T415">
        <f>HYPERLINK("https://klasma.github.io/Logging_STENUNGSUND/kartor/A 53156-2021.png")</f>
        <v/>
      </c>
      <c r="U415">
        <f>HYPERLINK("https://klasma.github.io/Logging_STENUNGSUND/knärot/A 53156-2021.png")</f>
        <v/>
      </c>
      <c r="V415">
        <f>HYPERLINK("https://klasma.github.io/Logging_STENUNGSUND/klagomål/A 53156-2021.docx")</f>
        <v/>
      </c>
      <c r="W415">
        <f>HYPERLINK("https://klasma.github.io/Logging_STENUNGSUND/klagomålsmail/A 53156-2021.docx")</f>
        <v/>
      </c>
      <c r="X415">
        <f>HYPERLINK("https://klasma.github.io/Logging_STENUNGSUND/tillsyn/A 53156-2021.docx")</f>
        <v/>
      </c>
      <c r="Y415">
        <f>HYPERLINK("https://klasma.github.io/Logging_STENUNGSUND/tillsynsmail/A 53156-2021.docx")</f>
        <v/>
      </c>
    </row>
    <row r="416" ht="15" customHeight="1">
      <c r="A416" t="inlineStr">
        <is>
          <t>A 53203-2021</t>
        </is>
      </c>
      <c r="B416" s="1" t="n">
        <v>44468</v>
      </c>
      <c r="C416" s="1" t="n">
        <v>45182</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c r="T416">
        <f>HYPERLINK("https://klasma.github.io/Logging_HARRYDA/kartor/A 53203-2021.png")</f>
        <v/>
      </c>
      <c r="V416">
        <f>HYPERLINK("https://klasma.github.io/Logging_HARRYDA/klagomål/A 53203-2021.docx")</f>
        <v/>
      </c>
      <c r="W416">
        <f>HYPERLINK("https://klasma.github.io/Logging_HARRYDA/klagomålsmail/A 53203-2021.docx")</f>
        <v/>
      </c>
      <c r="X416">
        <f>HYPERLINK("https://klasma.github.io/Logging_HARRYDA/tillsyn/A 53203-2021.docx")</f>
        <v/>
      </c>
      <c r="Y416">
        <f>HYPERLINK("https://klasma.github.io/Logging_HARRYDA/tillsynsmail/A 53203-2021.docx")</f>
        <v/>
      </c>
    </row>
    <row r="417" ht="15" customHeight="1">
      <c r="A417" t="inlineStr">
        <is>
          <t>A 55075-2021</t>
        </is>
      </c>
      <c r="B417" s="1" t="n">
        <v>44474</v>
      </c>
      <c r="C417" s="1" t="n">
        <v>45182</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c r="T417">
        <f>HYPERLINK("https://klasma.github.io/Logging_FALKOPING/kartor/A 55075-2021.png")</f>
        <v/>
      </c>
      <c r="V417">
        <f>HYPERLINK("https://klasma.github.io/Logging_FALKOPING/klagomål/A 55075-2021.docx")</f>
        <v/>
      </c>
      <c r="W417">
        <f>HYPERLINK("https://klasma.github.io/Logging_FALKOPING/klagomålsmail/A 55075-2021.docx")</f>
        <v/>
      </c>
      <c r="X417">
        <f>HYPERLINK("https://klasma.github.io/Logging_FALKOPING/tillsyn/A 55075-2021.docx")</f>
        <v/>
      </c>
      <c r="Y417">
        <f>HYPERLINK("https://klasma.github.io/Logging_FALKOPING/tillsynsmail/A 55075-2021.docx")</f>
        <v/>
      </c>
    </row>
    <row r="418" ht="15" customHeight="1">
      <c r="A418" t="inlineStr">
        <is>
          <t>A 59679-2021</t>
        </is>
      </c>
      <c r="B418" s="1" t="n">
        <v>44494</v>
      </c>
      <c r="C418" s="1" t="n">
        <v>45182</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c r="T418">
        <f>HYPERLINK("https://klasma.github.io/Logging_SKARA/kartor/A 59679-2021.png")</f>
        <v/>
      </c>
      <c r="V418">
        <f>HYPERLINK("https://klasma.github.io/Logging_SKARA/klagomål/A 59679-2021.docx")</f>
        <v/>
      </c>
      <c r="W418">
        <f>HYPERLINK("https://klasma.github.io/Logging_SKARA/klagomålsmail/A 59679-2021.docx")</f>
        <v/>
      </c>
      <c r="X418">
        <f>HYPERLINK("https://klasma.github.io/Logging_SKARA/tillsyn/A 59679-2021.docx")</f>
        <v/>
      </c>
      <c r="Y418">
        <f>HYPERLINK("https://klasma.github.io/Logging_SKARA/tillsynsmail/A 59679-2021.docx")</f>
        <v/>
      </c>
    </row>
    <row r="419" ht="15" customHeight="1">
      <c r="A419" t="inlineStr">
        <is>
          <t>A 60172-2021</t>
        </is>
      </c>
      <c r="B419" s="1" t="n">
        <v>44495</v>
      </c>
      <c r="C419" s="1" t="n">
        <v>45182</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c r="T419">
        <f>HYPERLINK("https://klasma.github.io/Logging_SKOVDE/kartor/A 60172-2021.png")</f>
        <v/>
      </c>
      <c r="V419">
        <f>HYPERLINK("https://klasma.github.io/Logging_SKOVDE/klagomål/A 60172-2021.docx")</f>
        <v/>
      </c>
      <c r="W419">
        <f>HYPERLINK("https://klasma.github.io/Logging_SKOVDE/klagomålsmail/A 60172-2021.docx")</f>
        <v/>
      </c>
      <c r="X419">
        <f>HYPERLINK("https://klasma.github.io/Logging_SKOVDE/tillsyn/A 60172-2021.docx")</f>
        <v/>
      </c>
      <c r="Y419">
        <f>HYPERLINK("https://klasma.github.io/Logging_SKOVDE/tillsynsmail/A 60172-2021.docx")</f>
        <v/>
      </c>
    </row>
    <row r="420" ht="15" customHeight="1">
      <c r="A420" t="inlineStr">
        <is>
          <t>A 63729-2021</t>
        </is>
      </c>
      <c r="B420" s="1" t="n">
        <v>44508</v>
      </c>
      <c r="C420" s="1" t="n">
        <v>45182</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c r="T420">
        <f>HYPERLINK("https://klasma.github.io/Logging_BENGTSFORS/kartor/A 63729-2021.png")</f>
        <v/>
      </c>
      <c r="V420">
        <f>HYPERLINK("https://klasma.github.io/Logging_BENGTSFORS/klagomål/A 63729-2021.docx")</f>
        <v/>
      </c>
      <c r="W420">
        <f>HYPERLINK("https://klasma.github.io/Logging_BENGTSFORS/klagomålsmail/A 63729-2021.docx")</f>
        <v/>
      </c>
      <c r="X420">
        <f>HYPERLINK("https://klasma.github.io/Logging_BENGTSFORS/tillsyn/A 63729-2021.docx")</f>
        <v/>
      </c>
      <c r="Y420">
        <f>HYPERLINK("https://klasma.github.io/Logging_BENGTSFORS/tillsynsmail/A 63729-2021.docx")</f>
        <v/>
      </c>
    </row>
    <row r="421" ht="15" customHeight="1">
      <c r="A421" t="inlineStr">
        <is>
          <t>A 64484-2021</t>
        </is>
      </c>
      <c r="B421" s="1" t="n">
        <v>44511</v>
      </c>
      <c r="C421" s="1" t="n">
        <v>45182</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c r="T421">
        <f>HYPERLINK("https://klasma.github.io/Logging_TANUM/kartor/A 64484-2021.png")</f>
        <v/>
      </c>
      <c r="V421">
        <f>HYPERLINK("https://klasma.github.io/Logging_TANUM/klagomål/A 64484-2021.docx")</f>
        <v/>
      </c>
      <c r="W421">
        <f>HYPERLINK("https://klasma.github.io/Logging_TANUM/klagomålsmail/A 64484-2021.docx")</f>
        <v/>
      </c>
      <c r="X421">
        <f>HYPERLINK("https://klasma.github.io/Logging_TANUM/tillsyn/A 64484-2021.docx")</f>
        <v/>
      </c>
      <c r="Y421">
        <f>HYPERLINK("https://klasma.github.io/Logging_TANUM/tillsynsmail/A 64484-2021.docx")</f>
        <v/>
      </c>
    </row>
    <row r="422" ht="15" customHeight="1">
      <c r="A422" t="inlineStr">
        <is>
          <t>A 64810-2021</t>
        </is>
      </c>
      <c r="B422" s="1" t="n">
        <v>44512</v>
      </c>
      <c r="C422" s="1" t="n">
        <v>45182</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c r="T422">
        <f>HYPERLINK("https://klasma.github.io/Logging_ULRICEHAMN/kartor/A 64810-2021.png")</f>
        <v/>
      </c>
      <c r="V422">
        <f>HYPERLINK("https://klasma.github.io/Logging_ULRICEHAMN/klagomål/A 64810-2021.docx")</f>
        <v/>
      </c>
      <c r="W422">
        <f>HYPERLINK("https://klasma.github.io/Logging_ULRICEHAMN/klagomålsmail/A 64810-2021.docx")</f>
        <v/>
      </c>
      <c r="X422">
        <f>HYPERLINK("https://klasma.github.io/Logging_ULRICEHAMN/tillsyn/A 64810-2021.docx")</f>
        <v/>
      </c>
      <c r="Y422">
        <f>HYPERLINK("https://klasma.github.io/Logging_ULRICEHAMN/tillsynsmail/A 64810-2021.docx")</f>
        <v/>
      </c>
    </row>
    <row r="423" ht="15" customHeight="1">
      <c r="A423" t="inlineStr">
        <is>
          <t>A 64860-2021</t>
        </is>
      </c>
      <c r="B423" s="1" t="n">
        <v>44512</v>
      </c>
      <c r="C423" s="1" t="n">
        <v>45182</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c r="T423">
        <f>HYPERLINK("https://klasma.github.io/Logging_HARRYDA/kartor/A 64860-2021.png")</f>
        <v/>
      </c>
      <c r="V423">
        <f>HYPERLINK("https://klasma.github.io/Logging_HARRYDA/klagomål/A 64860-2021.docx")</f>
        <v/>
      </c>
      <c r="W423">
        <f>HYPERLINK("https://klasma.github.io/Logging_HARRYDA/klagomålsmail/A 64860-2021.docx")</f>
        <v/>
      </c>
      <c r="X423">
        <f>HYPERLINK("https://klasma.github.io/Logging_HARRYDA/tillsyn/A 64860-2021.docx")</f>
        <v/>
      </c>
      <c r="Y423">
        <f>HYPERLINK("https://klasma.github.io/Logging_HARRYDA/tillsynsmail/A 64860-2021.docx")</f>
        <v/>
      </c>
    </row>
    <row r="424" ht="15" customHeight="1">
      <c r="A424" t="inlineStr">
        <is>
          <t>A 68707-2021</t>
        </is>
      </c>
      <c r="B424" s="1" t="n">
        <v>44529</v>
      </c>
      <c r="C424" s="1" t="n">
        <v>45182</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c r="T424">
        <f>HYPERLINK("https://klasma.github.io/Logging_UDDEVALLA/kartor/A 68707-2021.png")</f>
        <v/>
      </c>
      <c r="U424">
        <f>HYPERLINK("https://klasma.github.io/Logging_UDDEVALLA/knärot/A 68707-2021.png")</f>
        <v/>
      </c>
      <c r="V424">
        <f>HYPERLINK("https://klasma.github.io/Logging_UDDEVALLA/klagomål/A 68707-2021.docx")</f>
        <v/>
      </c>
      <c r="W424">
        <f>HYPERLINK("https://klasma.github.io/Logging_UDDEVALLA/klagomålsmail/A 68707-2021.docx")</f>
        <v/>
      </c>
      <c r="X424">
        <f>HYPERLINK("https://klasma.github.io/Logging_UDDEVALLA/tillsyn/A 68707-2021.docx")</f>
        <v/>
      </c>
      <c r="Y424">
        <f>HYPERLINK("https://klasma.github.io/Logging_UDDEVALLA/tillsynsmail/A 68707-2021.docx")</f>
        <v/>
      </c>
    </row>
    <row r="425" ht="15" customHeight="1">
      <c r="A425" t="inlineStr">
        <is>
          <t>A 73714-2021</t>
        </is>
      </c>
      <c r="B425" s="1" t="n">
        <v>44551</v>
      </c>
      <c r="C425" s="1" t="n">
        <v>45182</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c r="T425">
        <f>HYPERLINK("https://klasma.github.io/Logging_MOLNDAL/kartor/A 73714-2021.png")</f>
        <v/>
      </c>
      <c r="V425">
        <f>HYPERLINK("https://klasma.github.io/Logging_MOLNDAL/klagomål/A 73714-2021.docx")</f>
        <v/>
      </c>
      <c r="W425">
        <f>HYPERLINK("https://klasma.github.io/Logging_MOLNDAL/klagomålsmail/A 73714-2021.docx")</f>
        <v/>
      </c>
      <c r="X425">
        <f>HYPERLINK("https://klasma.github.io/Logging_MOLNDAL/tillsyn/A 73714-2021.docx")</f>
        <v/>
      </c>
      <c r="Y425">
        <f>HYPERLINK("https://klasma.github.io/Logging_MOLNDAL/tillsynsmail/A 73714-2021.docx")</f>
        <v/>
      </c>
    </row>
    <row r="426" ht="15" customHeight="1">
      <c r="A426" t="inlineStr">
        <is>
          <t>A 1013-2022</t>
        </is>
      </c>
      <c r="B426" s="1" t="n">
        <v>44571</v>
      </c>
      <c r="C426" s="1" t="n">
        <v>45182</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c r="T426">
        <f>HYPERLINK("https://klasma.github.io/Logging_STROMSTAD/kartor/A 1013-2022.png")</f>
        <v/>
      </c>
      <c r="V426">
        <f>HYPERLINK("https://klasma.github.io/Logging_STROMSTAD/klagomål/A 1013-2022.docx")</f>
        <v/>
      </c>
      <c r="W426">
        <f>HYPERLINK("https://klasma.github.io/Logging_STROMSTAD/klagomålsmail/A 1013-2022.docx")</f>
        <v/>
      </c>
      <c r="X426">
        <f>HYPERLINK("https://klasma.github.io/Logging_STROMSTAD/tillsyn/A 1013-2022.docx")</f>
        <v/>
      </c>
      <c r="Y426">
        <f>HYPERLINK("https://klasma.github.io/Logging_STROMSTAD/tillsynsmail/A 1013-2022.docx")</f>
        <v/>
      </c>
    </row>
    <row r="427" ht="15" customHeight="1">
      <c r="A427" t="inlineStr">
        <is>
          <t>A 2637-2022</t>
        </is>
      </c>
      <c r="B427" s="1" t="n">
        <v>44580</v>
      </c>
      <c r="C427" s="1" t="n">
        <v>45182</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c r="T427">
        <f>HYPERLINK("https://klasma.github.io/Logging_GULLSPANG/kartor/A 2637-2022.png")</f>
        <v/>
      </c>
      <c r="U427">
        <f>HYPERLINK("https://klasma.github.io/Logging_GULLSPANG/knärot/A 2637-2022.png")</f>
        <v/>
      </c>
      <c r="V427">
        <f>HYPERLINK("https://klasma.github.io/Logging_GULLSPANG/klagomål/A 2637-2022.docx")</f>
        <v/>
      </c>
      <c r="W427">
        <f>HYPERLINK("https://klasma.github.io/Logging_GULLSPANG/klagomålsmail/A 2637-2022.docx")</f>
        <v/>
      </c>
      <c r="X427">
        <f>HYPERLINK("https://klasma.github.io/Logging_GULLSPANG/tillsyn/A 2637-2022.docx")</f>
        <v/>
      </c>
      <c r="Y427">
        <f>HYPERLINK("https://klasma.github.io/Logging_GULLSPANG/tillsynsmail/A 2637-2022.docx")</f>
        <v/>
      </c>
    </row>
    <row r="428" ht="15" customHeight="1">
      <c r="A428" t="inlineStr">
        <is>
          <t>A 4966-2022</t>
        </is>
      </c>
      <c r="B428" s="1" t="n">
        <v>44593</v>
      </c>
      <c r="C428" s="1" t="n">
        <v>45182</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c r="T428">
        <f>HYPERLINK("https://klasma.github.io/Logging_HJO/kartor/A 4966-2022.png")</f>
        <v/>
      </c>
      <c r="V428">
        <f>HYPERLINK("https://klasma.github.io/Logging_HJO/klagomål/A 4966-2022.docx")</f>
        <v/>
      </c>
      <c r="W428">
        <f>HYPERLINK("https://klasma.github.io/Logging_HJO/klagomålsmail/A 4966-2022.docx")</f>
        <v/>
      </c>
      <c r="X428">
        <f>HYPERLINK("https://klasma.github.io/Logging_HJO/tillsyn/A 4966-2022.docx")</f>
        <v/>
      </c>
      <c r="Y428">
        <f>HYPERLINK("https://klasma.github.io/Logging_HJO/tillsynsmail/A 4966-2022.docx")</f>
        <v/>
      </c>
    </row>
    <row r="429" ht="15" customHeight="1">
      <c r="A429" t="inlineStr">
        <is>
          <t>A 6545-2022</t>
        </is>
      </c>
      <c r="B429" s="1" t="n">
        <v>44601</v>
      </c>
      <c r="C429" s="1" t="n">
        <v>45182</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c r="T429">
        <f>HYPERLINK("https://klasma.github.io/Logging_MUNKEDAL/kartor/A 6545-2022.png")</f>
        <v/>
      </c>
      <c r="V429">
        <f>HYPERLINK("https://klasma.github.io/Logging_MUNKEDAL/klagomål/A 6545-2022.docx")</f>
        <v/>
      </c>
      <c r="W429">
        <f>HYPERLINK("https://klasma.github.io/Logging_MUNKEDAL/klagomålsmail/A 6545-2022.docx")</f>
        <v/>
      </c>
      <c r="X429">
        <f>HYPERLINK("https://klasma.github.io/Logging_MUNKEDAL/tillsyn/A 6545-2022.docx")</f>
        <v/>
      </c>
      <c r="Y429">
        <f>HYPERLINK("https://klasma.github.io/Logging_MUNKEDAL/tillsynsmail/A 6545-2022.docx")</f>
        <v/>
      </c>
    </row>
    <row r="430" ht="15" customHeight="1">
      <c r="A430" t="inlineStr">
        <is>
          <t>A 8098-2022</t>
        </is>
      </c>
      <c r="B430" s="1" t="n">
        <v>44609</v>
      </c>
      <c r="C430" s="1" t="n">
        <v>45182</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c r="T430">
        <f>HYPERLINK("https://klasma.github.io/Logging_TRANEMO/kartor/A 8098-2022.png")</f>
        <v/>
      </c>
      <c r="V430">
        <f>HYPERLINK("https://klasma.github.io/Logging_TRANEMO/klagomål/A 8098-2022.docx")</f>
        <v/>
      </c>
      <c r="W430">
        <f>HYPERLINK("https://klasma.github.io/Logging_TRANEMO/klagomålsmail/A 8098-2022.docx")</f>
        <v/>
      </c>
      <c r="X430">
        <f>HYPERLINK("https://klasma.github.io/Logging_TRANEMO/tillsyn/A 8098-2022.docx")</f>
        <v/>
      </c>
      <c r="Y430">
        <f>HYPERLINK("https://klasma.github.io/Logging_TRANEMO/tillsynsmail/A 8098-2022.docx")</f>
        <v/>
      </c>
    </row>
    <row r="431" ht="15" customHeight="1">
      <c r="A431" t="inlineStr">
        <is>
          <t>A 8266-2022</t>
        </is>
      </c>
      <c r="B431" s="1" t="n">
        <v>44610</v>
      </c>
      <c r="C431" s="1" t="n">
        <v>45182</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c r="T431">
        <f>HYPERLINK("https://klasma.github.io/Logging_TOREBODA/kartor/A 8266-2022.png")</f>
        <v/>
      </c>
      <c r="V431">
        <f>HYPERLINK("https://klasma.github.io/Logging_TOREBODA/klagomål/A 8266-2022.docx")</f>
        <v/>
      </c>
      <c r="W431">
        <f>HYPERLINK("https://klasma.github.io/Logging_TOREBODA/klagomålsmail/A 8266-2022.docx")</f>
        <v/>
      </c>
      <c r="X431">
        <f>HYPERLINK("https://klasma.github.io/Logging_TOREBODA/tillsyn/A 8266-2022.docx")</f>
        <v/>
      </c>
      <c r="Y431">
        <f>HYPERLINK("https://klasma.github.io/Logging_TOREBODA/tillsynsmail/A 8266-2022.docx")</f>
        <v/>
      </c>
    </row>
    <row r="432" ht="15" customHeight="1">
      <c r="A432" t="inlineStr">
        <is>
          <t>A 8701-2022</t>
        </is>
      </c>
      <c r="B432" s="1" t="n">
        <v>44613</v>
      </c>
      <c r="C432" s="1" t="n">
        <v>45182</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c r="T432">
        <f>HYPERLINK("https://klasma.github.io/Logging_SVENLJUNGA/kartor/A 8701-2022.png")</f>
        <v/>
      </c>
      <c r="V432">
        <f>HYPERLINK("https://klasma.github.io/Logging_SVENLJUNGA/klagomål/A 8701-2022.docx")</f>
        <v/>
      </c>
      <c r="W432">
        <f>HYPERLINK("https://klasma.github.io/Logging_SVENLJUNGA/klagomålsmail/A 8701-2022.docx")</f>
        <v/>
      </c>
      <c r="X432">
        <f>HYPERLINK("https://klasma.github.io/Logging_SVENLJUNGA/tillsyn/A 8701-2022.docx")</f>
        <v/>
      </c>
      <c r="Y432">
        <f>HYPERLINK("https://klasma.github.io/Logging_SVENLJUNGA/tillsynsmail/A 8701-2022.docx")</f>
        <v/>
      </c>
    </row>
    <row r="433" ht="15" customHeight="1">
      <c r="A433" t="inlineStr">
        <is>
          <t>A 8697-2022</t>
        </is>
      </c>
      <c r="B433" s="1" t="n">
        <v>44613</v>
      </c>
      <c r="C433" s="1" t="n">
        <v>45182</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c r="T433">
        <f>HYPERLINK("https://klasma.github.io/Logging_SVENLJUNGA/kartor/A 8697-2022.png")</f>
        <v/>
      </c>
      <c r="V433">
        <f>HYPERLINK("https://klasma.github.io/Logging_SVENLJUNGA/klagomål/A 8697-2022.docx")</f>
        <v/>
      </c>
      <c r="W433">
        <f>HYPERLINK("https://klasma.github.io/Logging_SVENLJUNGA/klagomålsmail/A 8697-2022.docx")</f>
        <v/>
      </c>
      <c r="X433">
        <f>HYPERLINK("https://klasma.github.io/Logging_SVENLJUNGA/tillsyn/A 8697-2022.docx")</f>
        <v/>
      </c>
      <c r="Y433">
        <f>HYPERLINK("https://klasma.github.io/Logging_SVENLJUNGA/tillsynsmail/A 8697-2022.docx")</f>
        <v/>
      </c>
    </row>
    <row r="434" ht="15" customHeight="1">
      <c r="A434" t="inlineStr">
        <is>
          <t>A 13277-2022</t>
        </is>
      </c>
      <c r="B434" s="1" t="n">
        <v>44644</v>
      </c>
      <c r="C434" s="1" t="n">
        <v>45182</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c r="T434">
        <f>HYPERLINK("https://klasma.github.io/Logging_TRANEMO/kartor/A 13277-2022.png")</f>
        <v/>
      </c>
      <c r="V434">
        <f>HYPERLINK("https://klasma.github.io/Logging_TRANEMO/klagomål/A 13277-2022.docx")</f>
        <v/>
      </c>
      <c r="W434">
        <f>HYPERLINK("https://klasma.github.io/Logging_TRANEMO/klagomålsmail/A 13277-2022.docx")</f>
        <v/>
      </c>
      <c r="X434">
        <f>HYPERLINK("https://klasma.github.io/Logging_TRANEMO/tillsyn/A 13277-2022.docx")</f>
        <v/>
      </c>
      <c r="Y434">
        <f>HYPERLINK("https://klasma.github.io/Logging_TRANEMO/tillsynsmail/A 13277-2022.docx")</f>
        <v/>
      </c>
    </row>
    <row r="435" ht="15" customHeight="1">
      <c r="A435" t="inlineStr">
        <is>
          <t>A 13606-2022</t>
        </is>
      </c>
      <c r="B435" s="1" t="n">
        <v>44648</v>
      </c>
      <c r="C435" s="1" t="n">
        <v>45182</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c r="T435">
        <f>HYPERLINK("https://klasma.github.io/Logging_MARIESTAD/kartor/A 13606-2022.png")</f>
        <v/>
      </c>
      <c r="V435">
        <f>HYPERLINK("https://klasma.github.io/Logging_MARIESTAD/klagomål/A 13606-2022.docx")</f>
        <v/>
      </c>
      <c r="W435">
        <f>HYPERLINK("https://klasma.github.io/Logging_MARIESTAD/klagomålsmail/A 13606-2022.docx")</f>
        <v/>
      </c>
      <c r="X435">
        <f>HYPERLINK("https://klasma.github.io/Logging_MARIESTAD/tillsyn/A 13606-2022.docx")</f>
        <v/>
      </c>
      <c r="Y435">
        <f>HYPERLINK("https://klasma.github.io/Logging_MARIESTAD/tillsynsmail/A 13606-2022.docx")</f>
        <v/>
      </c>
    </row>
    <row r="436" ht="15" customHeight="1">
      <c r="A436" t="inlineStr">
        <is>
          <t>A 14487-2022</t>
        </is>
      </c>
      <c r="B436" s="1" t="n">
        <v>44652</v>
      </c>
      <c r="C436" s="1" t="n">
        <v>45182</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c r="T436">
        <f>HYPERLINK("https://klasma.github.io/Logging_SKOVDE/kartor/A 14487-2022.png")</f>
        <v/>
      </c>
      <c r="V436">
        <f>HYPERLINK("https://klasma.github.io/Logging_SKOVDE/klagomål/A 14487-2022.docx")</f>
        <v/>
      </c>
      <c r="W436">
        <f>HYPERLINK("https://klasma.github.io/Logging_SKOVDE/klagomålsmail/A 14487-2022.docx")</f>
        <v/>
      </c>
      <c r="X436">
        <f>HYPERLINK("https://klasma.github.io/Logging_SKOVDE/tillsyn/A 14487-2022.docx")</f>
        <v/>
      </c>
      <c r="Y436">
        <f>HYPERLINK("https://klasma.github.io/Logging_SKOVDE/tillsynsmail/A 14487-2022.docx")</f>
        <v/>
      </c>
    </row>
    <row r="437" ht="15" customHeight="1">
      <c r="A437" t="inlineStr">
        <is>
          <t>A 18264-2022</t>
        </is>
      </c>
      <c r="B437" s="1" t="n">
        <v>44685</v>
      </c>
      <c r="C437" s="1" t="n">
        <v>45182</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c r="T437">
        <f>HYPERLINK("https://klasma.github.io/Logging_TROLLHATTAN/kartor/A 18264-2022.png")</f>
        <v/>
      </c>
      <c r="U437">
        <f>HYPERLINK("https://klasma.github.io/Logging_TROLLHATTAN/knärot/A 18264-2022.png")</f>
        <v/>
      </c>
      <c r="V437">
        <f>HYPERLINK("https://klasma.github.io/Logging_TROLLHATTAN/klagomål/A 18264-2022.docx")</f>
        <v/>
      </c>
      <c r="W437">
        <f>HYPERLINK("https://klasma.github.io/Logging_TROLLHATTAN/klagomålsmail/A 18264-2022.docx")</f>
        <v/>
      </c>
      <c r="X437">
        <f>HYPERLINK("https://klasma.github.io/Logging_TROLLHATTAN/tillsyn/A 18264-2022.docx")</f>
        <v/>
      </c>
      <c r="Y437">
        <f>HYPERLINK("https://klasma.github.io/Logging_TROLLHATTAN/tillsynsmail/A 18264-2022.docx")</f>
        <v/>
      </c>
    </row>
    <row r="438" ht="15" customHeight="1">
      <c r="A438" t="inlineStr">
        <is>
          <t>A 18959-2022</t>
        </is>
      </c>
      <c r="B438" s="1" t="n">
        <v>44690</v>
      </c>
      <c r="C438" s="1" t="n">
        <v>45182</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c r="T438">
        <f>HYPERLINK("https://klasma.github.io/Logging_ULRICEHAMN/kartor/A 18959-2022.png")</f>
        <v/>
      </c>
      <c r="V438">
        <f>HYPERLINK("https://klasma.github.io/Logging_ULRICEHAMN/klagomål/A 18959-2022.docx")</f>
        <v/>
      </c>
      <c r="W438">
        <f>HYPERLINK("https://klasma.github.io/Logging_ULRICEHAMN/klagomålsmail/A 18959-2022.docx")</f>
        <v/>
      </c>
      <c r="X438">
        <f>HYPERLINK("https://klasma.github.io/Logging_ULRICEHAMN/tillsyn/A 18959-2022.docx")</f>
        <v/>
      </c>
      <c r="Y438">
        <f>HYPERLINK("https://klasma.github.io/Logging_ULRICEHAMN/tillsynsmail/A 18959-2022.docx")</f>
        <v/>
      </c>
    </row>
    <row r="439" ht="15" customHeight="1">
      <c r="A439" t="inlineStr">
        <is>
          <t>A 20640-2022</t>
        </is>
      </c>
      <c r="B439" s="1" t="n">
        <v>44700</v>
      </c>
      <c r="C439" s="1" t="n">
        <v>45182</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c r="T439">
        <f>HYPERLINK("https://klasma.github.io/Logging_HARRYDA/kartor/A 20640-2022.png")</f>
        <v/>
      </c>
      <c r="V439">
        <f>HYPERLINK("https://klasma.github.io/Logging_HARRYDA/klagomål/A 20640-2022.docx")</f>
        <v/>
      </c>
      <c r="W439">
        <f>HYPERLINK("https://klasma.github.io/Logging_HARRYDA/klagomålsmail/A 20640-2022.docx")</f>
        <v/>
      </c>
      <c r="X439">
        <f>HYPERLINK("https://klasma.github.io/Logging_HARRYDA/tillsyn/A 20640-2022.docx")</f>
        <v/>
      </c>
      <c r="Y439">
        <f>HYPERLINK("https://klasma.github.io/Logging_HARRYDA/tillsynsmail/A 20640-2022.docx")</f>
        <v/>
      </c>
    </row>
    <row r="440" ht="15" customHeight="1">
      <c r="A440" t="inlineStr">
        <is>
          <t>A 23151-2022</t>
        </is>
      </c>
      <c r="B440" s="1" t="n">
        <v>44719</v>
      </c>
      <c r="C440" s="1" t="n">
        <v>45182</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c r="T440">
        <f>HYPERLINK("https://klasma.github.io/Logging_TANUM/kartor/A 23151-2022.png")</f>
        <v/>
      </c>
      <c r="V440">
        <f>HYPERLINK("https://klasma.github.io/Logging_TANUM/klagomål/A 23151-2022.docx")</f>
        <v/>
      </c>
      <c r="W440">
        <f>HYPERLINK("https://klasma.github.io/Logging_TANUM/klagomålsmail/A 23151-2022.docx")</f>
        <v/>
      </c>
      <c r="X440">
        <f>HYPERLINK("https://klasma.github.io/Logging_TANUM/tillsyn/A 23151-2022.docx")</f>
        <v/>
      </c>
      <c r="Y440">
        <f>HYPERLINK("https://klasma.github.io/Logging_TANUM/tillsynsmail/A 23151-2022.docx")</f>
        <v/>
      </c>
    </row>
    <row r="441" ht="15" customHeight="1">
      <c r="A441" t="inlineStr">
        <is>
          <t>A 25467-2022</t>
        </is>
      </c>
      <c r="B441" s="1" t="n">
        <v>44732</v>
      </c>
      <c r="C441" s="1" t="n">
        <v>45182</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c r="T441">
        <f>HYPERLINK("https://klasma.github.io/Logging_TRANEMO/kartor/A 25467-2022.png")</f>
        <v/>
      </c>
      <c r="V441">
        <f>HYPERLINK("https://klasma.github.io/Logging_TRANEMO/klagomål/A 25467-2022.docx")</f>
        <v/>
      </c>
      <c r="W441">
        <f>HYPERLINK("https://klasma.github.io/Logging_TRANEMO/klagomålsmail/A 25467-2022.docx")</f>
        <v/>
      </c>
      <c r="X441">
        <f>HYPERLINK("https://klasma.github.io/Logging_TRANEMO/tillsyn/A 25467-2022.docx")</f>
        <v/>
      </c>
      <c r="Y441">
        <f>HYPERLINK("https://klasma.github.io/Logging_TRANEMO/tillsynsmail/A 25467-2022.docx")</f>
        <v/>
      </c>
    </row>
    <row r="442" ht="15" customHeight="1">
      <c r="A442" t="inlineStr">
        <is>
          <t>A 25806-2022</t>
        </is>
      </c>
      <c r="B442" s="1" t="n">
        <v>44733</v>
      </c>
      <c r="C442" s="1" t="n">
        <v>45182</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c r="T442">
        <f>HYPERLINK("https://klasma.github.io/Logging_UDDEVALLA/kartor/A 25806-2022.png")</f>
        <v/>
      </c>
      <c r="V442">
        <f>HYPERLINK("https://klasma.github.io/Logging_UDDEVALLA/klagomål/A 25806-2022.docx")</f>
        <v/>
      </c>
      <c r="W442">
        <f>HYPERLINK("https://klasma.github.io/Logging_UDDEVALLA/klagomålsmail/A 25806-2022.docx")</f>
        <v/>
      </c>
      <c r="X442">
        <f>HYPERLINK("https://klasma.github.io/Logging_UDDEVALLA/tillsyn/A 25806-2022.docx")</f>
        <v/>
      </c>
      <c r="Y442">
        <f>HYPERLINK("https://klasma.github.io/Logging_UDDEVALLA/tillsynsmail/A 25806-2022.docx")</f>
        <v/>
      </c>
    </row>
    <row r="443" ht="15" customHeight="1">
      <c r="A443" t="inlineStr">
        <is>
          <t>A 26040-2022</t>
        </is>
      </c>
      <c r="B443" s="1" t="n">
        <v>44734</v>
      </c>
      <c r="C443" s="1" t="n">
        <v>45182</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c r="T443">
        <f>HYPERLINK("https://klasma.github.io/Logging_MUNKEDAL/kartor/A 26040-2022.png")</f>
        <v/>
      </c>
      <c r="V443">
        <f>HYPERLINK("https://klasma.github.io/Logging_MUNKEDAL/klagomål/A 26040-2022.docx")</f>
        <v/>
      </c>
      <c r="W443">
        <f>HYPERLINK("https://klasma.github.io/Logging_MUNKEDAL/klagomålsmail/A 26040-2022.docx")</f>
        <v/>
      </c>
      <c r="X443">
        <f>HYPERLINK("https://klasma.github.io/Logging_MUNKEDAL/tillsyn/A 26040-2022.docx")</f>
        <v/>
      </c>
      <c r="Y443">
        <f>HYPERLINK("https://klasma.github.io/Logging_MUNKEDAL/tillsynsmail/A 26040-2022.docx")</f>
        <v/>
      </c>
    </row>
    <row r="444" ht="15" customHeight="1">
      <c r="A444" t="inlineStr">
        <is>
          <t>A 26867-2022</t>
        </is>
      </c>
      <c r="B444" s="1" t="n">
        <v>44740</v>
      </c>
      <c r="C444" s="1" t="n">
        <v>45182</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c r="T444">
        <f>HYPERLINK("https://klasma.github.io/Logging_BENGTSFORS/kartor/A 26867-2022.png")</f>
        <v/>
      </c>
      <c r="V444">
        <f>HYPERLINK("https://klasma.github.io/Logging_BENGTSFORS/klagomål/A 26867-2022.docx")</f>
        <v/>
      </c>
      <c r="W444">
        <f>HYPERLINK("https://klasma.github.io/Logging_BENGTSFORS/klagomålsmail/A 26867-2022.docx")</f>
        <v/>
      </c>
      <c r="X444">
        <f>HYPERLINK("https://klasma.github.io/Logging_BENGTSFORS/tillsyn/A 26867-2022.docx")</f>
        <v/>
      </c>
      <c r="Y444">
        <f>HYPERLINK("https://klasma.github.io/Logging_BENGTSFORS/tillsynsmail/A 26867-2022.docx")</f>
        <v/>
      </c>
    </row>
    <row r="445" ht="15" customHeight="1">
      <c r="A445" t="inlineStr">
        <is>
          <t>A 29215-2022</t>
        </is>
      </c>
      <c r="B445" s="1" t="n">
        <v>44750</v>
      </c>
      <c r="C445" s="1" t="n">
        <v>45182</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c r="T445">
        <f>HYPERLINK("https://klasma.github.io/Logging_BENGTSFORS/kartor/A 29215-2022.png")</f>
        <v/>
      </c>
      <c r="V445">
        <f>HYPERLINK("https://klasma.github.io/Logging_BENGTSFORS/klagomål/A 29215-2022.docx")</f>
        <v/>
      </c>
      <c r="W445">
        <f>HYPERLINK("https://klasma.github.io/Logging_BENGTSFORS/klagomålsmail/A 29215-2022.docx")</f>
        <v/>
      </c>
      <c r="X445">
        <f>HYPERLINK("https://klasma.github.io/Logging_BENGTSFORS/tillsyn/A 29215-2022.docx")</f>
        <v/>
      </c>
      <c r="Y445">
        <f>HYPERLINK("https://klasma.github.io/Logging_BENGTSFORS/tillsynsmail/A 29215-2022.docx")</f>
        <v/>
      </c>
    </row>
    <row r="446" ht="15" customHeight="1">
      <c r="A446" t="inlineStr">
        <is>
          <t>A 29376-2022</t>
        </is>
      </c>
      <c r="B446" s="1" t="n">
        <v>44753</v>
      </c>
      <c r="C446" s="1" t="n">
        <v>45182</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c r="T446">
        <f>HYPERLINK("https://klasma.github.io/Logging_VANERSBORG/kartor/A 29376-2022.png")</f>
        <v/>
      </c>
      <c r="V446">
        <f>HYPERLINK("https://klasma.github.io/Logging_VANERSBORG/klagomål/A 29376-2022.docx")</f>
        <v/>
      </c>
      <c r="W446">
        <f>HYPERLINK("https://klasma.github.io/Logging_VANERSBORG/klagomålsmail/A 29376-2022.docx")</f>
        <v/>
      </c>
      <c r="X446">
        <f>HYPERLINK("https://klasma.github.io/Logging_VANERSBORG/tillsyn/A 29376-2022.docx")</f>
        <v/>
      </c>
      <c r="Y446">
        <f>HYPERLINK("https://klasma.github.io/Logging_VANERSBORG/tillsynsmail/A 29376-2022.docx")</f>
        <v/>
      </c>
    </row>
    <row r="447" ht="15" customHeight="1">
      <c r="A447" t="inlineStr">
        <is>
          <t>A 29369-2022</t>
        </is>
      </c>
      <c r="B447" s="1" t="n">
        <v>44753</v>
      </c>
      <c r="C447" s="1" t="n">
        <v>45182</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c r="T447">
        <f>HYPERLINK("https://klasma.github.io/Logging_VANERSBORG/kartor/A 29369-2022.png")</f>
        <v/>
      </c>
      <c r="V447">
        <f>HYPERLINK("https://klasma.github.io/Logging_VANERSBORG/klagomål/A 29369-2022.docx")</f>
        <v/>
      </c>
      <c r="W447">
        <f>HYPERLINK("https://klasma.github.io/Logging_VANERSBORG/klagomålsmail/A 29369-2022.docx")</f>
        <v/>
      </c>
      <c r="X447">
        <f>HYPERLINK("https://klasma.github.io/Logging_VANERSBORG/tillsyn/A 29369-2022.docx")</f>
        <v/>
      </c>
      <c r="Y447">
        <f>HYPERLINK("https://klasma.github.io/Logging_VANERSBORG/tillsynsmail/A 29369-2022.docx")</f>
        <v/>
      </c>
    </row>
    <row r="448" ht="15" customHeight="1">
      <c r="A448" t="inlineStr">
        <is>
          <t>A 29375-2022</t>
        </is>
      </c>
      <c r="B448" s="1" t="n">
        <v>44753</v>
      </c>
      <c r="C448" s="1" t="n">
        <v>45182</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c r="T448">
        <f>HYPERLINK("https://klasma.github.io/Logging_VANERSBORG/kartor/A 29375-2022.png")</f>
        <v/>
      </c>
      <c r="V448">
        <f>HYPERLINK("https://klasma.github.io/Logging_VANERSBORG/klagomål/A 29375-2022.docx")</f>
        <v/>
      </c>
      <c r="W448">
        <f>HYPERLINK("https://klasma.github.io/Logging_VANERSBORG/klagomålsmail/A 29375-2022.docx")</f>
        <v/>
      </c>
      <c r="X448">
        <f>HYPERLINK("https://klasma.github.io/Logging_VANERSBORG/tillsyn/A 29375-2022.docx")</f>
        <v/>
      </c>
      <c r="Y448">
        <f>HYPERLINK("https://klasma.github.io/Logging_VANERSBORG/tillsynsmail/A 29375-2022.docx")</f>
        <v/>
      </c>
    </row>
    <row r="449" ht="15" customHeight="1">
      <c r="A449" t="inlineStr">
        <is>
          <t>A 29725-2022</t>
        </is>
      </c>
      <c r="B449" s="1" t="n">
        <v>44755</v>
      </c>
      <c r="C449" s="1" t="n">
        <v>45182</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c r="T449">
        <f>HYPERLINK("https://klasma.github.io/Logging_TIBRO/kartor/A 29725-2022.png")</f>
        <v/>
      </c>
      <c r="U449">
        <f>HYPERLINK("https://klasma.github.io/Logging_TIBRO/knärot/A 29725-2022.png")</f>
        <v/>
      </c>
      <c r="V449">
        <f>HYPERLINK("https://klasma.github.io/Logging_TIBRO/klagomål/A 29725-2022.docx")</f>
        <v/>
      </c>
      <c r="W449">
        <f>HYPERLINK("https://klasma.github.io/Logging_TIBRO/klagomålsmail/A 29725-2022.docx")</f>
        <v/>
      </c>
      <c r="X449">
        <f>HYPERLINK("https://klasma.github.io/Logging_TIBRO/tillsyn/A 29725-2022.docx")</f>
        <v/>
      </c>
      <c r="Y449">
        <f>HYPERLINK("https://klasma.github.io/Logging_TIBRO/tillsynsmail/A 29725-2022.docx")</f>
        <v/>
      </c>
    </row>
    <row r="450" ht="15" customHeight="1">
      <c r="A450" t="inlineStr">
        <is>
          <t>A 30273-2022</t>
        </is>
      </c>
      <c r="B450" s="1" t="n">
        <v>44759</v>
      </c>
      <c r="C450" s="1" t="n">
        <v>45182</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c r="T450">
        <f>HYPERLINK("https://klasma.github.io/Logging_LILLA_EDET/kartor/A 30273-2022.png")</f>
        <v/>
      </c>
      <c r="V450">
        <f>HYPERLINK("https://klasma.github.io/Logging_LILLA_EDET/klagomål/A 30273-2022.docx")</f>
        <v/>
      </c>
      <c r="W450">
        <f>HYPERLINK("https://klasma.github.io/Logging_LILLA_EDET/klagomålsmail/A 30273-2022.docx")</f>
        <v/>
      </c>
      <c r="X450">
        <f>HYPERLINK("https://klasma.github.io/Logging_LILLA_EDET/tillsyn/A 30273-2022.docx")</f>
        <v/>
      </c>
      <c r="Y450">
        <f>HYPERLINK("https://klasma.github.io/Logging_LILLA_EDET/tillsynsmail/A 30273-2022.docx")</f>
        <v/>
      </c>
    </row>
    <row r="451" ht="15" customHeight="1">
      <c r="A451" t="inlineStr">
        <is>
          <t>A 30771-2022</t>
        </is>
      </c>
      <c r="B451" s="1" t="n">
        <v>44764</v>
      </c>
      <c r="C451" s="1" t="n">
        <v>45182</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c r="T451">
        <f>HYPERLINK("https://klasma.github.io/Logging_SVENLJUNGA/kartor/A 30771-2022.png")</f>
        <v/>
      </c>
      <c r="V451">
        <f>HYPERLINK("https://klasma.github.io/Logging_SVENLJUNGA/klagomål/A 30771-2022.docx")</f>
        <v/>
      </c>
      <c r="W451">
        <f>HYPERLINK("https://klasma.github.io/Logging_SVENLJUNGA/klagomålsmail/A 30771-2022.docx")</f>
        <v/>
      </c>
      <c r="X451">
        <f>HYPERLINK("https://klasma.github.io/Logging_SVENLJUNGA/tillsyn/A 30771-2022.docx")</f>
        <v/>
      </c>
      <c r="Y451">
        <f>HYPERLINK("https://klasma.github.io/Logging_SVENLJUNGA/tillsynsmail/A 30771-2022.docx")</f>
        <v/>
      </c>
    </row>
    <row r="452" ht="15" customHeight="1">
      <c r="A452" t="inlineStr">
        <is>
          <t>A 34381-2022</t>
        </is>
      </c>
      <c r="B452" s="1" t="n">
        <v>44792</v>
      </c>
      <c r="C452" s="1" t="n">
        <v>45182</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c r="T452">
        <f>HYPERLINK("https://klasma.github.io/Logging_VANERSBORG/kartor/A 34381-2022.png")</f>
        <v/>
      </c>
      <c r="V452">
        <f>HYPERLINK("https://klasma.github.io/Logging_VANERSBORG/klagomål/A 34381-2022.docx")</f>
        <v/>
      </c>
      <c r="W452">
        <f>HYPERLINK("https://klasma.github.io/Logging_VANERSBORG/klagomålsmail/A 34381-2022.docx")</f>
        <v/>
      </c>
      <c r="X452">
        <f>HYPERLINK("https://klasma.github.io/Logging_VANERSBORG/tillsyn/A 34381-2022.docx")</f>
        <v/>
      </c>
      <c r="Y452">
        <f>HYPERLINK("https://klasma.github.io/Logging_VANERSBORG/tillsynsmail/A 34381-2022.docx")</f>
        <v/>
      </c>
    </row>
    <row r="453" ht="15" customHeight="1">
      <c r="A453" t="inlineStr">
        <is>
          <t>A 34918-2022</t>
        </is>
      </c>
      <c r="B453" s="1" t="n">
        <v>44796</v>
      </c>
      <c r="C453" s="1" t="n">
        <v>45182</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c r="T453">
        <f>HYPERLINK("https://klasma.github.io/Logging_VARA/kartor/A 34918-2022.png")</f>
        <v/>
      </c>
      <c r="V453">
        <f>HYPERLINK("https://klasma.github.io/Logging_VARA/klagomål/A 34918-2022.docx")</f>
        <v/>
      </c>
      <c r="W453">
        <f>HYPERLINK("https://klasma.github.io/Logging_VARA/klagomålsmail/A 34918-2022.docx")</f>
        <v/>
      </c>
      <c r="X453">
        <f>HYPERLINK("https://klasma.github.io/Logging_VARA/tillsyn/A 34918-2022.docx")</f>
        <v/>
      </c>
      <c r="Y453">
        <f>HYPERLINK("https://klasma.github.io/Logging_VARA/tillsynsmail/A 34918-2022.docx")</f>
        <v/>
      </c>
    </row>
    <row r="454" ht="15" customHeight="1">
      <c r="A454" t="inlineStr">
        <is>
          <t>A 35454-2022</t>
        </is>
      </c>
      <c r="B454" s="1" t="n">
        <v>44798</v>
      </c>
      <c r="C454" s="1" t="n">
        <v>45182</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c r="T454">
        <f>HYPERLINK("https://klasma.github.io/Logging_MELLERUD/kartor/A 35454-2022.png")</f>
        <v/>
      </c>
      <c r="V454">
        <f>HYPERLINK("https://klasma.github.io/Logging_MELLERUD/klagomål/A 35454-2022.docx")</f>
        <v/>
      </c>
      <c r="W454">
        <f>HYPERLINK("https://klasma.github.io/Logging_MELLERUD/klagomålsmail/A 35454-2022.docx")</f>
        <v/>
      </c>
      <c r="X454">
        <f>HYPERLINK("https://klasma.github.io/Logging_MELLERUD/tillsyn/A 35454-2022.docx")</f>
        <v/>
      </c>
      <c r="Y454">
        <f>HYPERLINK("https://klasma.github.io/Logging_MELLERUD/tillsynsmail/A 35454-2022.docx")</f>
        <v/>
      </c>
    </row>
    <row r="455" ht="15" customHeight="1">
      <c r="A455" t="inlineStr">
        <is>
          <t>A 36973-2022</t>
        </is>
      </c>
      <c r="B455" s="1" t="n">
        <v>44805</v>
      </c>
      <c r="C455" s="1" t="n">
        <v>45182</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c r="T455">
        <f>HYPERLINK("https://klasma.github.io/Logging_FALKOPING/kartor/A 36973-2022.png")</f>
        <v/>
      </c>
      <c r="V455">
        <f>HYPERLINK("https://klasma.github.io/Logging_FALKOPING/klagomål/A 36973-2022.docx")</f>
        <v/>
      </c>
      <c r="W455">
        <f>HYPERLINK("https://klasma.github.io/Logging_FALKOPING/klagomålsmail/A 36973-2022.docx")</f>
        <v/>
      </c>
      <c r="X455">
        <f>HYPERLINK("https://klasma.github.io/Logging_FALKOPING/tillsyn/A 36973-2022.docx")</f>
        <v/>
      </c>
      <c r="Y455">
        <f>HYPERLINK("https://klasma.github.io/Logging_FALKOPING/tillsynsmail/A 36973-2022.docx")</f>
        <v/>
      </c>
    </row>
    <row r="456" ht="15" customHeight="1">
      <c r="A456" t="inlineStr">
        <is>
          <t>A 37428-2022</t>
        </is>
      </c>
      <c r="B456" s="1" t="n">
        <v>44809</v>
      </c>
      <c r="C456" s="1" t="n">
        <v>45182</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c r="T456">
        <f>HYPERLINK("https://klasma.github.io/Logging_ORUST/kartor/A 37428-2022.png")</f>
        <v/>
      </c>
      <c r="U456">
        <f>HYPERLINK("https://klasma.github.io/Logging_ORUST/knärot/A 37428-2022.png")</f>
        <v/>
      </c>
      <c r="V456">
        <f>HYPERLINK("https://klasma.github.io/Logging_ORUST/klagomål/A 37428-2022.docx")</f>
        <v/>
      </c>
      <c r="W456">
        <f>HYPERLINK("https://klasma.github.io/Logging_ORUST/klagomålsmail/A 37428-2022.docx")</f>
        <v/>
      </c>
      <c r="X456">
        <f>HYPERLINK("https://klasma.github.io/Logging_ORUST/tillsyn/A 37428-2022.docx")</f>
        <v/>
      </c>
      <c r="Y456">
        <f>HYPERLINK("https://klasma.github.io/Logging_ORUST/tillsynsmail/A 37428-2022.docx")</f>
        <v/>
      </c>
    </row>
    <row r="457" ht="15" customHeight="1">
      <c r="A457" t="inlineStr">
        <is>
          <t>A 39092-2022</t>
        </is>
      </c>
      <c r="B457" s="1" t="n">
        <v>44817</v>
      </c>
      <c r="C457" s="1" t="n">
        <v>45182</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c r="T457">
        <f>HYPERLINK("https://klasma.github.io/Logging_SKOVDE/kartor/A 39092-2022.png")</f>
        <v/>
      </c>
      <c r="V457">
        <f>HYPERLINK("https://klasma.github.io/Logging_SKOVDE/klagomål/A 39092-2022.docx")</f>
        <v/>
      </c>
      <c r="W457">
        <f>HYPERLINK("https://klasma.github.io/Logging_SKOVDE/klagomålsmail/A 39092-2022.docx")</f>
        <v/>
      </c>
      <c r="X457">
        <f>HYPERLINK("https://klasma.github.io/Logging_SKOVDE/tillsyn/A 39092-2022.docx")</f>
        <v/>
      </c>
      <c r="Y457">
        <f>HYPERLINK("https://klasma.github.io/Logging_SKOVDE/tillsynsmail/A 39092-2022.docx")</f>
        <v/>
      </c>
    </row>
    <row r="458" ht="15" customHeight="1">
      <c r="A458" t="inlineStr">
        <is>
          <t>A 40355-2022</t>
        </is>
      </c>
      <c r="B458" s="1" t="n">
        <v>44818</v>
      </c>
      <c r="C458" s="1" t="n">
        <v>45182</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c r="T458">
        <f>HYPERLINK("https://klasma.github.io/Logging_DALS-ED/kartor/A 40355-2022.png")</f>
        <v/>
      </c>
      <c r="V458">
        <f>HYPERLINK("https://klasma.github.io/Logging_DALS-ED/klagomål/A 40355-2022.docx")</f>
        <v/>
      </c>
      <c r="W458">
        <f>HYPERLINK("https://klasma.github.io/Logging_DALS-ED/klagomålsmail/A 40355-2022.docx")</f>
        <v/>
      </c>
      <c r="X458">
        <f>HYPERLINK("https://klasma.github.io/Logging_DALS-ED/tillsyn/A 40355-2022.docx")</f>
        <v/>
      </c>
      <c r="Y458">
        <f>HYPERLINK("https://klasma.github.io/Logging_DALS-ED/tillsynsmail/A 40355-2022.docx")</f>
        <v/>
      </c>
    </row>
    <row r="459" ht="15" customHeight="1">
      <c r="A459" t="inlineStr">
        <is>
          <t>A 41724-2022</t>
        </is>
      </c>
      <c r="B459" s="1" t="n">
        <v>44827</v>
      </c>
      <c r="C459" s="1" t="n">
        <v>45182</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c r="T459">
        <f>HYPERLINK("https://klasma.github.io/Logging_GOTENE/kartor/A 41724-2022.png")</f>
        <v/>
      </c>
      <c r="V459">
        <f>HYPERLINK("https://klasma.github.io/Logging_GOTENE/klagomål/A 41724-2022.docx")</f>
        <v/>
      </c>
      <c r="W459">
        <f>HYPERLINK("https://klasma.github.io/Logging_GOTENE/klagomålsmail/A 41724-2022.docx")</f>
        <v/>
      </c>
      <c r="X459">
        <f>HYPERLINK("https://klasma.github.io/Logging_GOTENE/tillsyn/A 41724-2022.docx")</f>
        <v/>
      </c>
      <c r="Y459">
        <f>HYPERLINK("https://klasma.github.io/Logging_GOTENE/tillsynsmail/A 41724-2022.docx")</f>
        <v/>
      </c>
    </row>
    <row r="460" ht="15" customHeight="1">
      <c r="A460" t="inlineStr">
        <is>
          <t>A 42776-2022</t>
        </is>
      </c>
      <c r="B460" s="1" t="n">
        <v>44832</v>
      </c>
      <c r="C460" s="1" t="n">
        <v>45182</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c r="T460">
        <f>HYPERLINK("https://klasma.github.io/Logging_GULLSPANG/kartor/A 42776-2022.png")</f>
        <v/>
      </c>
      <c r="V460">
        <f>HYPERLINK("https://klasma.github.io/Logging_GULLSPANG/klagomål/A 42776-2022.docx")</f>
        <v/>
      </c>
      <c r="W460">
        <f>HYPERLINK("https://klasma.github.io/Logging_GULLSPANG/klagomålsmail/A 42776-2022.docx")</f>
        <v/>
      </c>
      <c r="X460">
        <f>HYPERLINK("https://klasma.github.io/Logging_GULLSPANG/tillsyn/A 42776-2022.docx")</f>
        <v/>
      </c>
      <c r="Y460">
        <f>HYPERLINK("https://klasma.github.io/Logging_GULLSPANG/tillsynsmail/A 42776-2022.docx")</f>
        <v/>
      </c>
    </row>
    <row r="461" ht="15" customHeight="1">
      <c r="A461" t="inlineStr">
        <is>
          <t>A 43859-2022</t>
        </is>
      </c>
      <c r="B461" s="1" t="n">
        <v>44837</v>
      </c>
      <c r="C461" s="1" t="n">
        <v>45182</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c r="T461">
        <f>HYPERLINK("https://klasma.github.io/Logging_SKOVDE/kartor/A 43859-2022.png")</f>
        <v/>
      </c>
      <c r="V461">
        <f>HYPERLINK("https://klasma.github.io/Logging_SKOVDE/klagomål/A 43859-2022.docx")</f>
        <v/>
      </c>
      <c r="W461">
        <f>HYPERLINK("https://klasma.github.io/Logging_SKOVDE/klagomålsmail/A 43859-2022.docx")</f>
        <v/>
      </c>
      <c r="X461">
        <f>HYPERLINK("https://klasma.github.io/Logging_SKOVDE/tillsyn/A 43859-2022.docx")</f>
        <v/>
      </c>
      <c r="Y461">
        <f>HYPERLINK("https://klasma.github.io/Logging_SKOVDE/tillsynsmail/A 43859-2022.docx")</f>
        <v/>
      </c>
    </row>
    <row r="462" ht="15" customHeight="1">
      <c r="A462" t="inlineStr">
        <is>
          <t>A 46768-2022</t>
        </is>
      </c>
      <c r="B462" s="1" t="n">
        <v>44848</v>
      </c>
      <c r="C462" s="1" t="n">
        <v>45182</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c r="T462">
        <f>HYPERLINK("https://klasma.github.io/Logging_ALINGSAS/kartor/A 46768-2022.png")</f>
        <v/>
      </c>
      <c r="V462">
        <f>HYPERLINK("https://klasma.github.io/Logging_ALINGSAS/klagomål/A 46768-2022.docx")</f>
        <v/>
      </c>
      <c r="W462">
        <f>HYPERLINK("https://klasma.github.io/Logging_ALINGSAS/klagomålsmail/A 46768-2022.docx")</f>
        <v/>
      </c>
      <c r="X462">
        <f>HYPERLINK("https://klasma.github.io/Logging_ALINGSAS/tillsyn/A 46768-2022.docx")</f>
        <v/>
      </c>
      <c r="Y462">
        <f>HYPERLINK("https://klasma.github.io/Logging_ALINGSAS/tillsynsmail/A 46768-2022.docx")</f>
        <v/>
      </c>
    </row>
    <row r="463" ht="15" customHeight="1">
      <c r="A463" t="inlineStr">
        <is>
          <t>A 47881-2022</t>
        </is>
      </c>
      <c r="B463" s="1" t="n">
        <v>44855</v>
      </c>
      <c r="C463" s="1" t="n">
        <v>45182</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c r="T463">
        <f>HYPERLINK("https://klasma.github.io/Logging_MUNKEDAL/kartor/A 47881-2022.png")</f>
        <v/>
      </c>
      <c r="V463">
        <f>HYPERLINK("https://klasma.github.io/Logging_MUNKEDAL/klagomål/A 47881-2022.docx")</f>
        <v/>
      </c>
      <c r="W463">
        <f>HYPERLINK("https://klasma.github.io/Logging_MUNKEDAL/klagomålsmail/A 47881-2022.docx")</f>
        <v/>
      </c>
      <c r="X463">
        <f>HYPERLINK("https://klasma.github.io/Logging_MUNKEDAL/tillsyn/A 47881-2022.docx")</f>
        <v/>
      </c>
      <c r="Y463">
        <f>HYPERLINK("https://klasma.github.io/Logging_MUNKEDAL/tillsynsmail/A 47881-2022.docx")</f>
        <v/>
      </c>
    </row>
    <row r="464" ht="15" customHeight="1">
      <c r="A464" t="inlineStr">
        <is>
          <t>A 49969-2022</t>
        </is>
      </c>
      <c r="B464" s="1" t="n">
        <v>44859</v>
      </c>
      <c r="C464" s="1" t="n">
        <v>45182</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c r="T464">
        <f>HYPERLINK("https://klasma.github.io/Logging_LIDKOPING/kartor/A 49969-2022.png")</f>
        <v/>
      </c>
      <c r="V464">
        <f>HYPERLINK("https://klasma.github.io/Logging_LIDKOPING/klagomål/A 49969-2022.docx")</f>
        <v/>
      </c>
      <c r="W464">
        <f>HYPERLINK("https://klasma.github.io/Logging_LIDKOPING/klagomålsmail/A 49969-2022.docx")</f>
        <v/>
      </c>
      <c r="X464">
        <f>HYPERLINK("https://klasma.github.io/Logging_LIDKOPING/tillsyn/A 49969-2022.docx")</f>
        <v/>
      </c>
      <c r="Y464">
        <f>HYPERLINK("https://klasma.github.io/Logging_LIDKOPING/tillsynsmail/A 49969-2022.docx")</f>
        <v/>
      </c>
    </row>
    <row r="465" ht="15" customHeight="1">
      <c r="A465" t="inlineStr">
        <is>
          <t>A 50293-2022</t>
        </is>
      </c>
      <c r="B465" s="1" t="n">
        <v>44865</v>
      </c>
      <c r="C465" s="1" t="n">
        <v>45182</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c r="T465">
        <f>HYPERLINK("https://klasma.github.io/Logging_TIDAHOLM/kartor/A 50293-2022.png")</f>
        <v/>
      </c>
      <c r="V465">
        <f>HYPERLINK("https://klasma.github.io/Logging_TIDAHOLM/klagomål/A 50293-2022.docx")</f>
        <v/>
      </c>
      <c r="W465">
        <f>HYPERLINK("https://klasma.github.io/Logging_TIDAHOLM/klagomålsmail/A 50293-2022.docx")</f>
        <v/>
      </c>
      <c r="X465">
        <f>HYPERLINK("https://klasma.github.io/Logging_TIDAHOLM/tillsyn/A 50293-2022.docx")</f>
        <v/>
      </c>
      <c r="Y465">
        <f>HYPERLINK("https://klasma.github.io/Logging_TIDAHOLM/tillsynsmail/A 50293-2022.docx")</f>
        <v/>
      </c>
    </row>
    <row r="466" ht="15" customHeight="1">
      <c r="A466" t="inlineStr">
        <is>
          <t>A 50515-2022</t>
        </is>
      </c>
      <c r="B466" s="1" t="n">
        <v>44866</v>
      </c>
      <c r="C466" s="1" t="n">
        <v>45182</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c r="T466">
        <f>HYPERLINK("https://klasma.github.io/Logging_TRANEMO/kartor/A 50515-2022.png")</f>
        <v/>
      </c>
      <c r="V466">
        <f>HYPERLINK("https://klasma.github.io/Logging_TRANEMO/klagomål/A 50515-2022.docx")</f>
        <v/>
      </c>
      <c r="W466">
        <f>HYPERLINK("https://klasma.github.io/Logging_TRANEMO/klagomålsmail/A 50515-2022.docx")</f>
        <v/>
      </c>
      <c r="X466">
        <f>HYPERLINK("https://klasma.github.io/Logging_TRANEMO/tillsyn/A 50515-2022.docx")</f>
        <v/>
      </c>
      <c r="Y466">
        <f>HYPERLINK("https://klasma.github.io/Logging_TRANEMO/tillsynsmail/A 50515-2022.docx")</f>
        <v/>
      </c>
    </row>
    <row r="467" ht="15" customHeight="1">
      <c r="A467" t="inlineStr">
        <is>
          <t>A 51770-2022</t>
        </is>
      </c>
      <c r="B467" s="1" t="n">
        <v>44872</v>
      </c>
      <c r="C467" s="1" t="n">
        <v>45182</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c r="T467">
        <f>HYPERLINK("https://klasma.github.io/Logging_ULRICEHAMN/kartor/A 51770-2022.png")</f>
        <v/>
      </c>
      <c r="V467">
        <f>HYPERLINK("https://klasma.github.io/Logging_ULRICEHAMN/klagomål/A 51770-2022.docx")</f>
        <v/>
      </c>
      <c r="W467">
        <f>HYPERLINK("https://klasma.github.io/Logging_ULRICEHAMN/klagomålsmail/A 51770-2022.docx")</f>
        <v/>
      </c>
      <c r="X467">
        <f>HYPERLINK("https://klasma.github.io/Logging_ULRICEHAMN/tillsyn/A 51770-2022.docx")</f>
        <v/>
      </c>
      <c r="Y467">
        <f>HYPERLINK("https://klasma.github.io/Logging_ULRICEHAMN/tillsynsmail/A 51770-2022.docx")</f>
        <v/>
      </c>
    </row>
    <row r="468" ht="15" customHeight="1">
      <c r="A468" t="inlineStr">
        <is>
          <t>A 53397-2022</t>
        </is>
      </c>
      <c r="B468" s="1" t="n">
        <v>44879</v>
      </c>
      <c r="C468" s="1" t="n">
        <v>45182</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c r="T468">
        <f>HYPERLINK("https://klasma.github.io/Logging_TANUM/kartor/A 53397-2022.png")</f>
        <v/>
      </c>
      <c r="V468">
        <f>HYPERLINK("https://klasma.github.io/Logging_TANUM/klagomål/A 53397-2022.docx")</f>
        <v/>
      </c>
      <c r="W468">
        <f>HYPERLINK("https://klasma.github.io/Logging_TANUM/klagomålsmail/A 53397-2022.docx")</f>
        <v/>
      </c>
      <c r="X468">
        <f>HYPERLINK("https://klasma.github.io/Logging_TANUM/tillsyn/A 53397-2022.docx")</f>
        <v/>
      </c>
      <c r="Y468">
        <f>HYPERLINK("https://klasma.github.io/Logging_TANUM/tillsynsmail/A 53397-2022.docx")</f>
        <v/>
      </c>
    </row>
    <row r="469" ht="15" customHeight="1">
      <c r="A469" t="inlineStr">
        <is>
          <t>A 53555-2022</t>
        </is>
      </c>
      <c r="B469" s="1" t="n">
        <v>44879</v>
      </c>
      <c r="C469" s="1" t="n">
        <v>45182</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c r="T469">
        <f>HYPERLINK("https://klasma.github.io/Logging_ULRICEHAMN/kartor/A 53555-2022.png")</f>
        <v/>
      </c>
      <c r="V469">
        <f>HYPERLINK("https://klasma.github.io/Logging_ULRICEHAMN/klagomål/A 53555-2022.docx")</f>
        <v/>
      </c>
      <c r="W469">
        <f>HYPERLINK("https://klasma.github.io/Logging_ULRICEHAMN/klagomålsmail/A 53555-2022.docx")</f>
        <v/>
      </c>
      <c r="X469">
        <f>HYPERLINK("https://klasma.github.io/Logging_ULRICEHAMN/tillsyn/A 53555-2022.docx")</f>
        <v/>
      </c>
      <c r="Y469">
        <f>HYPERLINK("https://klasma.github.io/Logging_ULRICEHAMN/tillsynsmail/A 53555-2022.docx")</f>
        <v/>
      </c>
    </row>
    <row r="470" ht="15" customHeight="1">
      <c r="A470" t="inlineStr">
        <is>
          <t>A 54032-2022</t>
        </is>
      </c>
      <c r="B470" s="1" t="n">
        <v>44881</v>
      </c>
      <c r="C470" s="1" t="n">
        <v>45182</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c r="T470">
        <f>HYPERLINK("https://klasma.github.io/Logging_BENGTSFORS/kartor/A 54032-2022.png")</f>
        <v/>
      </c>
      <c r="V470">
        <f>HYPERLINK("https://klasma.github.io/Logging_BENGTSFORS/klagomål/A 54032-2022.docx")</f>
        <v/>
      </c>
      <c r="W470">
        <f>HYPERLINK("https://klasma.github.io/Logging_BENGTSFORS/klagomålsmail/A 54032-2022.docx")</f>
        <v/>
      </c>
      <c r="X470">
        <f>HYPERLINK("https://klasma.github.io/Logging_BENGTSFORS/tillsyn/A 54032-2022.docx")</f>
        <v/>
      </c>
      <c r="Y470">
        <f>HYPERLINK("https://klasma.github.io/Logging_BENGTSFORS/tillsynsmail/A 54032-2022.docx")</f>
        <v/>
      </c>
    </row>
    <row r="471" ht="15" customHeight="1">
      <c r="A471" t="inlineStr">
        <is>
          <t>A 56006-2022</t>
        </is>
      </c>
      <c r="B471" s="1" t="n">
        <v>44889</v>
      </c>
      <c r="C471" s="1" t="n">
        <v>45182</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c r="T471">
        <f>HYPERLINK("https://klasma.github.io/Logging_BENGTSFORS/kartor/A 56006-2022.png")</f>
        <v/>
      </c>
      <c r="V471">
        <f>HYPERLINK("https://klasma.github.io/Logging_BENGTSFORS/klagomål/A 56006-2022.docx")</f>
        <v/>
      </c>
      <c r="W471">
        <f>HYPERLINK("https://klasma.github.io/Logging_BENGTSFORS/klagomålsmail/A 56006-2022.docx")</f>
        <v/>
      </c>
      <c r="X471">
        <f>HYPERLINK("https://klasma.github.io/Logging_BENGTSFORS/tillsyn/A 56006-2022.docx")</f>
        <v/>
      </c>
      <c r="Y471">
        <f>HYPERLINK("https://klasma.github.io/Logging_BENGTSFORS/tillsynsmail/A 56006-2022.docx")</f>
        <v/>
      </c>
    </row>
    <row r="472" ht="15" customHeight="1">
      <c r="A472" t="inlineStr">
        <is>
          <t>A 56911-2022</t>
        </is>
      </c>
      <c r="B472" s="1" t="n">
        <v>44894</v>
      </c>
      <c r="C472" s="1" t="n">
        <v>45182</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c r="T472">
        <f>HYPERLINK("https://klasma.github.io/Logging_LERUM/kartor/A 56911-2022.png")</f>
        <v/>
      </c>
      <c r="V472">
        <f>HYPERLINK("https://klasma.github.io/Logging_LERUM/klagomål/A 56911-2022.docx")</f>
        <v/>
      </c>
      <c r="W472">
        <f>HYPERLINK("https://klasma.github.io/Logging_LERUM/klagomålsmail/A 56911-2022.docx")</f>
        <v/>
      </c>
      <c r="X472">
        <f>HYPERLINK("https://klasma.github.io/Logging_LERUM/tillsyn/A 56911-2022.docx")</f>
        <v/>
      </c>
      <c r="Y472">
        <f>HYPERLINK("https://klasma.github.io/Logging_LERUM/tillsynsmail/A 56911-2022.docx")</f>
        <v/>
      </c>
    </row>
    <row r="473" ht="15" customHeight="1">
      <c r="A473" t="inlineStr">
        <is>
          <t>A 58906-2022</t>
        </is>
      </c>
      <c r="B473" s="1" t="n">
        <v>44896</v>
      </c>
      <c r="C473" s="1" t="n">
        <v>45182</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c r="T473">
        <f>HYPERLINK("https://klasma.github.io/Logging_MELLERUD/kartor/A 58906-2022.png")</f>
        <v/>
      </c>
      <c r="V473">
        <f>HYPERLINK("https://klasma.github.io/Logging_MELLERUD/klagomål/A 58906-2022.docx")</f>
        <v/>
      </c>
      <c r="W473">
        <f>HYPERLINK("https://klasma.github.io/Logging_MELLERUD/klagomålsmail/A 58906-2022.docx")</f>
        <v/>
      </c>
      <c r="X473">
        <f>HYPERLINK("https://klasma.github.io/Logging_MELLERUD/tillsyn/A 58906-2022.docx")</f>
        <v/>
      </c>
      <c r="Y473">
        <f>HYPERLINK("https://klasma.github.io/Logging_MELLERUD/tillsynsmail/A 58906-2022.docx")</f>
        <v/>
      </c>
    </row>
    <row r="474" ht="15" customHeight="1">
      <c r="A474" t="inlineStr">
        <is>
          <t>A 60616-2022</t>
        </is>
      </c>
      <c r="B474" s="1" t="n">
        <v>44906</v>
      </c>
      <c r="C474" s="1" t="n">
        <v>45182</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c r="T474">
        <f>HYPERLINK("https://klasma.github.io/Logging_FALKOPING/kartor/A 60616-2022.png")</f>
        <v/>
      </c>
      <c r="V474">
        <f>HYPERLINK("https://klasma.github.io/Logging_FALKOPING/klagomål/A 60616-2022.docx")</f>
        <v/>
      </c>
      <c r="W474">
        <f>HYPERLINK("https://klasma.github.io/Logging_FALKOPING/klagomålsmail/A 60616-2022.docx")</f>
        <v/>
      </c>
      <c r="X474">
        <f>HYPERLINK("https://klasma.github.io/Logging_FALKOPING/tillsyn/A 60616-2022.docx")</f>
        <v/>
      </c>
      <c r="Y474">
        <f>HYPERLINK("https://klasma.github.io/Logging_FALKOPING/tillsynsmail/A 60616-2022.docx")</f>
        <v/>
      </c>
    </row>
    <row r="475" ht="15" customHeight="1">
      <c r="A475" t="inlineStr">
        <is>
          <t>A 100-2023</t>
        </is>
      </c>
      <c r="B475" s="1" t="n">
        <v>44928</v>
      </c>
      <c r="C475" s="1" t="n">
        <v>45182</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c r="T475">
        <f>HYPERLINK("https://klasma.github.io/Logging_SKOVDE/kartor/A 100-2023.png")</f>
        <v/>
      </c>
      <c r="V475">
        <f>HYPERLINK("https://klasma.github.io/Logging_SKOVDE/klagomål/A 100-2023.docx")</f>
        <v/>
      </c>
      <c r="W475">
        <f>HYPERLINK("https://klasma.github.io/Logging_SKOVDE/klagomålsmail/A 100-2023.docx")</f>
        <v/>
      </c>
      <c r="X475">
        <f>HYPERLINK("https://klasma.github.io/Logging_SKOVDE/tillsyn/A 100-2023.docx")</f>
        <v/>
      </c>
      <c r="Y475">
        <f>HYPERLINK("https://klasma.github.io/Logging_SKOVDE/tillsynsmail/A 100-2023.docx")</f>
        <v/>
      </c>
    </row>
    <row r="476" ht="15" customHeight="1">
      <c r="A476" t="inlineStr">
        <is>
          <t>A 236-2023</t>
        </is>
      </c>
      <c r="B476" s="1" t="n">
        <v>44928</v>
      </c>
      <c r="C476" s="1" t="n">
        <v>45182</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c r="T476">
        <f>HYPERLINK("https://klasma.github.io/Logging_UDDEVALLA/kartor/A 236-2023.png")</f>
        <v/>
      </c>
      <c r="V476">
        <f>HYPERLINK("https://klasma.github.io/Logging_UDDEVALLA/klagomål/A 236-2023.docx")</f>
        <v/>
      </c>
      <c r="W476">
        <f>HYPERLINK("https://klasma.github.io/Logging_UDDEVALLA/klagomålsmail/A 236-2023.docx")</f>
        <v/>
      </c>
      <c r="X476">
        <f>HYPERLINK("https://klasma.github.io/Logging_UDDEVALLA/tillsyn/A 236-2023.docx")</f>
        <v/>
      </c>
      <c r="Y476">
        <f>HYPERLINK("https://klasma.github.io/Logging_UDDEVALLA/tillsynsmail/A 236-2023.docx")</f>
        <v/>
      </c>
    </row>
    <row r="477" ht="15" customHeight="1">
      <c r="A477" t="inlineStr">
        <is>
          <t>A 426-2023</t>
        </is>
      </c>
      <c r="B477" s="1" t="n">
        <v>44929</v>
      </c>
      <c r="C477" s="1" t="n">
        <v>45182</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c r="T477">
        <f>HYPERLINK("https://klasma.github.io/Logging_TIBRO/kartor/A 426-2023.png")</f>
        <v/>
      </c>
      <c r="V477">
        <f>HYPERLINK("https://klasma.github.io/Logging_TIBRO/klagomål/A 426-2023.docx")</f>
        <v/>
      </c>
      <c r="W477">
        <f>HYPERLINK("https://klasma.github.io/Logging_TIBRO/klagomålsmail/A 426-2023.docx")</f>
        <v/>
      </c>
      <c r="X477">
        <f>HYPERLINK("https://klasma.github.io/Logging_TIBRO/tillsyn/A 426-2023.docx")</f>
        <v/>
      </c>
      <c r="Y477">
        <f>HYPERLINK("https://klasma.github.io/Logging_TIBRO/tillsynsmail/A 426-2023.docx")</f>
        <v/>
      </c>
    </row>
    <row r="478" ht="15" customHeight="1">
      <c r="A478" t="inlineStr">
        <is>
          <t>A 1591-2023</t>
        </is>
      </c>
      <c r="B478" s="1" t="n">
        <v>44937</v>
      </c>
      <c r="C478" s="1" t="n">
        <v>45182</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c r="T478">
        <f>HYPERLINK("https://klasma.github.io/Logging_TOREBODA/kartor/A 1591-2023.png")</f>
        <v/>
      </c>
      <c r="V478">
        <f>HYPERLINK("https://klasma.github.io/Logging_TOREBODA/klagomål/A 1591-2023.docx")</f>
        <v/>
      </c>
      <c r="W478">
        <f>HYPERLINK("https://klasma.github.io/Logging_TOREBODA/klagomålsmail/A 1591-2023.docx")</f>
        <v/>
      </c>
      <c r="X478">
        <f>HYPERLINK("https://klasma.github.io/Logging_TOREBODA/tillsyn/A 1591-2023.docx")</f>
        <v/>
      </c>
      <c r="Y478">
        <f>HYPERLINK("https://klasma.github.io/Logging_TOREBODA/tillsynsmail/A 1591-2023.docx")</f>
        <v/>
      </c>
    </row>
    <row r="479" ht="15" customHeight="1">
      <c r="A479" t="inlineStr">
        <is>
          <t>A 2555-2023</t>
        </is>
      </c>
      <c r="B479" s="1" t="n">
        <v>44943</v>
      </c>
      <c r="C479" s="1" t="n">
        <v>45182</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c r="T479">
        <f>HYPERLINK("https://klasma.github.io/Logging_MUNKEDAL/kartor/A 2555-2023.png")</f>
        <v/>
      </c>
      <c r="V479">
        <f>HYPERLINK("https://klasma.github.io/Logging_MUNKEDAL/klagomål/A 2555-2023.docx")</f>
        <v/>
      </c>
      <c r="W479">
        <f>HYPERLINK("https://klasma.github.io/Logging_MUNKEDAL/klagomålsmail/A 2555-2023.docx")</f>
        <v/>
      </c>
      <c r="X479">
        <f>HYPERLINK("https://klasma.github.io/Logging_MUNKEDAL/tillsyn/A 2555-2023.docx")</f>
        <v/>
      </c>
      <c r="Y479">
        <f>HYPERLINK("https://klasma.github.io/Logging_MUNKEDAL/tillsynsmail/A 2555-2023.docx")</f>
        <v/>
      </c>
    </row>
    <row r="480" ht="15" customHeight="1">
      <c r="A480" t="inlineStr">
        <is>
          <t>A 3247-2023</t>
        </is>
      </c>
      <c r="B480" s="1" t="n">
        <v>44947</v>
      </c>
      <c r="C480" s="1" t="n">
        <v>45182</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c r="T480">
        <f>HYPERLINK("https://klasma.github.io/Logging_TRANEMO/kartor/A 3247-2023.png")</f>
        <v/>
      </c>
      <c r="V480">
        <f>HYPERLINK("https://klasma.github.io/Logging_TRANEMO/klagomål/A 3247-2023.docx")</f>
        <v/>
      </c>
      <c r="W480">
        <f>HYPERLINK("https://klasma.github.io/Logging_TRANEMO/klagomålsmail/A 3247-2023.docx")</f>
        <v/>
      </c>
      <c r="X480">
        <f>HYPERLINK("https://klasma.github.io/Logging_TRANEMO/tillsyn/A 3247-2023.docx")</f>
        <v/>
      </c>
      <c r="Y480">
        <f>HYPERLINK("https://klasma.github.io/Logging_TRANEMO/tillsynsmail/A 3247-2023.docx")</f>
        <v/>
      </c>
    </row>
    <row r="481" ht="15" customHeight="1">
      <c r="A481" t="inlineStr">
        <is>
          <t>A 3272-2023</t>
        </is>
      </c>
      <c r="B481" s="1" t="n">
        <v>44949</v>
      </c>
      <c r="C481" s="1" t="n">
        <v>45182</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c r="T481">
        <f>HYPERLINK("https://klasma.github.io/Logging_TJORN/kartor/A 3272-2023.png")</f>
        <v/>
      </c>
      <c r="V481">
        <f>HYPERLINK("https://klasma.github.io/Logging_TJORN/klagomål/A 3272-2023.docx")</f>
        <v/>
      </c>
      <c r="W481">
        <f>HYPERLINK("https://klasma.github.io/Logging_TJORN/klagomålsmail/A 3272-2023.docx")</f>
        <v/>
      </c>
      <c r="X481">
        <f>HYPERLINK("https://klasma.github.io/Logging_TJORN/tillsyn/A 3272-2023.docx")</f>
        <v/>
      </c>
      <c r="Y481">
        <f>HYPERLINK("https://klasma.github.io/Logging_TJORN/tillsynsmail/A 3272-2023.docx")</f>
        <v/>
      </c>
    </row>
    <row r="482" ht="15" customHeight="1">
      <c r="A482" t="inlineStr">
        <is>
          <t>A 4113-2023</t>
        </is>
      </c>
      <c r="B482" s="1" t="n">
        <v>44952</v>
      </c>
      <c r="C482" s="1" t="n">
        <v>45182</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c r="T482">
        <f>HYPERLINK("https://klasma.github.io/Logging_DALS-ED/kartor/A 4113-2023.png")</f>
        <v/>
      </c>
      <c r="V482">
        <f>HYPERLINK("https://klasma.github.io/Logging_DALS-ED/klagomål/A 4113-2023.docx")</f>
        <v/>
      </c>
      <c r="W482">
        <f>HYPERLINK("https://klasma.github.io/Logging_DALS-ED/klagomålsmail/A 4113-2023.docx")</f>
        <v/>
      </c>
      <c r="X482">
        <f>HYPERLINK("https://klasma.github.io/Logging_DALS-ED/tillsyn/A 4113-2023.docx")</f>
        <v/>
      </c>
      <c r="Y482">
        <f>HYPERLINK("https://klasma.github.io/Logging_DALS-ED/tillsynsmail/A 4113-2023.docx")</f>
        <v/>
      </c>
    </row>
    <row r="483" ht="15" customHeight="1">
      <c r="A483" t="inlineStr">
        <is>
          <t>A 6160-2023</t>
        </is>
      </c>
      <c r="B483" s="1" t="n">
        <v>44964</v>
      </c>
      <c r="C483" s="1" t="n">
        <v>45182</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c r="T483">
        <f>HYPERLINK("https://klasma.github.io/Logging_TOREBODA/kartor/A 6160-2023.png")</f>
        <v/>
      </c>
      <c r="V483">
        <f>HYPERLINK("https://klasma.github.io/Logging_TOREBODA/klagomål/A 6160-2023.docx")</f>
        <v/>
      </c>
      <c r="W483">
        <f>HYPERLINK("https://klasma.github.io/Logging_TOREBODA/klagomålsmail/A 6160-2023.docx")</f>
        <v/>
      </c>
      <c r="X483">
        <f>HYPERLINK("https://klasma.github.io/Logging_TOREBODA/tillsyn/A 6160-2023.docx")</f>
        <v/>
      </c>
      <c r="Y483">
        <f>HYPERLINK("https://klasma.github.io/Logging_TOREBODA/tillsynsmail/A 6160-2023.docx")</f>
        <v/>
      </c>
    </row>
    <row r="484" ht="15" customHeight="1">
      <c r="A484" t="inlineStr">
        <is>
          <t>A 6166-2023</t>
        </is>
      </c>
      <c r="B484" s="1" t="n">
        <v>44964</v>
      </c>
      <c r="C484" s="1" t="n">
        <v>45182</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c r="T484">
        <f>HYPERLINK("https://klasma.github.io/Logging_MARK/kartor/A 6166-2023.png")</f>
        <v/>
      </c>
      <c r="V484">
        <f>HYPERLINK("https://klasma.github.io/Logging_MARK/klagomål/A 6166-2023.docx")</f>
        <v/>
      </c>
      <c r="W484">
        <f>HYPERLINK("https://klasma.github.io/Logging_MARK/klagomålsmail/A 6166-2023.docx")</f>
        <v/>
      </c>
      <c r="X484">
        <f>HYPERLINK("https://klasma.github.io/Logging_MARK/tillsyn/A 6166-2023.docx")</f>
        <v/>
      </c>
      <c r="Y484">
        <f>HYPERLINK("https://klasma.github.io/Logging_MARK/tillsynsmail/A 6166-2023.docx")</f>
        <v/>
      </c>
    </row>
    <row r="485" ht="15" customHeight="1">
      <c r="A485" t="inlineStr">
        <is>
          <t>A 7707-2023</t>
        </is>
      </c>
      <c r="B485" s="1" t="n">
        <v>44969</v>
      </c>
      <c r="C485" s="1" t="n">
        <v>45182</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c r="T485">
        <f>HYPERLINK("https://klasma.github.io/Logging_TANUM/kartor/A 7707-2023.png")</f>
        <v/>
      </c>
      <c r="V485">
        <f>HYPERLINK("https://klasma.github.io/Logging_TANUM/klagomål/A 7707-2023.docx")</f>
        <v/>
      </c>
      <c r="W485">
        <f>HYPERLINK("https://klasma.github.io/Logging_TANUM/klagomålsmail/A 7707-2023.docx")</f>
        <v/>
      </c>
      <c r="X485">
        <f>HYPERLINK("https://klasma.github.io/Logging_TANUM/tillsyn/A 7707-2023.docx")</f>
        <v/>
      </c>
      <c r="Y485">
        <f>HYPERLINK("https://klasma.github.io/Logging_TANUM/tillsynsmail/A 7707-2023.docx")</f>
        <v/>
      </c>
    </row>
    <row r="486" ht="15" customHeight="1">
      <c r="A486" t="inlineStr">
        <is>
          <t>A 8144-2023</t>
        </is>
      </c>
      <c r="B486" s="1" t="n">
        <v>44974</v>
      </c>
      <c r="C486" s="1" t="n">
        <v>45182</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c r="T486">
        <f>HYPERLINK("https://klasma.github.io/Logging_MARIESTAD/kartor/A 8144-2023.png")</f>
        <v/>
      </c>
      <c r="V486">
        <f>HYPERLINK("https://klasma.github.io/Logging_MARIESTAD/klagomål/A 8144-2023.docx")</f>
        <v/>
      </c>
      <c r="W486">
        <f>HYPERLINK("https://klasma.github.io/Logging_MARIESTAD/klagomålsmail/A 8144-2023.docx")</f>
        <v/>
      </c>
      <c r="X486">
        <f>HYPERLINK("https://klasma.github.io/Logging_MARIESTAD/tillsyn/A 8144-2023.docx")</f>
        <v/>
      </c>
      <c r="Y486">
        <f>HYPERLINK("https://klasma.github.io/Logging_MARIESTAD/tillsynsmail/A 8144-2023.docx")</f>
        <v/>
      </c>
    </row>
    <row r="487" ht="15" customHeight="1">
      <c r="A487" t="inlineStr">
        <is>
          <t>A 9934-2023</t>
        </is>
      </c>
      <c r="B487" s="1" t="n">
        <v>44978</v>
      </c>
      <c r="C487" s="1" t="n">
        <v>45182</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c r="T487">
        <f>HYPERLINK("https://klasma.github.io/Logging_MUNKEDAL/kartor/A 9934-2023.png")</f>
        <v/>
      </c>
      <c r="V487">
        <f>HYPERLINK("https://klasma.github.io/Logging_MUNKEDAL/klagomål/A 9934-2023.docx")</f>
        <v/>
      </c>
      <c r="W487">
        <f>HYPERLINK("https://klasma.github.io/Logging_MUNKEDAL/klagomålsmail/A 9934-2023.docx")</f>
        <v/>
      </c>
      <c r="X487">
        <f>HYPERLINK("https://klasma.github.io/Logging_MUNKEDAL/tillsyn/A 9934-2023.docx")</f>
        <v/>
      </c>
      <c r="Y487">
        <f>HYPERLINK("https://klasma.github.io/Logging_MUNKEDAL/tillsynsmail/A 9934-2023.docx")</f>
        <v/>
      </c>
    </row>
    <row r="488" ht="15" customHeight="1">
      <c r="A488" t="inlineStr">
        <is>
          <t>A 9277-2023</t>
        </is>
      </c>
      <c r="B488" s="1" t="n">
        <v>44980</v>
      </c>
      <c r="C488" s="1" t="n">
        <v>45182</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c r="T488">
        <f>HYPERLINK("https://klasma.github.io/Logging_SKARA/kartor/A 9277-2023.png")</f>
        <v/>
      </c>
      <c r="V488">
        <f>HYPERLINK("https://klasma.github.io/Logging_SKARA/klagomål/A 9277-2023.docx")</f>
        <v/>
      </c>
      <c r="W488">
        <f>HYPERLINK("https://klasma.github.io/Logging_SKARA/klagomålsmail/A 9277-2023.docx")</f>
        <v/>
      </c>
      <c r="X488">
        <f>HYPERLINK("https://klasma.github.io/Logging_SKARA/tillsyn/A 9277-2023.docx")</f>
        <v/>
      </c>
      <c r="Y488">
        <f>HYPERLINK("https://klasma.github.io/Logging_SKARA/tillsynsmail/A 9277-2023.docx")</f>
        <v/>
      </c>
    </row>
    <row r="489" ht="15" customHeight="1">
      <c r="A489" t="inlineStr">
        <is>
          <t>A 9136-2023</t>
        </is>
      </c>
      <c r="B489" s="1" t="n">
        <v>44980</v>
      </c>
      <c r="C489" s="1" t="n">
        <v>45182</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c r="T489">
        <f>HYPERLINK("https://klasma.github.io/Logging_SKARA/kartor/A 9136-2023.png")</f>
        <v/>
      </c>
      <c r="V489">
        <f>HYPERLINK("https://klasma.github.io/Logging_SKARA/klagomål/A 9136-2023.docx")</f>
        <v/>
      </c>
      <c r="W489">
        <f>HYPERLINK("https://klasma.github.io/Logging_SKARA/klagomålsmail/A 9136-2023.docx")</f>
        <v/>
      </c>
      <c r="X489">
        <f>HYPERLINK("https://klasma.github.io/Logging_SKARA/tillsyn/A 9136-2023.docx")</f>
        <v/>
      </c>
      <c r="Y489">
        <f>HYPERLINK("https://klasma.github.io/Logging_SKARA/tillsynsmail/A 9136-2023.docx")</f>
        <v/>
      </c>
    </row>
    <row r="490" ht="15" customHeight="1">
      <c r="A490" t="inlineStr">
        <is>
          <t>A 9601-2023</t>
        </is>
      </c>
      <c r="B490" s="1" t="n">
        <v>44983</v>
      </c>
      <c r="C490" s="1" t="n">
        <v>45182</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c r="T490">
        <f>HYPERLINK("https://klasma.github.io/Logging_TRANEMO/kartor/A 9601-2023.png")</f>
        <v/>
      </c>
      <c r="U490">
        <f>HYPERLINK("https://klasma.github.io/Logging_TRANEMO/knärot/A 9601-2023.png")</f>
        <v/>
      </c>
      <c r="V490">
        <f>HYPERLINK("https://klasma.github.io/Logging_TRANEMO/klagomål/A 9601-2023.docx")</f>
        <v/>
      </c>
      <c r="W490">
        <f>HYPERLINK("https://klasma.github.io/Logging_TRANEMO/klagomålsmail/A 9601-2023.docx")</f>
        <v/>
      </c>
      <c r="X490">
        <f>HYPERLINK("https://klasma.github.io/Logging_TRANEMO/tillsyn/A 9601-2023.docx")</f>
        <v/>
      </c>
      <c r="Y490">
        <f>HYPERLINK("https://klasma.github.io/Logging_TRANEMO/tillsynsmail/A 9601-2023.docx")</f>
        <v/>
      </c>
    </row>
    <row r="491" ht="15" customHeight="1">
      <c r="A491" t="inlineStr">
        <is>
          <t>A 9985-2023</t>
        </is>
      </c>
      <c r="B491" s="1" t="n">
        <v>44985</v>
      </c>
      <c r="C491" s="1" t="n">
        <v>45182</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c r="T491">
        <f>HYPERLINK("https://klasma.github.io/Logging_TOREBODA/kartor/A 9985-2023.png")</f>
        <v/>
      </c>
      <c r="V491">
        <f>HYPERLINK("https://klasma.github.io/Logging_TOREBODA/klagomål/A 9985-2023.docx")</f>
        <v/>
      </c>
      <c r="W491">
        <f>HYPERLINK("https://klasma.github.io/Logging_TOREBODA/klagomålsmail/A 9985-2023.docx")</f>
        <v/>
      </c>
      <c r="X491">
        <f>HYPERLINK("https://klasma.github.io/Logging_TOREBODA/tillsyn/A 9985-2023.docx")</f>
        <v/>
      </c>
      <c r="Y491">
        <f>HYPERLINK("https://klasma.github.io/Logging_TOREBODA/tillsynsmail/A 9985-2023.docx")</f>
        <v/>
      </c>
    </row>
    <row r="492" ht="15" customHeight="1">
      <c r="A492" t="inlineStr">
        <is>
          <t>A 10610-2023</t>
        </is>
      </c>
      <c r="B492" s="1" t="n">
        <v>44988</v>
      </c>
      <c r="C492" s="1" t="n">
        <v>45182</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c r="T492">
        <f>HYPERLINK("https://klasma.github.io/Logging_SKOVDE/kartor/A 10610-2023.png")</f>
        <v/>
      </c>
      <c r="V492">
        <f>HYPERLINK("https://klasma.github.io/Logging_SKOVDE/klagomål/A 10610-2023.docx")</f>
        <v/>
      </c>
      <c r="W492">
        <f>HYPERLINK("https://klasma.github.io/Logging_SKOVDE/klagomålsmail/A 10610-2023.docx")</f>
        <v/>
      </c>
      <c r="X492">
        <f>HYPERLINK("https://klasma.github.io/Logging_SKOVDE/tillsyn/A 10610-2023.docx")</f>
        <v/>
      </c>
      <c r="Y492">
        <f>HYPERLINK("https://klasma.github.io/Logging_SKOVDE/tillsynsmail/A 10610-2023.docx")</f>
        <v/>
      </c>
    </row>
    <row r="493" ht="15" customHeight="1">
      <c r="A493" t="inlineStr">
        <is>
          <t>A 11214-2023</t>
        </is>
      </c>
      <c r="B493" s="1" t="n">
        <v>44992</v>
      </c>
      <c r="C493" s="1" t="n">
        <v>45182</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c r="T493">
        <f>HYPERLINK("https://klasma.github.io/Logging_VARGARDA/kartor/A 11214-2023.png")</f>
        <v/>
      </c>
      <c r="V493">
        <f>HYPERLINK("https://klasma.github.io/Logging_VARGARDA/klagomål/A 11214-2023.docx")</f>
        <v/>
      </c>
      <c r="W493">
        <f>HYPERLINK("https://klasma.github.io/Logging_VARGARDA/klagomålsmail/A 11214-2023.docx")</f>
        <v/>
      </c>
      <c r="X493">
        <f>HYPERLINK("https://klasma.github.io/Logging_VARGARDA/tillsyn/A 11214-2023.docx")</f>
        <v/>
      </c>
      <c r="Y493">
        <f>HYPERLINK("https://klasma.github.io/Logging_VARGARDA/tillsynsmail/A 11214-2023.docx")</f>
        <v/>
      </c>
    </row>
    <row r="494" ht="15" customHeight="1">
      <c r="A494" t="inlineStr">
        <is>
          <t>A 12892-2023</t>
        </is>
      </c>
      <c r="B494" s="1" t="n">
        <v>45001</v>
      </c>
      <c r="C494" s="1" t="n">
        <v>45182</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c r="T494">
        <f>HYPERLINK("https://klasma.github.io/Logging_STENUNGSUND/kartor/A 12892-2023.png")</f>
        <v/>
      </c>
      <c r="V494">
        <f>HYPERLINK("https://klasma.github.io/Logging_STENUNGSUND/klagomål/A 12892-2023.docx")</f>
        <v/>
      </c>
      <c r="W494">
        <f>HYPERLINK("https://klasma.github.io/Logging_STENUNGSUND/klagomålsmail/A 12892-2023.docx")</f>
        <v/>
      </c>
      <c r="X494">
        <f>HYPERLINK("https://klasma.github.io/Logging_STENUNGSUND/tillsyn/A 12892-2023.docx")</f>
        <v/>
      </c>
      <c r="Y494">
        <f>HYPERLINK("https://klasma.github.io/Logging_STENUNGSUND/tillsynsmail/A 12892-2023.docx")</f>
        <v/>
      </c>
    </row>
    <row r="495" ht="15" customHeight="1">
      <c r="A495" t="inlineStr">
        <is>
          <t>A 12807-2023</t>
        </is>
      </c>
      <c r="B495" s="1" t="n">
        <v>45001</v>
      </c>
      <c r="C495" s="1" t="n">
        <v>45182</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c r="T495">
        <f>HYPERLINK("https://klasma.github.io/Logging_MARK/kartor/A 12807-2023.png")</f>
        <v/>
      </c>
      <c r="U495">
        <f>HYPERLINK("https://klasma.github.io/Logging_MARK/knärot/A 12807-2023.png")</f>
        <v/>
      </c>
      <c r="V495">
        <f>HYPERLINK("https://klasma.github.io/Logging_MARK/klagomål/A 12807-2023.docx")</f>
        <v/>
      </c>
      <c r="W495">
        <f>HYPERLINK("https://klasma.github.io/Logging_MARK/klagomålsmail/A 12807-2023.docx")</f>
        <v/>
      </c>
      <c r="X495">
        <f>HYPERLINK("https://klasma.github.io/Logging_MARK/tillsyn/A 12807-2023.docx")</f>
        <v/>
      </c>
      <c r="Y495">
        <f>HYPERLINK("https://klasma.github.io/Logging_MARK/tillsynsmail/A 12807-2023.docx")</f>
        <v/>
      </c>
    </row>
    <row r="496" ht="15" customHeight="1">
      <c r="A496" t="inlineStr">
        <is>
          <t>A 13991-2023</t>
        </is>
      </c>
      <c r="B496" s="1" t="n">
        <v>45008</v>
      </c>
      <c r="C496" s="1" t="n">
        <v>45182</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c r="T496">
        <f>HYPERLINK("https://klasma.github.io/Logging_VARGARDA/kartor/A 13991-2023.png")</f>
        <v/>
      </c>
      <c r="V496">
        <f>HYPERLINK("https://klasma.github.io/Logging_VARGARDA/klagomål/A 13991-2023.docx")</f>
        <v/>
      </c>
      <c r="W496">
        <f>HYPERLINK("https://klasma.github.io/Logging_VARGARDA/klagomålsmail/A 13991-2023.docx")</f>
        <v/>
      </c>
      <c r="X496">
        <f>HYPERLINK("https://klasma.github.io/Logging_VARGARDA/tillsyn/A 13991-2023.docx")</f>
        <v/>
      </c>
      <c r="Y496">
        <f>HYPERLINK("https://klasma.github.io/Logging_VARGARDA/tillsynsmail/A 13991-2023.docx")</f>
        <v/>
      </c>
    </row>
    <row r="497" ht="15" customHeight="1">
      <c r="A497" t="inlineStr">
        <is>
          <t>A 14788-2023</t>
        </is>
      </c>
      <c r="B497" s="1" t="n">
        <v>45014</v>
      </c>
      <c r="C497" s="1" t="n">
        <v>45182</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c r="T497">
        <f>HYPERLINK("https://klasma.github.io/Logging_ORUST/kartor/A 14788-2023.png")</f>
        <v/>
      </c>
      <c r="U497">
        <f>HYPERLINK("https://klasma.github.io/Logging_ORUST/knärot/A 14788-2023.png")</f>
        <v/>
      </c>
      <c r="V497">
        <f>HYPERLINK("https://klasma.github.io/Logging_ORUST/klagomål/A 14788-2023.docx")</f>
        <v/>
      </c>
      <c r="W497">
        <f>HYPERLINK("https://klasma.github.io/Logging_ORUST/klagomålsmail/A 14788-2023.docx")</f>
        <v/>
      </c>
      <c r="X497">
        <f>HYPERLINK("https://klasma.github.io/Logging_ORUST/tillsyn/A 14788-2023.docx")</f>
        <v/>
      </c>
      <c r="Y497">
        <f>HYPERLINK("https://klasma.github.io/Logging_ORUST/tillsynsmail/A 14788-2023.docx")</f>
        <v/>
      </c>
    </row>
    <row r="498" ht="15" customHeight="1">
      <c r="A498" t="inlineStr">
        <is>
          <t>A 15108-2023</t>
        </is>
      </c>
      <c r="B498" s="1" t="n">
        <v>45016</v>
      </c>
      <c r="C498" s="1" t="n">
        <v>45182</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c r="T498">
        <f>HYPERLINK("https://klasma.github.io/Logging_LYSEKIL/kartor/A 15108-2023.png")</f>
        <v/>
      </c>
      <c r="V498">
        <f>HYPERLINK("https://klasma.github.io/Logging_LYSEKIL/klagomål/A 15108-2023.docx")</f>
        <v/>
      </c>
      <c r="W498">
        <f>HYPERLINK("https://klasma.github.io/Logging_LYSEKIL/klagomålsmail/A 15108-2023.docx")</f>
        <v/>
      </c>
      <c r="X498">
        <f>HYPERLINK("https://klasma.github.io/Logging_LYSEKIL/tillsyn/A 15108-2023.docx")</f>
        <v/>
      </c>
      <c r="Y498">
        <f>HYPERLINK("https://klasma.github.io/Logging_LYSEKIL/tillsynsmail/A 15108-2023.docx")</f>
        <v/>
      </c>
    </row>
    <row r="499" ht="15" customHeight="1">
      <c r="A499" t="inlineStr">
        <is>
          <t>A 17023-2023</t>
        </is>
      </c>
      <c r="B499" s="1" t="n">
        <v>45030</v>
      </c>
      <c r="C499" s="1" t="n">
        <v>45182</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c r="T499">
        <f>HYPERLINK("https://klasma.github.io/Logging_MARK/kartor/A 17023-2023.png")</f>
        <v/>
      </c>
      <c r="V499">
        <f>HYPERLINK("https://klasma.github.io/Logging_MARK/klagomål/A 17023-2023.docx")</f>
        <v/>
      </c>
      <c r="W499">
        <f>HYPERLINK("https://klasma.github.io/Logging_MARK/klagomålsmail/A 17023-2023.docx")</f>
        <v/>
      </c>
      <c r="X499">
        <f>HYPERLINK("https://klasma.github.io/Logging_MARK/tillsyn/A 17023-2023.docx")</f>
        <v/>
      </c>
      <c r="Y499">
        <f>HYPERLINK("https://klasma.github.io/Logging_MARK/tillsynsmail/A 17023-2023.docx")</f>
        <v/>
      </c>
    </row>
    <row r="500" ht="15" customHeight="1">
      <c r="A500" t="inlineStr">
        <is>
          <t>A 16904-2023</t>
        </is>
      </c>
      <c r="B500" s="1" t="n">
        <v>45033</v>
      </c>
      <c r="C500" s="1" t="n">
        <v>45182</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c r="T500">
        <f>HYPERLINK("https://klasma.github.io/Logging_UDDEVALLA/kartor/A 16904-2023.png")</f>
        <v/>
      </c>
      <c r="V500">
        <f>HYPERLINK("https://klasma.github.io/Logging_UDDEVALLA/klagomål/A 16904-2023.docx")</f>
        <v/>
      </c>
      <c r="W500">
        <f>HYPERLINK("https://klasma.github.io/Logging_UDDEVALLA/klagomålsmail/A 16904-2023.docx")</f>
        <v/>
      </c>
      <c r="X500">
        <f>HYPERLINK("https://klasma.github.io/Logging_UDDEVALLA/tillsyn/A 16904-2023.docx")</f>
        <v/>
      </c>
      <c r="Y500">
        <f>HYPERLINK("https://klasma.github.io/Logging_UDDEVALLA/tillsynsmail/A 16904-2023.docx")</f>
        <v/>
      </c>
    </row>
    <row r="501" ht="15" customHeight="1">
      <c r="A501" t="inlineStr">
        <is>
          <t>A 16802-2023</t>
        </is>
      </c>
      <c r="B501" s="1" t="n">
        <v>45033</v>
      </c>
      <c r="C501" s="1" t="n">
        <v>45182</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c r="T501">
        <f>HYPERLINK("https://klasma.github.io/Logging_HARRYDA/kartor/A 16802-2023.png")</f>
        <v/>
      </c>
      <c r="V501">
        <f>HYPERLINK("https://klasma.github.io/Logging_HARRYDA/klagomål/A 16802-2023.docx")</f>
        <v/>
      </c>
      <c r="W501">
        <f>HYPERLINK("https://klasma.github.io/Logging_HARRYDA/klagomålsmail/A 16802-2023.docx")</f>
        <v/>
      </c>
      <c r="X501">
        <f>HYPERLINK("https://klasma.github.io/Logging_HARRYDA/tillsyn/A 16802-2023.docx")</f>
        <v/>
      </c>
      <c r="Y501">
        <f>HYPERLINK("https://klasma.github.io/Logging_HARRYDA/tillsynsmail/A 16802-2023.docx")</f>
        <v/>
      </c>
    </row>
    <row r="502" ht="15" customHeight="1">
      <c r="A502" t="inlineStr">
        <is>
          <t>A 17920-2023</t>
        </is>
      </c>
      <c r="B502" s="1" t="n">
        <v>45040</v>
      </c>
      <c r="C502" s="1" t="n">
        <v>45182</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c r="T502">
        <f>HYPERLINK("https://klasma.github.io/Logging_VANERSBORG/kartor/A 17920-2023.png")</f>
        <v/>
      </c>
      <c r="V502">
        <f>HYPERLINK("https://klasma.github.io/Logging_VANERSBORG/klagomål/A 17920-2023.docx")</f>
        <v/>
      </c>
      <c r="W502">
        <f>HYPERLINK("https://klasma.github.io/Logging_VANERSBORG/klagomålsmail/A 17920-2023.docx")</f>
        <v/>
      </c>
      <c r="X502">
        <f>HYPERLINK("https://klasma.github.io/Logging_VANERSBORG/tillsyn/A 17920-2023.docx")</f>
        <v/>
      </c>
      <c r="Y502">
        <f>HYPERLINK("https://klasma.github.io/Logging_VANERSBORG/tillsynsmail/A 17920-2023.docx")</f>
        <v/>
      </c>
    </row>
    <row r="503" ht="15" customHeight="1">
      <c r="A503" t="inlineStr">
        <is>
          <t>A 20209-2023</t>
        </is>
      </c>
      <c r="B503" s="1" t="n">
        <v>45055</v>
      </c>
      <c r="C503" s="1" t="n">
        <v>45182</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c r="T503">
        <f>HYPERLINK("https://klasma.github.io/Logging_MELLERUD/kartor/A 20209-2023.png")</f>
        <v/>
      </c>
      <c r="V503">
        <f>HYPERLINK("https://klasma.github.io/Logging_MELLERUD/klagomål/A 20209-2023.docx")</f>
        <v/>
      </c>
      <c r="W503">
        <f>HYPERLINK("https://klasma.github.io/Logging_MELLERUD/klagomålsmail/A 20209-2023.docx")</f>
        <v/>
      </c>
      <c r="X503">
        <f>HYPERLINK("https://klasma.github.io/Logging_MELLERUD/tillsyn/A 20209-2023.docx")</f>
        <v/>
      </c>
      <c r="Y503">
        <f>HYPERLINK("https://klasma.github.io/Logging_MELLERUD/tillsynsmail/A 20209-2023.docx")</f>
        <v/>
      </c>
    </row>
    <row r="504" ht="15" customHeight="1">
      <c r="A504" t="inlineStr">
        <is>
          <t>A 20709-2023</t>
        </is>
      </c>
      <c r="B504" s="1" t="n">
        <v>45058</v>
      </c>
      <c r="C504" s="1" t="n">
        <v>45182</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c r="T504">
        <f>HYPERLINK("https://klasma.github.io/Logging_ORUST/kartor/A 20709-2023.png")</f>
        <v/>
      </c>
      <c r="U504">
        <f>HYPERLINK("https://klasma.github.io/Logging_ORUST/knärot/A 20709-2023.png")</f>
        <v/>
      </c>
      <c r="V504">
        <f>HYPERLINK("https://klasma.github.io/Logging_ORUST/klagomål/A 20709-2023.docx")</f>
        <v/>
      </c>
      <c r="W504">
        <f>HYPERLINK("https://klasma.github.io/Logging_ORUST/klagomålsmail/A 20709-2023.docx")</f>
        <v/>
      </c>
      <c r="X504">
        <f>HYPERLINK("https://klasma.github.io/Logging_ORUST/tillsyn/A 20709-2023.docx")</f>
        <v/>
      </c>
      <c r="Y504">
        <f>HYPERLINK("https://klasma.github.io/Logging_ORUST/tillsynsmail/A 20709-2023.docx")</f>
        <v/>
      </c>
    </row>
    <row r="505" ht="15" customHeight="1">
      <c r="A505" t="inlineStr">
        <is>
          <t>A 20753-2023</t>
        </is>
      </c>
      <c r="B505" s="1" t="n">
        <v>45058</v>
      </c>
      <c r="C505" s="1" t="n">
        <v>45182</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c r="T505">
        <f>HYPERLINK("https://klasma.github.io/Logging_SKOVDE/kartor/A 20753-2023.png")</f>
        <v/>
      </c>
      <c r="V505">
        <f>HYPERLINK("https://klasma.github.io/Logging_SKOVDE/klagomål/A 20753-2023.docx")</f>
        <v/>
      </c>
      <c r="W505">
        <f>HYPERLINK("https://klasma.github.io/Logging_SKOVDE/klagomålsmail/A 20753-2023.docx")</f>
        <v/>
      </c>
      <c r="X505">
        <f>HYPERLINK("https://klasma.github.io/Logging_SKOVDE/tillsyn/A 20753-2023.docx")</f>
        <v/>
      </c>
      <c r="Y505">
        <f>HYPERLINK("https://klasma.github.io/Logging_SKOVDE/tillsynsmail/A 20753-2023.docx")</f>
        <v/>
      </c>
    </row>
    <row r="506" ht="15" customHeight="1">
      <c r="A506" t="inlineStr">
        <is>
          <t>A 21225-2023</t>
        </is>
      </c>
      <c r="B506" s="1" t="n">
        <v>45058</v>
      </c>
      <c r="C506" s="1" t="n">
        <v>45182</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c r="T506">
        <f>HYPERLINK("https://klasma.github.io/Logging_KUNGALV/kartor/A 21225-2023.png")</f>
        <v/>
      </c>
      <c r="V506">
        <f>HYPERLINK("https://klasma.github.io/Logging_KUNGALV/klagomål/A 21225-2023.docx")</f>
        <v/>
      </c>
      <c r="W506">
        <f>HYPERLINK("https://klasma.github.io/Logging_KUNGALV/klagomålsmail/A 21225-2023.docx")</f>
        <v/>
      </c>
      <c r="X506">
        <f>HYPERLINK("https://klasma.github.io/Logging_KUNGALV/tillsyn/A 21225-2023.docx")</f>
        <v/>
      </c>
      <c r="Y506">
        <f>HYPERLINK("https://klasma.github.io/Logging_KUNGALV/tillsynsmail/A 21225-2023.docx")</f>
        <v/>
      </c>
    </row>
    <row r="507" ht="15" customHeight="1">
      <c r="A507" t="inlineStr">
        <is>
          <t>A 21101-2023</t>
        </is>
      </c>
      <c r="B507" s="1" t="n">
        <v>45061</v>
      </c>
      <c r="C507" s="1" t="n">
        <v>45182</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c r="T507">
        <f>HYPERLINK("https://klasma.github.io/Logging_HARRYDA/kartor/A 21101-2023.png")</f>
        <v/>
      </c>
      <c r="V507">
        <f>HYPERLINK("https://klasma.github.io/Logging_HARRYDA/klagomål/A 21101-2023.docx")</f>
        <v/>
      </c>
      <c r="W507">
        <f>HYPERLINK("https://klasma.github.io/Logging_HARRYDA/klagomålsmail/A 21101-2023.docx")</f>
        <v/>
      </c>
      <c r="X507">
        <f>HYPERLINK("https://klasma.github.io/Logging_HARRYDA/tillsyn/A 21101-2023.docx")</f>
        <v/>
      </c>
      <c r="Y507">
        <f>HYPERLINK("https://klasma.github.io/Logging_HARRYDA/tillsynsmail/A 21101-2023.docx")</f>
        <v/>
      </c>
    </row>
    <row r="508" ht="15" customHeight="1">
      <c r="A508" t="inlineStr">
        <is>
          <t>A 21300-2023</t>
        </is>
      </c>
      <c r="B508" s="1" t="n">
        <v>45062</v>
      </c>
      <c r="C508" s="1" t="n">
        <v>45182</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c r="T508">
        <f>HYPERLINK("https://klasma.github.io/Logging_BENGTSFORS/kartor/A 21300-2023.png")</f>
        <v/>
      </c>
      <c r="V508">
        <f>HYPERLINK("https://klasma.github.io/Logging_BENGTSFORS/klagomål/A 21300-2023.docx")</f>
        <v/>
      </c>
      <c r="W508">
        <f>HYPERLINK("https://klasma.github.io/Logging_BENGTSFORS/klagomålsmail/A 21300-2023.docx")</f>
        <v/>
      </c>
      <c r="X508">
        <f>HYPERLINK("https://klasma.github.io/Logging_BENGTSFORS/tillsyn/A 21300-2023.docx")</f>
        <v/>
      </c>
      <c r="Y508">
        <f>HYPERLINK("https://klasma.github.io/Logging_BENGTSFORS/tillsynsmail/A 21300-2023.docx")</f>
        <v/>
      </c>
    </row>
    <row r="509" ht="15" customHeight="1">
      <c r="A509" t="inlineStr">
        <is>
          <t>A 23339-2023</t>
        </is>
      </c>
      <c r="B509" s="1" t="n">
        <v>45076</v>
      </c>
      <c r="C509" s="1" t="n">
        <v>45182</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c r="T509">
        <f>HYPERLINK("https://klasma.github.io/Logging_ALE/kartor/A 23339-2023.png")</f>
        <v/>
      </c>
      <c r="V509">
        <f>HYPERLINK("https://klasma.github.io/Logging_ALE/klagomål/A 23339-2023.docx")</f>
        <v/>
      </c>
      <c r="W509">
        <f>HYPERLINK("https://klasma.github.io/Logging_ALE/klagomålsmail/A 23339-2023.docx")</f>
        <v/>
      </c>
      <c r="X509">
        <f>HYPERLINK("https://klasma.github.io/Logging_ALE/tillsyn/A 23339-2023.docx")</f>
        <v/>
      </c>
      <c r="Y509">
        <f>HYPERLINK("https://klasma.github.io/Logging_ALE/tillsynsmail/A 23339-2023.docx")</f>
        <v/>
      </c>
    </row>
    <row r="510" ht="15" customHeight="1">
      <c r="A510" t="inlineStr">
        <is>
          <t>A 23414-2023</t>
        </is>
      </c>
      <c r="B510" s="1" t="n">
        <v>45076</v>
      </c>
      <c r="C510" s="1" t="n">
        <v>45182</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c r="T510">
        <f>HYPERLINK("https://klasma.github.io/Logging_GOTENE/kartor/A 23414-2023.png")</f>
        <v/>
      </c>
      <c r="V510">
        <f>HYPERLINK("https://klasma.github.io/Logging_GOTENE/klagomål/A 23414-2023.docx")</f>
        <v/>
      </c>
      <c r="W510">
        <f>HYPERLINK("https://klasma.github.io/Logging_GOTENE/klagomålsmail/A 23414-2023.docx")</f>
        <v/>
      </c>
      <c r="X510">
        <f>HYPERLINK("https://klasma.github.io/Logging_GOTENE/tillsyn/A 23414-2023.docx")</f>
        <v/>
      </c>
      <c r="Y510">
        <f>HYPERLINK("https://klasma.github.io/Logging_GOTENE/tillsynsmail/A 23414-2023.docx")</f>
        <v/>
      </c>
    </row>
    <row r="511" ht="15" customHeight="1">
      <c r="A511" t="inlineStr">
        <is>
          <t>A 24211-2023</t>
        </is>
      </c>
      <c r="B511" s="1" t="n">
        <v>45079</v>
      </c>
      <c r="C511" s="1" t="n">
        <v>45182</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c r="T511">
        <f>HYPERLINK("https://klasma.github.io/Logging_TANUM/kartor/A 24211-2023.png")</f>
        <v/>
      </c>
      <c r="V511">
        <f>HYPERLINK("https://klasma.github.io/Logging_TANUM/klagomål/A 24211-2023.docx")</f>
        <v/>
      </c>
      <c r="W511">
        <f>HYPERLINK("https://klasma.github.io/Logging_TANUM/klagomålsmail/A 24211-2023.docx")</f>
        <v/>
      </c>
      <c r="X511">
        <f>HYPERLINK("https://klasma.github.io/Logging_TANUM/tillsyn/A 24211-2023.docx")</f>
        <v/>
      </c>
      <c r="Y511">
        <f>HYPERLINK("https://klasma.github.io/Logging_TANUM/tillsynsmail/A 24211-2023.docx")</f>
        <v/>
      </c>
    </row>
    <row r="512" ht="15" customHeight="1">
      <c r="A512" t="inlineStr">
        <is>
          <t>A 25655-2023</t>
        </is>
      </c>
      <c r="B512" s="1" t="n">
        <v>45089</v>
      </c>
      <c r="C512" s="1" t="n">
        <v>45182</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c r="T512">
        <f>HYPERLINK("https://klasma.github.io/Logging_LILLA_EDET/kartor/A 25655-2023.png")</f>
        <v/>
      </c>
      <c r="V512">
        <f>HYPERLINK("https://klasma.github.io/Logging_LILLA_EDET/klagomål/A 25655-2023.docx")</f>
        <v/>
      </c>
      <c r="W512">
        <f>HYPERLINK("https://klasma.github.io/Logging_LILLA_EDET/klagomålsmail/A 25655-2023.docx")</f>
        <v/>
      </c>
      <c r="X512">
        <f>HYPERLINK("https://klasma.github.io/Logging_LILLA_EDET/tillsyn/A 25655-2023.docx")</f>
        <v/>
      </c>
      <c r="Y512">
        <f>HYPERLINK("https://klasma.github.io/Logging_LILLA_EDET/tillsynsmail/A 25655-2023.docx")</f>
        <v/>
      </c>
    </row>
    <row r="513" ht="15" customHeight="1">
      <c r="A513" t="inlineStr">
        <is>
          <t>A 26330-2023</t>
        </is>
      </c>
      <c r="B513" s="1" t="n">
        <v>45091</v>
      </c>
      <c r="C513" s="1" t="n">
        <v>45182</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c r="T513">
        <f>HYPERLINK("https://klasma.github.io/Logging_HARRYDA/kartor/A 26330-2023.png")</f>
        <v/>
      </c>
      <c r="V513">
        <f>HYPERLINK("https://klasma.github.io/Logging_HARRYDA/klagomål/A 26330-2023.docx")</f>
        <v/>
      </c>
      <c r="W513">
        <f>HYPERLINK("https://klasma.github.io/Logging_HARRYDA/klagomålsmail/A 26330-2023.docx")</f>
        <v/>
      </c>
      <c r="X513">
        <f>HYPERLINK("https://klasma.github.io/Logging_HARRYDA/tillsyn/A 26330-2023.docx")</f>
        <v/>
      </c>
      <c r="Y513">
        <f>HYPERLINK("https://klasma.github.io/Logging_HARRYDA/tillsynsmail/A 26330-2023.docx")</f>
        <v/>
      </c>
    </row>
    <row r="514" ht="15" customHeight="1">
      <c r="A514" t="inlineStr">
        <is>
          <t>A 26384-2023</t>
        </is>
      </c>
      <c r="B514" s="1" t="n">
        <v>45092</v>
      </c>
      <c r="C514" s="1" t="n">
        <v>45182</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c r="T514">
        <f>HYPERLINK("https://klasma.github.io/Logging_ALINGSAS/kartor/A 26384-2023.png")</f>
        <v/>
      </c>
      <c r="V514">
        <f>HYPERLINK("https://klasma.github.io/Logging_ALINGSAS/klagomål/A 26384-2023.docx")</f>
        <v/>
      </c>
      <c r="W514">
        <f>HYPERLINK("https://klasma.github.io/Logging_ALINGSAS/klagomålsmail/A 26384-2023.docx")</f>
        <v/>
      </c>
      <c r="X514">
        <f>HYPERLINK("https://klasma.github.io/Logging_ALINGSAS/tillsyn/A 26384-2023.docx")</f>
        <v/>
      </c>
      <c r="Y514">
        <f>HYPERLINK("https://klasma.github.io/Logging_ALINGSAS/tillsynsmail/A 26384-2023.docx")</f>
        <v/>
      </c>
    </row>
    <row r="515" ht="15" customHeight="1">
      <c r="A515" t="inlineStr">
        <is>
          <t>A 27182-2023</t>
        </is>
      </c>
      <c r="B515" s="1" t="n">
        <v>45096</v>
      </c>
      <c r="C515" s="1" t="n">
        <v>45182</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c r="T515">
        <f>HYPERLINK("https://klasma.github.io/Logging_TRANEMO/kartor/A 27182-2023.png")</f>
        <v/>
      </c>
      <c r="V515">
        <f>HYPERLINK("https://klasma.github.io/Logging_TRANEMO/klagomål/A 27182-2023.docx")</f>
        <v/>
      </c>
      <c r="W515">
        <f>HYPERLINK("https://klasma.github.io/Logging_TRANEMO/klagomålsmail/A 27182-2023.docx")</f>
        <v/>
      </c>
      <c r="X515">
        <f>HYPERLINK("https://klasma.github.io/Logging_TRANEMO/tillsyn/A 27182-2023.docx")</f>
        <v/>
      </c>
      <c r="Y515">
        <f>HYPERLINK("https://klasma.github.io/Logging_TRANEMO/tillsynsmail/A 27182-2023.docx")</f>
        <v/>
      </c>
    </row>
    <row r="516" ht="15" customHeight="1">
      <c r="A516" t="inlineStr">
        <is>
          <t>A 27922-2023</t>
        </is>
      </c>
      <c r="B516" s="1" t="n">
        <v>45098</v>
      </c>
      <c r="C516" s="1" t="n">
        <v>45182</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c r="T516">
        <f>HYPERLINK("https://klasma.github.io/Logging_GOTEBORG/kartor/A 27922-2023.png")</f>
        <v/>
      </c>
      <c r="V516">
        <f>HYPERLINK("https://klasma.github.io/Logging_GOTEBORG/klagomål/A 27922-2023.docx")</f>
        <v/>
      </c>
      <c r="W516">
        <f>HYPERLINK("https://klasma.github.io/Logging_GOTEBORG/klagomålsmail/A 27922-2023.docx")</f>
        <v/>
      </c>
      <c r="X516">
        <f>HYPERLINK("https://klasma.github.io/Logging_GOTEBORG/tillsyn/A 27922-2023.docx")</f>
        <v/>
      </c>
      <c r="Y516">
        <f>HYPERLINK("https://klasma.github.io/Logging_GOTEBORG/tillsynsmail/A 27922-2023.docx")</f>
        <v/>
      </c>
    </row>
    <row r="517" ht="15" customHeight="1">
      <c r="A517" t="inlineStr">
        <is>
          <t>A 29265-2023</t>
        </is>
      </c>
      <c r="B517" s="1" t="n">
        <v>45105</v>
      </c>
      <c r="C517" s="1" t="n">
        <v>45182</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c r="T517">
        <f>HYPERLINK("https://klasma.github.io/Logging_VANERSBORG/kartor/A 29265-2023.png")</f>
        <v/>
      </c>
      <c r="V517">
        <f>HYPERLINK("https://klasma.github.io/Logging_VANERSBORG/klagomål/A 29265-2023.docx")</f>
        <v/>
      </c>
      <c r="W517">
        <f>HYPERLINK("https://klasma.github.io/Logging_VANERSBORG/klagomålsmail/A 29265-2023.docx")</f>
        <v/>
      </c>
      <c r="X517">
        <f>HYPERLINK("https://klasma.github.io/Logging_VANERSBORG/tillsyn/A 29265-2023.docx")</f>
        <v/>
      </c>
      <c r="Y517">
        <f>HYPERLINK("https://klasma.github.io/Logging_VANERSBORG/tillsynsmail/A 29265-2023.docx")</f>
        <v/>
      </c>
    </row>
    <row r="518" ht="15" customHeight="1">
      <c r="A518" t="inlineStr">
        <is>
          <t>A 29688-2023</t>
        </is>
      </c>
      <c r="B518" s="1" t="n">
        <v>45107</v>
      </c>
      <c r="C518" s="1" t="n">
        <v>45182</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c r="T518">
        <f>HYPERLINK("https://klasma.github.io/Logging_UDDEVALLA/kartor/A 29688-2023.png")</f>
        <v/>
      </c>
      <c r="V518">
        <f>HYPERLINK("https://klasma.github.io/Logging_UDDEVALLA/klagomål/A 29688-2023.docx")</f>
        <v/>
      </c>
      <c r="W518">
        <f>HYPERLINK("https://klasma.github.io/Logging_UDDEVALLA/klagomålsmail/A 29688-2023.docx")</f>
        <v/>
      </c>
      <c r="X518">
        <f>HYPERLINK("https://klasma.github.io/Logging_UDDEVALLA/tillsyn/A 29688-2023.docx")</f>
        <v/>
      </c>
      <c r="Y518">
        <f>HYPERLINK("https://klasma.github.io/Logging_UDDEVALLA/tillsynsmail/A 29688-2023.docx")</f>
        <v/>
      </c>
    </row>
    <row r="519" ht="15" customHeight="1">
      <c r="A519" t="inlineStr">
        <is>
          <t>A 30777-2023</t>
        </is>
      </c>
      <c r="B519" s="1" t="n">
        <v>45112</v>
      </c>
      <c r="C519" s="1" t="n">
        <v>45182</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c r="T519">
        <f>HYPERLINK("https://klasma.github.io/Logging_BOLLEBYGD/kartor/A 30777-2023.png")</f>
        <v/>
      </c>
      <c r="V519">
        <f>HYPERLINK("https://klasma.github.io/Logging_BOLLEBYGD/klagomål/A 30777-2023.docx")</f>
        <v/>
      </c>
      <c r="W519">
        <f>HYPERLINK("https://klasma.github.io/Logging_BOLLEBYGD/klagomålsmail/A 30777-2023.docx")</f>
        <v/>
      </c>
      <c r="X519">
        <f>HYPERLINK("https://klasma.github.io/Logging_BOLLEBYGD/tillsyn/A 30777-2023.docx")</f>
        <v/>
      </c>
      <c r="Y519">
        <f>HYPERLINK("https://klasma.github.io/Logging_BOLLEBYGD/tillsynsmail/A 30777-2023.docx")</f>
        <v/>
      </c>
    </row>
    <row r="520" ht="15" customHeight="1">
      <c r="A520" t="inlineStr">
        <is>
          <t>A 30785-2023</t>
        </is>
      </c>
      <c r="B520" s="1" t="n">
        <v>45112</v>
      </c>
      <c r="C520" s="1" t="n">
        <v>45182</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c r="T520">
        <f>HYPERLINK("https://klasma.github.io/Logging_BOLLEBYGD/kartor/A 30785-2023.png")</f>
        <v/>
      </c>
      <c r="V520">
        <f>HYPERLINK("https://klasma.github.io/Logging_BOLLEBYGD/klagomål/A 30785-2023.docx")</f>
        <v/>
      </c>
      <c r="W520">
        <f>HYPERLINK("https://klasma.github.io/Logging_BOLLEBYGD/klagomålsmail/A 30785-2023.docx")</f>
        <v/>
      </c>
      <c r="X520">
        <f>HYPERLINK("https://klasma.github.io/Logging_BOLLEBYGD/tillsyn/A 30785-2023.docx")</f>
        <v/>
      </c>
      <c r="Y520">
        <f>HYPERLINK("https://klasma.github.io/Logging_BOLLEBYGD/tillsynsmail/A 30785-2023.docx")</f>
        <v/>
      </c>
    </row>
    <row r="521" ht="15" customHeight="1">
      <c r="A521" t="inlineStr">
        <is>
          <t>A 30666-2023</t>
        </is>
      </c>
      <c r="B521" s="1" t="n">
        <v>45112</v>
      </c>
      <c r="C521" s="1" t="n">
        <v>45182</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c r="T521">
        <f>HYPERLINK("https://klasma.github.io/Logging_BOLLEBYGD/kartor/A 30666-2023.png")</f>
        <v/>
      </c>
      <c r="V521">
        <f>HYPERLINK("https://klasma.github.io/Logging_BOLLEBYGD/klagomål/A 30666-2023.docx")</f>
        <v/>
      </c>
      <c r="W521">
        <f>HYPERLINK("https://klasma.github.io/Logging_BOLLEBYGD/klagomålsmail/A 30666-2023.docx")</f>
        <v/>
      </c>
      <c r="X521">
        <f>HYPERLINK("https://klasma.github.io/Logging_BOLLEBYGD/tillsyn/A 30666-2023.docx")</f>
        <v/>
      </c>
      <c r="Y521">
        <f>HYPERLINK("https://klasma.github.io/Logging_BOLLEBYGD/tillsynsmail/A 30666-2023.docx")</f>
        <v/>
      </c>
    </row>
    <row r="522" ht="15" customHeight="1">
      <c r="A522" t="inlineStr">
        <is>
          <t>A 30671-2023</t>
        </is>
      </c>
      <c r="B522" s="1" t="n">
        <v>45112</v>
      </c>
      <c r="C522" s="1" t="n">
        <v>45182</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c r="T522">
        <f>HYPERLINK("https://klasma.github.io/Logging_BOLLEBYGD/kartor/A 30671-2023.png")</f>
        <v/>
      </c>
      <c r="U522">
        <f>HYPERLINK("https://klasma.github.io/Logging_BOLLEBYGD/knärot/A 30671-2023.png")</f>
        <v/>
      </c>
      <c r="V522">
        <f>HYPERLINK("https://klasma.github.io/Logging_BOLLEBYGD/klagomål/A 30671-2023.docx")</f>
        <v/>
      </c>
      <c r="W522">
        <f>HYPERLINK("https://klasma.github.io/Logging_BOLLEBYGD/klagomålsmail/A 30671-2023.docx")</f>
        <v/>
      </c>
      <c r="X522">
        <f>HYPERLINK("https://klasma.github.io/Logging_BOLLEBYGD/tillsyn/A 30671-2023.docx")</f>
        <v/>
      </c>
      <c r="Y522">
        <f>HYPERLINK("https://klasma.github.io/Logging_BOLLEBYGD/tillsynsmail/A 30671-2023.docx")</f>
        <v/>
      </c>
    </row>
    <row r="523" ht="15" customHeight="1">
      <c r="A523" t="inlineStr">
        <is>
          <t>A 31742-2023</t>
        </is>
      </c>
      <c r="B523" s="1" t="n">
        <v>45117</v>
      </c>
      <c r="C523" s="1" t="n">
        <v>45182</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c r="T523">
        <f>HYPERLINK("https://klasma.github.io/Logging_BOLLEBYGD/kartor/A 31742-2023.png")</f>
        <v/>
      </c>
      <c r="V523">
        <f>HYPERLINK("https://klasma.github.io/Logging_BOLLEBYGD/klagomål/A 31742-2023.docx")</f>
        <v/>
      </c>
      <c r="W523">
        <f>HYPERLINK("https://klasma.github.io/Logging_BOLLEBYGD/klagomålsmail/A 31742-2023.docx")</f>
        <v/>
      </c>
      <c r="X523">
        <f>HYPERLINK("https://klasma.github.io/Logging_BOLLEBYGD/tillsyn/A 31742-2023.docx")</f>
        <v/>
      </c>
      <c r="Y523">
        <f>HYPERLINK("https://klasma.github.io/Logging_BOLLEBYGD/tillsynsmail/A 31742-2023.docx")</f>
        <v/>
      </c>
    </row>
    <row r="524" ht="15" customHeight="1">
      <c r="A524" t="inlineStr">
        <is>
          <t>A 32284-2023</t>
        </is>
      </c>
      <c r="B524" s="1" t="n">
        <v>45120</v>
      </c>
      <c r="C524" s="1" t="n">
        <v>45182</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c r="T524">
        <f>HYPERLINK("https://klasma.github.io/Logging_DALS-ED/kartor/A 32284-2023.png")</f>
        <v/>
      </c>
      <c r="V524">
        <f>HYPERLINK("https://klasma.github.io/Logging_DALS-ED/klagomål/A 32284-2023.docx")</f>
        <v/>
      </c>
      <c r="W524">
        <f>HYPERLINK("https://klasma.github.io/Logging_DALS-ED/klagomålsmail/A 32284-2023.docx")</f>
        <v/>
      </c>
      <c r="X524">
        <f>HYPERLINK("https://klasma.github.io/Logging_DALS-ED/tillsyn/A 32284-2023.docx")</f>
        <v/>
      </c>
      <c r="Y524">
        <f>HYPERLINK("https://klasma.github.io/Logging_DALS-ED/tillsynsmail/A 32284-2023.docx")</f>
        <v/>
      </c>
    </row>
    <row r="525" ht="15" customHeight="1">
      <c r="A525" t="inlineStr">
        <is>
          <t>A 34166-2023</t>
        </is>
      </c>
      <c r="B525" s="1" t="n">
        <v>45137</v>
      </c>
      <c r="C525" s="1" t="n">
        <v>45182</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c r="T525">
        <f>HYPERLINK("https://klasma.github.io/Logging_MARK/kartor/A 34166-2023.png")</f>
        <v/>
      </c>
      <c r="V525">
        <f>HYPERLINK("https://klasma.github.io/Logging_MARK/klagomål/A 34166-2023.docx")</f>
        <v/>
      </c>
      <c r="W525">
        <f>HYPERLINK("https://klasma.github.io/Logging_MARK/klagomålsmail/A 34166-2023.docx")</f>
        <v/>
      </c>
      <c r="X525">
        <f>HYPERLINK("https://klasma.github.io/Logging_MARK/tillsyn/A 34166-2023.docx")</f>
        <v/>
      </c>
      <c r="Y525">
        <f>HYPERLINK("https://klasma.github.io/Logging_MARK/tillsynsmail/A 34166-2023.docx")</f>
        <v/>
      </c>
    </row>
    <row r="526" ht="15" customHeight="1">
      <c r="A526" t="inlineStr">
        <is>
          <t>A 34450-2023</t>
        </is>
      </c>
      <c r="B526" s="1" t="n">
        <v>45139</v>
      </c>
      <c r="C526" s="1" t="n">
        <v>45182</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c r="T526">
        <f>HYPERLINK("https://klasma.github.io/Logging_GOTENE/kartor/A 34450-2023.png")</f>
        <v/>
      </c>
      <c r="V526">
        <f>HYPERLINK("https://klasma.github.io/Logging_GOTENE/klagomål/A 34450-2023.docx")</f>
        <v/>
      </c>
      <c r="W526">
        <f>HYPERLINK("https://klasma.github.io/Logging_GOTENE/klagomålsmail/A 34450-2023.docx")</f>
        <v/>
      </c>
      <c r="X526">
        <f>HYPERLINK("https://klasma.github.io/Logging_GOTENE/tillsyn/A 34450-2023.docx")</f>
        <v/>
      </c>
      <c r="Y526">
        <f>HYPERLINK("https://klasma.github.io/Logging_GOTENE/tillsynsmail/A 34450-2023.docx")</f>
        <v/>
      </c>
    </row>
    <row r="527" ht="15" customHeight="1">
      <c r="A527" t="inlineStr">
        <is>
          <t>A 34766-2023</t>
        </is>
      </c>
      <c r="B527" s="1" t="n">
        <v>45140</v>
      </c>
      <c r="C527" s="1" t="n">
        <v>45182</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c r="T527">
        <f>HYPERLINK("https://klasma.github.io/Logging_ULRICEHAMN/kartor/A 34766-2023.png")</f>
        <v/>
      </c>
      <c r="V527">
        <f>HYPERLINK("https://klasma.github.io/Logging_ULRICEHAMN/klagomål/A 34766-2023.docx")</f>
        <v/>
      </c>
      <c r="W527">
        <f>HYPERLINK("https://klasma.github.io/Logging_ULRICEHAMN/klagomålsmail/A 34766-2023.docx")</f>
        <v/>
      </c>
      <c r="X527">
        <f>HYPERLINK("https://klasma.github.io/Logging_ULRICEHAMN/tillsyn/A 34766-2023.docx")</f>
        <v/>
      </c>
      <c r="Y527">
        <f>HYPERLINK("https://klasma.github.io/Logging_ULRICEHAMN/tillsynsmail/A 34766-2023.docx")</f>
        <v/>
      </c>
    </row>
    <row r="528" ht="15" customHeight="1">
      <c r="A528" t="inlineStr">
        <is>
          <t>A 37767-2023</t>
        </is>
      </c>
      <c r="B528" s="1" t="n">
        <v>45159</v>
      </c>
      <c r="C528" s="1" t="n">
        <v>45182</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c r="T528">
        <f>HYPERLINK("https://klasma.github.io/Logging_GULLSPANG/kartor/A 37767-2023.png")</f>
        <v/>
      </c>
      <c r="V528">
        <f>HYPERLINK("https://klasma.github.io/Logging_GULLSPANG/klagomål/A 37767-2023.docx")</f>
        <v/>
      </c>
      <c r="W528">
        <f>HYPERLINK("https://klasma.github.io/Logging_GULLSPANG/klagomålsmail/A 37767-2023.docx")</f>
        <v/>
      </c>
      <c r="X528">
        <f>HYPERLINK("https://klasma.github.io/Logging_GULLSPANG/tillsyn/A 37767-2023.docx")</f>
        <v/>
      </c>
      <c r="Y528">
        <f>HYPERLINK("https://klasma.github.io/Logging_GULLSPANG/tillsynsmail/A 37767-2023.docx")</f>
        <v/>
      </c>
    </row>
    <row r="529" ht="15" customHeight="1">
      <c r="A529" t="inlineStr">
        <is>
          <t>A 33939-2018</t>
        </is>
      </c>
      <c r="B529" s="1" t="n">
        <v>43314</v>
      </c>
      <c r="C529" s="1" t="n">
        <v>45182</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45182</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45182</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45182</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45182</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45182</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45182</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45182</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45182</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45182</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45182</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45182</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45182</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45182</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45182</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45182</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45182</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45182</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45182</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45182</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45182</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45182</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45182</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45182</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45182</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45182</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45182</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45182</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45182</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45182</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45182</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45182</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45182</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45182</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45182</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45182</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45182</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45182</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45182</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45182</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45182</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45182</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45182</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45182</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45182</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45182</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45182</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45182</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45182</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45182</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45182</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45182</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45182</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45182</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45182</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45182</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45182</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45182</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45182</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45182</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45182</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45182</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45182</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45182</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45182</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45182</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45182</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45182</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45182</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45182</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45182</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45182</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45182</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45182</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45182</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45182</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45182</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45182</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45182</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45182</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45182</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45182</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45182</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45182</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45182</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45182</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45182</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45182</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45182</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45182</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45182</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45182</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45182</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45182</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45182</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45182</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45182</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45182</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45182</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45182</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45182</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45182</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45182</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45182</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45182</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45182</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45182</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45182</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45182</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45182</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45182</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45182</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45182</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45182</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45182</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45182</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45182</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45182</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45182</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45182</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45182</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45182</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45182</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45182</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45182</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45182</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45182</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45182</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45182</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45182</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45182</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45182</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45182</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45182</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45182</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45182</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45182</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45182</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45182</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45182</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45182</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45182</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45182</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45182</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45182</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45182</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45182</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45182</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45182</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45182</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45182</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45182</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45182</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45182</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45182</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45182</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45182</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45182</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45182</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45182</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45182</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45182</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45182</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45182</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45182</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45182</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45182</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45182</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45182</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45182</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45182</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45182</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45182</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45182</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45182</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45182</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45182</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45182</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45182</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45182</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45182</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45182</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45182</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45182</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45182</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45182</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45182</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45182</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45182</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45182</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45182</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45182</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45182</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45182</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45182</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45182</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45182</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45182</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45182</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45182</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45182</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45182</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45182</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45182</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45182</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45182</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45182</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45182</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45182</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45182</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45182</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45182</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45182</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45182</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45182</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45182</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45182</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45182</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45182</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45182</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45182</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45182</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45182</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45182</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45182</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45182</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45182</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45182</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45182</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45182</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45182</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45182</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45182</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45182</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45182</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45182</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45182</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45182</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45182</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45182</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45182</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45182</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45182</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45182</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45182</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45182</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45182</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45182</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45182</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45182</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45182</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45182</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45182</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45182</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45182</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45182</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45182</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45182</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45182</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45182</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45182</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45182</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45182</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45182</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45182</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45182</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45182</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45182</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45182</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45182</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45182</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45182</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45182</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45182</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45182</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45182</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45182</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45182</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45182</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45182</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45182</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45182</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45182</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45182</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45182</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45182</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45182</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45182</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45182</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45182</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45182</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45182</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45182</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45182</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45182</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45182</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45182</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45182</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45182</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45182</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45182</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45182</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45182</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45182</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45182</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45182</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45182</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45182</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45182</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45182</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45182</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45182</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45182</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45182</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45182</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45182</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45182</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45182</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45182</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45182</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45182</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45182</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45182</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45182</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45182</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45182</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45182</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45182</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45182</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45182</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45182</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45182</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45182</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45182</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45182</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45182</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45182</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45182</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45182</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45182</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45182</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45182</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45182</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45182</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45182</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45182</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45182</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45182</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45182</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45182</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45182</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45182</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45182</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45182</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45182</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45182</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45182</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45182</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45182</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45182</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45182</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45182</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45182</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45182</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45182</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45182</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45182</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45182</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45182</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45182</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45182</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45182</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45182</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45182</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45182</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45182</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45182</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45182</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45182</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45182</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45182</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45182</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45182</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45182</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45182</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45182</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45182</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45182</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45182</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45182</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45182</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45182</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45182</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45182</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45182</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45182</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45182</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45182</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45182</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45182</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45182</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45182</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45182</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45182</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45182</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45182</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45182</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45182</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45182</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45182</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45182</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45182</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45182</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45182</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45182</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45182</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45182</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45182</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45182</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45182</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45182</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45182</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45182</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45182</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45182</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45182</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45182</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45182</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45182</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45182</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45182</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45182</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45182</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45182</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45182</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45182</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45182</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45182</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45182</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45182</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45182</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45182</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45182</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45182</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45182</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45182</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45182</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45182</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45182</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45182</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45182</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45182</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45182</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45182</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45182</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45182</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45182</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45182</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45182</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45182</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45182</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45182</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45182</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45182</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45182</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45182</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45182</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45182</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45182</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45182</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45182</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45182</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45182</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45182</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45182</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45182</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45182</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45182</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45182</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45182</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45182</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45182</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45182</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45182</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45182</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45182</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45182</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45182</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45182</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45182</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45182</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45182</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45182</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45182</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45182</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45182</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45182</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45182</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45182</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45182</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45182</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45182</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45182</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45182</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45182</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45182</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45182</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45182</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45182</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45182</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45182</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45182</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45182</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45182</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45182</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45182</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45182</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45182</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45182</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45182</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45182</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45182</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45182</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45182</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45182</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45182</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45182</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45182</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45182</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45182</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45182</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45182</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45182</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45182</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45182</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45182</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45182</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45182</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45182</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45182</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45182</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45182</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45182</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45182</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45182</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45182</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45182</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45182</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45182</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45182</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45182</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45182</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45182</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45182</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45182</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45182</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45182</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45182</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45182</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45182</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45182</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45182</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45182</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45182</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45182</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45182</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45182</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45182</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45182</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45182</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45182</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45182</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45182</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45182</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45182</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45182</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45182</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45182</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45182</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45182</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45182</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45182</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45182</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45182</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45182</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45182</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45182</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45182</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45182</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45182</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45182</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45182</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45182</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45182</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45182</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45182</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45182</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45182</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45182</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45182</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45182</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45182</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45182</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45182</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45182</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45182</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45182</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45182</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45182</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45182</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45182</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45182</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45182</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45182</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45182</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45182</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45182</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45182</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45182</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45182</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45182</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45182</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45182</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45182</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45182</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45182</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45182</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45182</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45182</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45182</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45182</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45182</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45182</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45182</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45182</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45182</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45182</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45182</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45182</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45182</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45182</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45182</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45182</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45182</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45182</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45182</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45182</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45182</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45182</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45182</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45182</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45182</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45182</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45182</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45182</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45182</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45182</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45182</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45182</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45182</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45182</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45182</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45182</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45182</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45182</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45182</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45182</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45182</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45182</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45182</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45182</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45182</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45182</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45182</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45182</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45182</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45182</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45182</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45182</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45182</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45182</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45182</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45182</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45182</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45182</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45182</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45182</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45182</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45182</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45182</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45182</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45182</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45182</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45182</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45182</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45182</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45182</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45182</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45182</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45182</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45182</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45182</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45182</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45182</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45182</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45182</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45182</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45182</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45182</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45182</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45182</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45182</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45182</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45182</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45182</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45182</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45182</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45182</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45182</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45182</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45182</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45182</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45182</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45182</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45182</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45182</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45182</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45182</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45182</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45182</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45182</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45182</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45182</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45182</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45182</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45182</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45182</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45182</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45182</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45182</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45182</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45182</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45182</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45182</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45182</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45182</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45182</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45182</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45182</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45182</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45182</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45182</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45182</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45182</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45182</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45182</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45182</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45182</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45182</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45182</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45182</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45182</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45182</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45182</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45182</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45182</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45182</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45182</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45182</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45182</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45182</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45182</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45182</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45182</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45182</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45182</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45182</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45182</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45182</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45182</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45182</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45182</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45182</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45182</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45182</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45182</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45182</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45182</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45182</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45182</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45182</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45182</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45182</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45182</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45182</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45182</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45182</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45182</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45182</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45182</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45182</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45182</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45182</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45182</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45182</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45182</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45182</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45182</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45182</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45182</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45182</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45182</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45182</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45182</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45182</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45182</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45182</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45182</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45182</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45182</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45182</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45182</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45182</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45182</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45182</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45182</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45182</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45182</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45182</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45182</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45182</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45182</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45182</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45182</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45182</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45182</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45182</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45182</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45182</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45182</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45182</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45182</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45182</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45182</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45182</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45182</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45182</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45182</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45182</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45182</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45182</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45182</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45182</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45182</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45182</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45182</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45182</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45182</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45182</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45182</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45182</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45182</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45182</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45182</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45182</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45182</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45182</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45182</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45182</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45182</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45182</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45182</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45182</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45182</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45182</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45182</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45182</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45182</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45182</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45182</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45182</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45182</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45182</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45182</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45182</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45182</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45182</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45182</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45182</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45182</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45182</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45182</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45182</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45182</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45182</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45182</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45182</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45182</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45182</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45182</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45182</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45182</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45182</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45182</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45182</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45182</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45182</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45182</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45182</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45182</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45182</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45182</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45182</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45182</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45182</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45182</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45182</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45182</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45182</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45182</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45182</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45182</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45182</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45182</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45182</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45182</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45182</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45182</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45182</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45182</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45182</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45182</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45182</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45182</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45182</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45182</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45182</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45182</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45182</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45182</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45182</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45182</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45182</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45182</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45182</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45182</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45182</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45182</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45182</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45182</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45182</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45182</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45182</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45182</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45182</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45182</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45182</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45182</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45182</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45182</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45182</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45182</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45182</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45182</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45182</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45182</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45182</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45182</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45182</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45182</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45182</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45182</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45182</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45182</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45182</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45182</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45182</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45182</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45182</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45182</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45182</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45182</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45182</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45182</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45182</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45182</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45182</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45182</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45182</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45182</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45182</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45182</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45182</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45182</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45182</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45182</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45182</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45182</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45182</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45182</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45182</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45182</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45182</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45182</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45182</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45182</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45182</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45182</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45182</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45182</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45182</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45182</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45182</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45182</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45182</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45182</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45182</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45182</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45182</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45182</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45182</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45182</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45182</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45182</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45182</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45182</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45182</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45182</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45182</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45182</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45182</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45182</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45182</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45182</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45182</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45182</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45182</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45182</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45182</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45182</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45182</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45182</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45182</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45182</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45182</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45182</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45182</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45182</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45182</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45182</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45182</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45182</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45182</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45182</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45182</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45182</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45182</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45182</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45182</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45182</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45182</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45182</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45182</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45182</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45182</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45182</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45182</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45182</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45182</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45182</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45182</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45182</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45182</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45182</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45182</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45182</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45182</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45182</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45182</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45182</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45182</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45182</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45182</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45182</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45182</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45182</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45182</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45182</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45182</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45182</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45182</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45182</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45182</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45182</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45182</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45182</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45182</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45182</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45182</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45182</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45182</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45182</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45182</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45182</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45182</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45182</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45182</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45182</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45182</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45182</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45182</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45182</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45182</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45182</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45182</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45182</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45182</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45182</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45182</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45182</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45182</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45182</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45182</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45182</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45182</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45182</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45182</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45182</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45182</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45182</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45182</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45182</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45182</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45182</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45182</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45182</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45182</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45182</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45182</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45182</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45182</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45182</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45182</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45182</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45182</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45182</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45182</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45182</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45182</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45182</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45182</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45182</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45182</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45182</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45182</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45182</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45182</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45182</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45182</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45182</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45182</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45182</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45182</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45182</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45182</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45182</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45182</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45182</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45182</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45182</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45182</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45182</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45182</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45182</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45182</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45182</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45182</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45182</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45182</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45182</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45182</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45182</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45182</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45182</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45182</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45182</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45182</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45182</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45182</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45182</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45182</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45182</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45182</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45182</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45182</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45182</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45182</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45182</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45182</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45182</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45182</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45182</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45182</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45182</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45182</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45182</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45182</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45182</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45182</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45182</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45182</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45182</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45182</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45182</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45182</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45182</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45182</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45182</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45182</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45182</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45182</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45182</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45182</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45182</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45182</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45182</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45182</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45182</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45182</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45182</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45182</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45182</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45182</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45182</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45182</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45182</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45182</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45182</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45182</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45182</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45182</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45182</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45182</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45182</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45182</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45182</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45182</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45182</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45182</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45182</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45182</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45182</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45182</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45182</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45182</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45182</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45182</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45182</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45182</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45182</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45182</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45182</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45182</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45182</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45182</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45182</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45182</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45182</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45182</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45182</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45182</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45182</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45182</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45182</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45182</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45182</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45182</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45182</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45182</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45182</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45182</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45182</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45182</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45182</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45182</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45182</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45182</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45182</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45182</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45182</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45182</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45182</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45182</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45182</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45182</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45182</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45182</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45182</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45182</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45182</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45182</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45182</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45182</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45182</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45182</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45182</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45182</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45182</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45182</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45182</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45182</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45182</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45182</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45182</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45182</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45182</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45182</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45182</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45182</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45182</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45182</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45182</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45182</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45182</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45182</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45182</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45182</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45182</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45182</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45182</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45182</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45182</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45182</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45182</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45182</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45182</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45182</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45182</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45182</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45182</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45182</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45182</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45182</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45182</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45182</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45182</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45182</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45182</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45182</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45182</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45182</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45182</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45182</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45182</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45182</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45182</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45182</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45182</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45182</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45182</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45182</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45182</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45182</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45182</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45182</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45182</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45182</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45182</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45182</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45182</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45182</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45182</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45182</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45182</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45182</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45182</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45182</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45182</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45182</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45182</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45182</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45182</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45182</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45182</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45182</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45182</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45182</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45182</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45182</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45182</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45182</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45182</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45182</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45182</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45182</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45182</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45182</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45182</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45182</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45182</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45182</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45182</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45182</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45182</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45182</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45182</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45182</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45182</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45182</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45182</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45182</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45182</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45182</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45182</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45182</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45182</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45182</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45182</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45182</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45182</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45182</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45182</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45182</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45182</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45182</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45182</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45182</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45182</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45182</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45182</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45182</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45182</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45182</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45182</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45182</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45182</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45182</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45182</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45182</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45182</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45182</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45182</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45182</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45182</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45182</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45182</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45182</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45182</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45182</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45182</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45182</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45182</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45182</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45182</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45182</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45182</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45182</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45182</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45182</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45182</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45182</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45182</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45182</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45182</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45182</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45182</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45182</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45182</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45182</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45182</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45182</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45182</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45182</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45182</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45182</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45182</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f>
        <v/>
      </c>
      <c r="V2004">
        <f>HYPERLINK("https://klasma.github.io/Logging_VARGARDA/klagomål/A 12417-2019.docx")</f>
        <v/>
      </c>
      <c r="W2004">
        <f>HYPERLINK("https://klasma.github.io/Logging_VARGARDA/klagomålsmail/A 12417-2019.docx")</f>
        <v/>
      </c>
      <c r="X2004">
        <f>HYPERLINK("https://klasma.github.io/Logging_VARGARDA/tillsyn/A 12417-2019.docx")</f>
        <v/>
      </c>
      <c r="Y2004">
        <f>HYPERLINK("https://klasma.github.io/Logging_VARGARDA/tillsynsmail/A 12417-2019.docx")</f>
        <v/>
      </c>
    </row>
    <row r="2005" ht="15" customHeight="1">
      <c r="A2005" t="inlineStr">
        <is>
          <t>A 12557-2019</t>
        </is>
      </c>
      <c r="B2005" s="1" t="n">
        <v>43524</v>
      </c>
      <c r="C2005" s="1" t="n">
        <v>45182</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45182</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45182</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45182</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45182</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45182</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45182</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45182</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45182</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45182</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45182</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45182</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45182</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45182</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45182</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45182</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45182</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45182</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45182</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45182</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45182</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45182</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45182</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45182</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45182</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45182</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45182</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45182</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45182</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45182</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45182</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45182</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45182</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45182</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45182</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45182</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45182</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45182</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45182</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45182</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45182</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45182</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45182</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45182</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45182</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45182</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45182</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45182</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45182</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45182</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45182</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45182</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45182</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45182</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45182</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45182</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45182</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45182</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45182</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45182</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45182</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45182</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45182</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45182</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45182</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45182</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45182</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45182</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45182</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45182</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45182</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45182</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45182</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45182</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45182</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45182</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45182</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45182</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45182</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45182</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45182</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45182</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45182</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45182</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45182</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45182</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45182</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45182</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45182</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45182</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45182</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45182</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45182</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45182</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45182</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45182</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45182</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45182</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45182</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45182</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45182</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45182</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45182</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45182</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45182</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45182</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45182</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45182</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45182</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45182</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45182</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45182</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45182</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45182</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45182</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45182</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45182</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45182</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45182</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45182</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45182</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45182</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45182</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45182</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45182</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45182</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45182</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45182</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45182</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45182</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45182</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45182</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45182</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45182</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45182</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45182</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45182</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45182</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45182</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45182</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45182</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45182</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45182</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45182</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45182</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45182</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45182</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45182</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45182</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45182</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45182</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45182</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45182</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45182</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45182</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45182</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45182</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45182</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45182</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45182</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45182</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45182</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45182</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45182</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45182</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45182</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45182</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45182</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45182</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45182</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45182</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45182</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45182</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45182</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45182</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45182</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45182</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45182</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45182</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45182</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45182</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45182</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45182</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45182</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45182</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45182</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45182</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45182</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45182</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45182</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45182</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45182</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45182</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45182</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45182</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45182</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45182</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45182</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45182</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45182</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45182</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45182</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45182</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45182</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45182</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45182</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45182</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45182</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45182</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45182</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45182</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45182</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45182</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45182</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45182</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45182</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45182</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45182</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45182</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45182</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45182</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45182</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45182</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45182</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45182</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45182</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45182</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45182</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45182</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45182</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45182</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45182</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45182</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45182</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45182</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45182</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45182</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45182</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45182</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45182</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45182</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45182</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45182</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45182</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45182</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45182</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45182</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45182</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45182</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45182</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45182</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45182</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45182</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45182</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45182</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45182</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45182</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45182</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45182</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45182</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45182</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45182</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45182</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45182</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45182</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45182</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45182</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45182</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45182</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45182</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45182</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45182</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45182</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45182</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45182</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45182</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45182</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45182</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45182</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45182</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45182</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45182</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45182</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45182</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45182</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45182</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45182</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45182</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45182</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45182</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45182</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45182</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45182</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45182</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45182</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45182</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45182</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45182</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45182</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45182</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45182</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45182</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45182</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45182</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45182</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45182</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45182</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45182</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45182</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45182</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45182</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45182</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45182</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45182</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45182</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45182</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45182</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45182</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45182</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45182</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45182</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45182</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45182</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45182</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45182</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45182</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45182</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45182</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45182</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45182</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45182</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45182</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45182</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45182</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45182</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45182</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45182</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45182</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45182</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45182</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45182</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45182</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45182</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45182</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45182</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45182</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45182</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45182</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45182</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45182</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45182</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45182</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45182</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45182</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45182</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45182</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45182</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45182</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45182</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45182</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45182</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45182</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45182</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45182</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45182</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45182</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45182</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45182</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45182</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45182</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45182</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45182</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45182</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45182</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45182</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45182</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45182</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45182</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45182</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45182</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45182</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45182</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45182</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45182</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45182</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45182</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45182</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45182</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45182</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45182</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45182</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45182</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45182</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45182</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45182</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45182</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45182</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45182</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45182</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45182</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45182</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45182</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45182</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45182</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45182</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45182</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45182</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45182</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45182</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45182</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45182</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45182</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45182</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45182</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45182</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45182</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45182</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45182</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45182</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45182</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45182</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45182</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45182</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45182</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45182</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45182</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45182</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45182</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45182</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45182</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45182</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45182</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45182</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45182</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45182</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45182</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45182</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45182</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45182</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45182</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45182</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45182</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45182</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45182</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45182</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45182</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45182</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45182</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45182</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45182</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45182</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45182</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45182</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45182</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45182</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45182</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45182</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45182</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45182</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45182</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45182</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45182</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45182</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45182</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45182</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45182</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45182</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45182</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45182</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45182</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45182</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45182</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45182</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45182</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45182</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45182</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45182</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45182</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45182</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45182</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45182</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45182</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45182</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45182</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45182</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45182</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45182</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45182</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45182</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45182</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45182</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45182</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45182</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45182</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45182</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45182</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45182</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45182</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45182</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45182</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45182</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45182</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45182</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45182</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45182</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45182</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45182</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45182</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45182</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45182</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45182</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45182</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45182</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45182</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45182</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45182</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45182</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45182</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45182</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45182</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45182</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45182</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45182</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45182</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45182</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45182</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45182</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45182</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45182</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45182</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45182</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45182</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45182</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45182</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45182</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45182</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45182</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45182</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45182</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45182</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45182</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45182</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45182</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45182</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45182</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45182</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45182</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45182</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45182</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45182</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45182</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45182</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45182</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45182</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45182</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45182</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45182</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45182</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45182</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45182</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45182</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45182</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45182</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45182</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45182</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45182</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45182</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45182</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45182</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45182</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45182</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45182</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45182</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45182</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45182</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45182</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45182</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45182</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45182</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45182</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45182</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45182</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45182</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45182</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45182</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45182</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45182</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45182</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45182</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45182</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45182</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45182</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45182</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45182</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45182</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45182</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45182</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45182</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45182</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45182</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45182</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45182</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45182</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45182</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45182</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45182</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45182</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45182</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45182</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45182</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45182</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45182</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45182</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45182</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45182</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45182</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45182</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45182</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45182</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45182</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45182</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45182</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45182</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45182</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45182</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45182</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45182</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45182</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45182</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45182</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45182</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45182</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45182</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45182</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45182</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45182</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45182</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45182</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45182</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45182</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45182</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45182</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45182</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45182</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45182</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45182</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45182</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45182</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45182</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45182</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45182</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45182</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45182</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45182</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45182</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45182</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45182</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45182</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45182</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45182</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45182</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45182</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45182</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45182</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45182</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45182</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45182</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45182</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45182</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45182</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45182</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45182</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45182</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45182</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45182</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45182</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45182</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45182</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45182</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45182</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45182</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45182</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45182</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45182</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45182</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45182</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45182</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45182</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45182</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45182</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45182</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45182</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45182</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45182</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45182</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45182</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45182</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45182</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45182</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45182</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45182</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45182</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45182</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45182</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45182</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45182</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45182</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45182</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45182</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45182</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45182</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45182</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45182</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45182</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45182</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45182</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45182</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45182</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45182</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45182</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45182</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45182</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45182</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45182</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45182</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45182</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45182</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45182</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45182</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45182</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45182</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45182</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45182</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45182</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45182</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45182</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45182</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45182</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45182</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45182</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45182</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45182</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45182</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45182</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45182</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45182</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45182</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45182</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45182</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45182</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45182</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45182</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45182</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45182</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45182</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45182</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45182</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45182</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45182</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45182</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45182</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45182</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45182</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45182</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45182</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45182</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45182</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45182</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45182</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45182</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45182</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45182</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45182</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45182</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45182</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45182</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45182</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f>
        <v/>
      </c>
      <c r="V2781">
        <f>HYPERLINK("https://klasma.github.io/Logging_ORUST/klagomål/A 31655-2019.docx")</f>
        <v/>
      </c>
      <c r="W2781">
        <f>HYPERLINK("https://klasma.github.io/Logging_ORUST/klagomålsmail/A 31655-2019.docx")</f>
        <v/>
      </c>
      <c r="X2781">
        <f>HYPERLINK("https://klasma.github.io/Logging_ORUST/tillsyn/A 31655-2019.docx")</f>
        <v/>
      </c>
      <c r="Y2781">
        <f>HYPERLINK("https://klasma.github.io/Logging_ORUST/tillsynsmail/A 31655-2019.docx")</f>
        <v/>
      </c>
    </row>
    <row r="2782" ht="15" customHeight="1">
      <c r="A2782" t="inlineStr">
        <is>
          <t>A 31753-2019</t>
        </is>
      </c>
      <c r="B2782" s="1" t="n">
        <v>43642</v>
      </c>
      <c r="C2782" s="1" t="n">
        <v>45182</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45182</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45182</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45182</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45182</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45182</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45182</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45182</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45182</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45182</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45182</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45182</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45182</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45182</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45182</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45182</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45182</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45182</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45182</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45182</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45182</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45182</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45182</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45182</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45182</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45182</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45182</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45182</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45182</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45182</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45182</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45182</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45182</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45182</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45182</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45182</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45182</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45182</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45182</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45182</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45182</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45182</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45182</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45182</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45182</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45182</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45182</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45182</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45182</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45182</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45182</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45182</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45182</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45182</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45182</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45182</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45182</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45182</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45182</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45182</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45182</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45182</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45182</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45182</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45182</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45182</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45182</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45182</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45182</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45182</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45182</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45182</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45182</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45182</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45182</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45182</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45182</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45182</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45182</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45182</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45182</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45182</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45182</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45182</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45182</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45182</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45182</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45182</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45182</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45182</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45182</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45182</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45182</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45182</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45182</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45182</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45182</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45182</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45182</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45182</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45182</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45182</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45182</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45182</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45182</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45182</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45182</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45182</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45182</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45182</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45182</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45182</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45182</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45182</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45182</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45182</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45182</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45182</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45182</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45182</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45182</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45182</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45182</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45182</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45182</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45182</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45182</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45182</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45182</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45182</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45182</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45182</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45182</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45182</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45182</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45182</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45182</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45182</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45182</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45182</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45182</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45182</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45182</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45182</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45182</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45182</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45182</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45182</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45182</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45182</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45182</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45182</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45182</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45182</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45182</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45182</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45182</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45182</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45182</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45182</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45182</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45182</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45182</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45182</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45182</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45182</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45182</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45182</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45182</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45182</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45182</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45182</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45182</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45182</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45182</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45182</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45182</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45182</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45182</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45182</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45182</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45182</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45182</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45182</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45182</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45182</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45182</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45182</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45182</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45182</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45182</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45182</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45182</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45182</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45182</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45182</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45182</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45182</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45182</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45182</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45182</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45182</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45182</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45182</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45182</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45182</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45182</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45182</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45182</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45182</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45182</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45182</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45182</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45182</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45182</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45182</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45182</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45182</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45182</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45182</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45182</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45182</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45182</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45182</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45182</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45182</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45182</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45182</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45182</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45182</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45182</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45182</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45182</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45182</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45182</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45182</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45182</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45182</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45182</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45182</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45182</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45182</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45182</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45182</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45182</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45182</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45182</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45182</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45182</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45182</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45182</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45182</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45182</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45182</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45182</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45182</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45182</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45182</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45182</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45182</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45182</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45182</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45182</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45182</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45182</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45182</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45182</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45182</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45182</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45182</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45182</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45182</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45182</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45182</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45182</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45182</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45182</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45182</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45182</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45182</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45182</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45182</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45182</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45182</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45182</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45182</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45182</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45182</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45182</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45182</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45182</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45182</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45182</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45182</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45182</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45182</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45182</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45182</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45182</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45182</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45182</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45182</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45182</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45182</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45182</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45182</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45182</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45182</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45182</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45182</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45182</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45182</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45182</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45182</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45182</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45182</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45182</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45182</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f>
        <v/>
      </c>
      <c r="V3099">
        <f>HYPERLINK("https://klasma.github.io/Logging_MARIESTAD/klagomål/A 43341-2019.docx")</f>
        <v/>
      </c>
      <c r="W3099">
        <f>HYPERLINK("https://klasma.github.io/Logging_MARIESTAD/klagomålsmail/A 43341-2019.docx")</f>
        <v/>
      </c>
      <c r="X3099">
        <f>HYPERLINK("https://klasma.github.io/Logging_MARIESTAD/tillsyn/A 43341-2019.docx")</f>
        <v/>
      </c>
      <c r="Y3099">
        <f>HYPERLINK("https://klasma.github.io/Logging_MARIESTAD/tillsynsmail/A 43341-2019.docx")</f>
        <v/>
      </c>
    </row>
    <row r="3100" ht="15" customHeight="1">
      <c r="A3100" t="inlineStr">
        <is>
          <t>A 43362-2019</t>
        </is>
      </c>
      <c r="B3100" s="1" t="n">
        <v>43706</v>
      </c>
      <c r="C3100" s="1" t="n">
        <v>45182</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45182</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45182</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45182</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45182</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45182</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45182</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45182</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45182</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45182</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45182</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45182</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45182</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45182</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45182</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45182</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45182</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45182</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45182</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45182</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45182</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45182</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45182</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45182</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45182</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45182</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45182</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45182</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45182</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45182</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45182</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45182</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45182</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45182</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45182</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45182</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45182</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45182</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45182</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45182</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45182</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45182</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45182</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45182</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45182</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45182</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45182</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45182</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45182</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45182</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45182</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45182</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45182</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45182</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45182</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45182</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45182</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45182</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45182</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45182</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45182</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45182</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45182</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45182</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45182</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45182</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45182</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45182</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45182</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45182</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45182</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45182</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45182</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45182</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45182</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45182</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45182</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45182</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45182</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45182</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45182</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45182</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45182</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45182</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45182</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45182</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45182</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45182</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45182</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45182</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45182</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45182</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45182</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45182</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45182</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45182</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45182</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45182</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45182</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45182</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45182</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45182</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45182</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45182</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45182</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45182</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45182</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45182</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45182</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45182</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45182</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45182</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45182</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45182</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45182</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45182</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45182</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45182</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45182</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45182</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45182</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45182</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45182</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45182</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45182</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45182</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45182</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45182</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45182</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45182</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45182</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45182</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45182</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45182</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45182</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45182</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45182</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45182</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45182</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45182</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45182</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45182</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45182</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45182</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45182</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45182</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45182</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45182</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45182</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45182</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45182</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45182</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45182</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45182</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45182</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45182</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45182</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45182</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45182</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45182</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45182</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45182</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45182</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45182</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45182</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45182</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45182</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45182</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45182</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45182</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45182</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45182</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45182</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45182</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45182</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45182</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45182</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45182</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45182</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45182</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45182</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45182</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45182</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45182</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45182</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45182</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45182</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45182</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45182</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45182</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45182</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45182</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45182</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45182</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45182</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45182</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45182</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45182</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45182</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45182</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45182</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45182</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45182</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45182</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45182</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45182</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45182</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45182</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45182</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45182</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45182</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45182</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45182</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45182</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45182</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45182</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45182</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45182</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45182</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45182</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45182</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45182</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45182</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45182</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45182</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45182</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45182</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45182</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45182</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45182</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45182</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45182</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45182</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45182</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45182</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45182</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45182</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45182</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45182</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45182</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45182</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45182</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45182</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45182</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45182</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45182</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45182</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45182</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45182</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45182</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45182</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45182</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45182</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45182</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45182</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45182</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45182</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45182</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45182</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45182</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45182</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45182</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45182</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45182</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45182</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45182</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45182</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45182</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45182</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45182</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45182</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45182</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45182</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45182</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45182</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45182</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45182</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45182</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45182</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45182</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45182</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45182</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45182</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45182</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45182</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45182</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45182</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45182</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45182</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45182</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45182</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45182</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45182</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45182</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45182</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45182</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45182</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45182</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45182</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45182</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45182</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45182</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45182</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45182</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45182</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45182</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45182</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45182</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45182</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45182</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45182</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45182</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45182</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45182</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45182</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45182</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45182</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45182</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45182</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45182</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45182</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45182</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45182</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45182</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45182</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45182</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45182</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45182</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45182</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45182</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45182</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45182</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45182</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45182</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45182</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45182</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45182</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45182</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45182</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45182</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45182</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45182</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45182</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f>
        <v/>
      </c>
      <c r="V3442">
        <f>HYPERLINK("https://klasma.github.io/Logging_STROMSTAD/klagomål/A 57455-2019.docx")</f>
        <v/>
      </c>
      <c r="W3442">
        <f>HYPERLINK("https://klasma.github.io/Logging_STROMSTAD/klagomålsmail/A 57455-2019.docx")</f>
        <v/>
      </c>
      <c r="X3442">
        <f>HYPERLINK("https://klasma.github.io/Logging_STROMSTAD/tillsyn/A 57455-2019.docx")</f>
        <v/>
      </c>
      <c r="Y3442">
        <f>HYPERLINK("https://klasma.github.io/Logging_STROMSTAD/tillsynsmail/A 57455-2019.docx")</f>
        <v/>
      </c>
    </row>
    <row r="3443" ht="15" customHeight="1">
      <c r="A3443" t="inlineStr">
        <is>
          <t>A 57528-2019</t>
        </is>
      </c>
      <c r="B3443" s="1" t="n">
        <v>43767</v>
      </c>
      <c r="C3443" s="1" t="n">
        <v>45182</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45182</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45182</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45182</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45182</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45182</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45182</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45182</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45182</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45182</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45182</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45182</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45182</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45182</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45182</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45182</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45182</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45182</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45182</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45182</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45182</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45182</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45182</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45182</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45182</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45182</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45182</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45182</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45182</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45182</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45182</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45182</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45182</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45182</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45182</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45182</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45182</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45182</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45182</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45182</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45182</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45182</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45182</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45182</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45182</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45182</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45182</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45182</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45182</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45182</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45182</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45182</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45182</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45182</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45182</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45182</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45182</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45182</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45182</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45182</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45182</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45182</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45182</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45182</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45182</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45182</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45182</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45182</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45182</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45182</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45182</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45182</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45182</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45182</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45182</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45182</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45182</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45182</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45182</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45182</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45182</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45182</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45182</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45182</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45182</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45182</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45182</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45182</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45182</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45182</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45182</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45182</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45182</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45182</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45182</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45182</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45182</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45182</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45182</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45182</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45182</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45182</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45182</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45182</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45182</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45182</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45182</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45182</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45182</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45182</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45182</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45182</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45182</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45182</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45182</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45182</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45182</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45182</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45182</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45182</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45182</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45182</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45182</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45182</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45182</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45182</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45182</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45182</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45182</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45182</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45182</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45182</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45182</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45182</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45182</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45182</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45182</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45182</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45182</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45182</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45182</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45182</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45182</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45182</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45182</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45182</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45182</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45182</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45182</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45182</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45182</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45182</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45182</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45182</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45182</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45182</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45182</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45182</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45182</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45182</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45182</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45182</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45182</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45182</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45182</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45182</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45182</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45182</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45182</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45182</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45182</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45182</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45182</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45182</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45182</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45182</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45182</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45182</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45182</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45182</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45182</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45182</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45182</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45182</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45182</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45182</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45182</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45182</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45182</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45182</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45182</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45182</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45182</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45182</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45182</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45182</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45182</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45182</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45182</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45182</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45182</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45182</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45182</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45182</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45182</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45182</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45182</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45182</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45182</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45182</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45182</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45182</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45182</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45182</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45182</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45182</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45182</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45182</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45182</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45182</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45182</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45182</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45182</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45182</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45182</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45182</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45182</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45182</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45182</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45182</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45182</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45182</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45182</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45182</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45182</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45182</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45182</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45182</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45182</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45182</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45182</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45182</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45182</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45182</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45182</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45182</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45182</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45182</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45182</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45182</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45182</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45182</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45182</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45182</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45182</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45182</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45182</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45182</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45182</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45182</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45182</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45182</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45182</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45182</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45182</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45182</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45182</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45182</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45182</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45182</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45182</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45182</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45182</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45182</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45182</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45182</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45182</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45182</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45182</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45182</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45182</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45182</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45182</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45182</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45182</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45182</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45182</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45182</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45182</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45182</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45182</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45182</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45182</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45182</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45182</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45182</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45182</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45182</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45182</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45182</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45182</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45182</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45182</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45182</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45182</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45182</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45182</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45182</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45182</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45182</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45182</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45182</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45182</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45182</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45182</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45182</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45182</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45182</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45182</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45182</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45182</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45182</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45182</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45182</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45182</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45182</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45182</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45182</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45182</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45182</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45182</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45182</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45182</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45182</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45182</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45182</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45182</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45182</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45182</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45182</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45182</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45182</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45182</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45182</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45182</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45182</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45182</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45182</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45182</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45182</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45182</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45182</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45182</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45182</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45182</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45182</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45182</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45182</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45182</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45182</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45182</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45182</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45182</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45182</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45182</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45182</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45182</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45182</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45182</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45182</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45182</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45182</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45182</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45182</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45182</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45182</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45182</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45182</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45182</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45182</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45182</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45182</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45182</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45182</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45182</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45182</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45182</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45182</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45182</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45182</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45182</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45182</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45182</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45182</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45182</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45182</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45182</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45182</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45182</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45182</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45182</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45182</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45182</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45182</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45182</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45182</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45182</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45182</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45182</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45182</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45182</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45182</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45182</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45182</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45182</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45182</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45182</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45182</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45182</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45182</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45182</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45182</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45182</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45182</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45182</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45182</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45182</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45182</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45182</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45182</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45182</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45182</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45182</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45182</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45182</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45182</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45182</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45182</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45182</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45182</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45182</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45182</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45182</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45182</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45182</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45182</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45182</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45182</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45182</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45182</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45182</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45182</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45182</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45182</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45182</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45182</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45182</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45182</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45182</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45182</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45182</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45182</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45182</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f>
        <v/>
      </c>
      <c r="V3905">
        <f>HYPERLINK("https://klasma.github.io/Logging_ULRICEHAMN/klagomål/A 1285-2020.docx")</f>
        <v/>
      </c>
      <c r="W3905">
        <f>HYPERLINK("https://klasma.github.io/Logging_ULRICEHAMN/klagomålsmail/A 1285-2020.docx")</f>
        <v/>
      </c>
      <c r="X3905">
        <f>HYPERLINK("https://klasma.github.io/Logging_ULRICEHAMN/tillsyn/A 1285-2020.docx")</f>
        <v/>
      </c>
      <c r="Y3905">
        <f>HYPERLINK("https://klasma.github.io/Logging_ULRICEHAMN/tillsynsmail/A 1285-2020.docx")</f>
        <v/>
      </c>
    </row>
    <row r="3906" ht="15" customHeight="1">
      <c r="A3906" t="inlineStr">
        <is>
          <t>A 1369-2020</t>
        </is>
      </c>
      <c r="B3906" s="1" t="n">
        <v>43843</v>
      </c>
      <c r="C3906" s="1" t="n">
        <v>45182</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45182</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45182</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45182</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45182</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45182</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45182</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45182</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45182</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45182</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45182</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45182</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45182</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45182</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45182</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45182</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45182</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45182</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45182</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45182</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45182</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45182</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45182</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45182</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45182</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45182</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45182</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45182</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45182</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45182</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45182</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45182</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45182</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45182</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45182</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45182</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45182</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45182</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45182</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45182</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45182</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45182</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45182</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45182</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45182</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45182</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45182</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45182</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45182</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45182</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45182</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45182</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45182</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45182</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45182</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45182</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45182</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45182</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45182</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45182</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45182</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45182</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45182</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45182</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45182</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45182</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45182</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45182</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45182</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45182</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45182</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45182</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45182</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45182</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45182</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45182</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45182</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45182</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45182</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45182</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45182</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45182</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45182</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45182</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45182</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45182</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45182</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45182</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45182</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45182</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45182</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45182</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45182</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45182</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45182</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45182</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45182</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45182</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45182</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45182</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45182</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45182</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45182</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45182</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45182</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45182</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45182</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45182</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45182</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45182</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45182</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45182</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45182</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45182</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45182</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45182</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45182</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45182</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45182</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45182</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45182</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45182</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45182</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45182</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45182</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45182</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45182</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45182</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45182</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45182</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45182</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45182</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45182</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45182</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45182</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45182</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45182</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45182</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45182</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45182</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45182</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45182</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45182</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45182</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45182</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45182</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45182</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45182</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45182</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45182</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45182</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45182</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45182</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45182</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45182</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45182</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45182</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45182</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45182</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45182</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45182</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45182</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45182</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45182</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45182</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45182</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45182</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45182</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45182</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45182</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45182</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45182</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45182</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45182</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45182</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45182</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45182</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45182</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45182</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45182</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45182</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45182</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45182</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45182</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45182</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45182</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45182</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45182</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45182</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45182</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45182</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45182</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45182</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45182</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45182</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45182</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45182</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45182</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45182</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45182</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45182</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45182</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45182</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45182</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45182</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45182</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45182</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45182</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45182</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45182</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45182</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45182</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45182</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45182</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45182</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45182</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45182</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45182</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45182</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45182</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45182</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45182</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45182</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45182</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45182</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45182</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45182</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45182</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45182</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45182</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45182</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45182</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45182</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45182</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45182</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45182</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45182</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45182</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45182</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45182</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45182</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45182</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45182</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45182</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45182</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45182</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45182</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45182</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45182</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45182</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45182</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45182</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45182</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45182</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45182</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45182</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45182</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45182</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45182</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45182</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45182</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45182</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45182</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45182</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45182</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45182</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45182</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45182</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45182</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45182</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45182</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45182</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45182</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45182</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45182</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45182</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45182</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45182</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45182</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45182</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45182</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45182</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45182</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45182</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45182</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45182</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45182</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45182</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45182</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45182</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45182</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45182</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45182</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45182</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45182</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45182</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45182</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45182</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45182</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45182</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45182</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45182</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45182</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45182</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45182</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45182</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45182</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45182</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45182</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45182</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45182</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45182</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45182</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45182</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45182</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45182</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45182</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45182</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45182</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45182</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45182</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45182</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45182</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45182</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45182</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45182</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45182</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45182</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45182</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45182</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45182</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45182</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45182</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45182</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45182</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45182</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45182</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45182</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45182</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45182</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45182</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45182</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45182</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45182</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45182</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45182</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45182</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45182</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45182</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45182</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45182</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45182</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45182</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45182</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45182</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45182</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45182</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45182</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45182</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45182</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45182</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45182</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45182</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45182</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45182</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45182</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45182</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45182</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45182</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45182</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45182</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45182</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45182</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45182</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45182</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45182</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45182</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45182</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45182</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45182</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45182</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45182</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45182</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45182</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45182</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45182</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45182</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45182</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45182</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45182</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45182</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45182</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45182</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45182</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45182</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45182</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45182</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45182</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45182</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45182</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45182</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45182</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45182</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45182</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45182</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45182</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45182</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45182</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45182</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45182</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45182</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45182</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45182</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45182</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45182</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45182</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45182</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45182</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45182</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45182</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45182</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45182</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45182</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45182</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45182</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45182</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45182</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45182</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45182</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45182</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45182</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45182</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45182</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45182</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45182</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45182</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45182</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45182</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45182</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45182</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45182</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45182</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45182</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45182</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45182</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45182</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45182</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45182</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45182</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45182</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45182</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45182</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45182</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45182</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45182</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45182</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45182</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45182</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45182</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45182</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45182</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45182</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45182</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45182</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45182</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45182</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45182</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45182</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45182</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45182</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45182</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45182</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45182</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45182</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45182</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45182</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45182</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45182</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45182</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45182</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45182</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45182</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45182</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45182</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45182</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45182</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45182</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45182</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45182</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45182</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45182</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45182</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45182</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45182</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45182</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45182</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45182</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45182</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45182</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45182</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45182</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45182</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45182</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45182</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45182</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45182</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45182</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45182</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45182</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45182</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45182</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45182</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45182</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45182</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45182</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45182</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45182</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45182</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45182</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45182</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45182</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45182</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45182</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45182</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45182</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45182</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45182</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45182</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45182</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45182</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45182</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45182</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45182</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45182</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45182</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45182</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45182</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45182</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45182</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45182</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45182</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45182</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45182</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45182</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45182</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45182</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45182</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45182</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45182</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45182</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45182</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45182</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45182</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45182</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45182</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45182</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45182</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45182</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45182</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45182</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45182</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45182</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45182</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45182</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45182</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45182</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45182</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45182</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45182</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45182</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45182</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45182</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45182</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45182</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45182</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45182</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45182</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45182</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45182</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45182</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45182</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45182</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45182</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45182</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45182</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45182</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45182</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45182</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45182</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45182</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45182</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45182</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45182</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45182</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45182</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45182</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45182</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45182</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45182</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45182</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45182</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45182</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45182</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45182</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45182</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45182</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45182</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45182</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45182</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45182</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45182</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45182</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45182</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45182</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45182</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45182</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45182</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45182</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45182</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45182</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45182</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45182</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45182</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45182</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45182</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45182</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45182</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45182</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45182</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45182</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45182</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45182</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45182</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45182</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45182</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45182</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45182</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45182</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45182</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45182</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45182</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45182</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45182</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45182</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45182</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45182</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45182</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45182</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45182</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45182</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45182</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45182</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45182</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45182</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45182</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45182</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45182</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45182</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45182</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45182</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45182</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45182</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45182</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45182</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45182</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45182</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45182</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45182</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45182</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45182</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45182</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45182</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45182</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45182</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45182</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45182</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45182</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45182</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45182</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45182</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45182</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45182</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45182</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45182</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45182</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45182</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45182</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45182</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45182</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45182</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45182</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45182</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45182</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45182</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45182</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45182</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45182</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45182</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45182</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45182</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45182</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45182</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45182</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45182</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45182</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45182</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45182</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45182</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45182</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45182</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45182</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45182</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45182</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45182</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45182</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45182</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45182</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45182</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45182</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45182</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45182</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45182</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45182</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45182</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45182</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45182</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45182</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45182</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45182</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45182</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45182</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45182</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45182</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45182</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45182</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45182</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45182</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45182</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45182</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45182</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45182</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45182</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45182</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45182</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45182</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45182</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45182</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45182</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45182</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45182</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45182</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45182</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45182</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45182</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45182</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45182</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45182</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45182</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45182</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45182</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45182</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45182</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45182</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45182</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45182</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45182</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45182</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45182</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45182</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45182</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45182</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45182</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45182</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45182</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45182</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45182</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45182</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45182</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45182</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45182</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45182</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45182</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45182</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45182</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45182</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45182</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45182</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45182</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45182</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45182</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45182</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45182</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45182</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45182</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45182</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45182</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45182</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45182</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45182</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45182</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45182</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45182</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45182</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45182</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45182</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45182</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45182</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45182</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45182</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45182</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45182</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45182</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45182</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45182</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45182</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45182</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45182</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45182</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45182</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45182</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45182</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45182</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45182</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45182</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45182</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45182</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45182</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45182</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45182</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45182</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45182</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45182</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45182</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45182</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45182</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45182</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45182</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45182</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45182</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45182</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45182</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45182</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45182</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45182</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45182</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45182</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45182</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45182</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45182</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45182</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45182</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45182</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45182</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45182</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45182</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45182</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45182</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45182</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45182</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45182</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45182</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45182</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45182</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45182</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45182</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45182</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45182</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45182</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45182</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45182</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45182</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45182</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45182</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45182</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45182</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45182</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45182</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45182</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45182</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45182</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45182</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45182</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45182</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45182</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45182</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45182</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45182</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45182</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45182</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45182</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45182</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45182</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45182</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45182</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45182</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45182</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45182</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45182</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45182</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45182</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45182</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45182</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45182</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45182</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45182</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45182</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45182</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45182</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45182</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45182</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45182</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45182</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45182</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45182</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45182</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45182</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45182</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45182</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45182</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45182</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45182</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45182</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45182</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45182</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45182</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45182</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45182</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45182</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45182</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45182</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45182</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45182</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45182</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45182</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45182</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45182</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45182</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45182</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45182</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45182</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45182</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45182</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45182</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45182</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45182</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45182</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45182</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45182</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45182</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45182</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45182</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45182</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45182</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45182</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45182</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45182</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45182</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45182</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45182</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45182</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45182</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45182</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45182</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45182</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45182</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45182</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45182</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45182</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45182</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45182</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45182</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45182</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45182</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45182</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45182</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45182</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45182</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45182</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45182</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45182</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45182</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45182</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45182</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45182</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45182</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45182</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45182</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45182</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45182</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45182</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45182</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45182</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45182</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45182</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45182</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45182</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45182</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45182</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45182</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45182</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45182</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45182</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45182</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45182</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45182</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45182</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45182</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45182</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45182</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45182</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45182</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45182</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45182</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45182</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45182</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45182</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45182</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45182</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45182</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45182</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45182</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45182</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45182</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45182</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45182</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45182</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45182</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45182</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45182</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45182</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45182</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45182</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45182</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45182</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45182</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45182</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45182</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45182</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45182</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45182</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45182</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45182</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45182</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45182</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45182</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45182</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45182</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45182</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45182</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45182</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45182</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45182</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45182</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45182</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45182</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45182</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45182</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45182</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45182</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45182</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45182</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45182</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45182</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45182</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45182</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45182</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45182</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45182</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45182</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45182</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45182</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45182</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45182</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45182</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45182</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45182</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45182</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45182</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45182</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45182</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45182</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45182</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45182</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45182</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45182</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45182</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45182</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45182</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45182</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45182</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45182</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45182</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45182</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45182</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45182</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45182</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45182</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45182</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45182</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45182</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45182</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45182</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45182</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45182</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45182</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45182</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45182</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45182</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45182</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45182</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45182</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45182</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45182</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45182</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45182</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45182</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45182</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45182</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45182</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45182</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45182</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45182</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45182</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45182</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45182</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45182</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45182</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45182</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45182</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45182</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45182</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45182</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45182</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45182</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45182</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45182</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45182</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45182</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45182</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45182</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45182</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45182</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45182</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45182</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45182</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45182</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45182</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45182</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45182</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45182</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45182</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45182</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45182</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45182</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45182</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45182</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45182</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45182</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45182</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45182</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45182</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45182</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45182</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45182</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45182</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45182</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45182</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45182</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45182</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45182</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45182</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45182</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45182</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45182</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45182</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45182</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45182</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45182</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45182</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45182</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45182</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45182</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45182</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45182</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45182</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45182</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45182</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45182</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45182</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45182</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45182</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45182</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45182</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45182</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45182</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45182</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45182</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45182</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45182</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45182</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45182</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45182</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45182</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45182</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45182</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45182</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45182</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45182</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45182</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45182</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45182</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45182</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45182</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45182</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45182</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45182</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45182</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45182</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45182</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45182</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45182</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45182</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45182</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45182</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45182</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45182</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45182</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45182</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45182</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45182</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45182</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45182</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45182</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45182</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45182</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45182</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45182</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45182</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45182</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45182</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45182</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45182</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45182</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45182</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45182</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45182</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45182</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45182</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45182</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45182</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45182</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45182</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45182</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45182</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45182</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45182</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45182</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45182</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45182</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45182</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45182</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45182</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45182</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45182</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45182</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45182</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45182</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45182</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45182</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45182</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45182</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45182</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45182</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45182</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45182</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45182</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45182</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45182</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45182</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45182</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45182</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45182</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45182</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45182</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45182</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45182</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45182</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45182</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45182</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45182</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45182</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45182</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45182</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45182</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45182</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45182</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45182</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45182</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45182</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45182</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45182</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45182</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45182</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45182</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45182</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45182</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45182</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45182</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45182</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45182</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45182</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45182</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45182</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45182</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45182</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45182</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45182</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45182</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45182</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45182</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45182</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45182</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45182</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45182</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45182</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45182</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45182</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45182</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45182</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45182</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45182</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45182</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45182</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45182</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45182</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45182</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45182</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45182</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45182</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45182</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45182</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45182</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45182</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45182</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45182</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45182</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45182</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45182</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45182</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45182</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45182</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45182</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45182</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45182</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45182</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45182</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45182</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45182</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45182</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45182</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45182</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45182</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45182</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45182</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45182</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45182</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45182</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45182</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45182</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45182</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45182</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45182</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45182</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45182</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45182</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45182</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45182</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45182</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45182</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45182</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45182</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45182</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45182</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45182</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45182</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45182</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45182</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45182</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45182</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45182</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45182</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45182</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45182</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45182</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45182</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45182</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45182</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45182</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45182</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45182</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45182</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45182</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45182</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45182</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45182</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45182</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45182</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45182</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45182</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45182</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45182</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45182</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45182</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45182</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45182</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45182</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45182</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45182</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45182</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45182</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45182</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45182</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45182</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45182</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45182</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45182</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45182</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45182</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45182</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45182</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45182</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45182</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45182</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45182</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45182</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45182</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45182</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45182</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45182</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45182</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45182</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45182</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45182</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45182</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45182</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45182</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45182</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45182</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45182</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45182</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45182</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45182</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45182</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45182</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45182</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45182</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45182</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45182</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45182</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45182</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45182</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45182</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45182</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45182</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45182</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45182</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45182</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45182</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45182</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45182</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45182</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45182</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45182</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45182</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45182</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45182</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45182</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45182</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45182</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45182</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45182</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45182</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45182</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45182</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45182</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45182</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45182</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45182</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45182</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45182</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45182</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45182</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45182</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45182</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45182</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45182</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45182</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45182</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45182</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45182</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45182</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45182</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45182</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45182</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45182</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45182</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45182</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45182</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45182</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45182</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45182</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45182</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45182</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45182</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45182</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45182</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45182</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45182</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45182</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45182</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45182</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45182</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45182</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45182</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45182</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45182</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45182</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45182</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45182</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45182</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45182</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45182</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45182</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45182</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45182</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45182</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45182</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45182</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45182</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45182</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45182</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45182</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45182</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45182</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45182</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45182</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45182</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45182</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45182</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45182</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45182</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45182</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45182</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45182</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45182</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45182</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45182</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45182</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45182</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45182</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45182</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45182</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45182</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45182</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45182</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45182</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45182</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45182</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45182</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45182</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45182</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45182</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45182</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45182</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45182</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45182</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45182</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45182</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45182</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45182</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45182</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45182</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45182</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45182</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45182</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45182</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45182</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45182</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45182</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45182</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45182</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45182</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45182</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45182</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45182</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45182</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45182</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45182</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45182</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45182</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45182</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45182</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45182</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45182</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45182</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45182</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45182</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45182</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45182</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45182</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45182</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45182</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45182</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45182</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45182</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45182</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45182</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45182</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45182</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45182</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45182</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45182</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45182</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45182</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45182</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45182</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45182</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45182</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45182</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45182</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45182</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45182</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45182</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45182</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45182</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45182</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45182</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45182</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45182</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45182</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45182</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45182</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45182</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45182</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45182</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45182</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45182</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45182</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45182</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45182</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45182</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45182</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45182</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45182</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45182</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45182</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45182</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45182</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45182</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45182</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45182</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45182</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45182</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45182</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45182</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45182</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45182</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45182</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45182</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45182</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45182</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45182</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45182</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45182</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45182</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45182</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45182</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45182</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45182</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45182</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45182</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45182</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45182</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45182</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45182</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45182</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45182</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45182</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45182</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45182</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45182</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45182</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45182</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45182</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45182</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45182</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45182</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45182</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45182</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45182</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45182</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45182</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45182</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45182</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45182</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45182</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45182</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45182</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45182</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45182</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45182</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45182</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45182</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45182</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45182</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45182</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45182</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45182</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45182</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45182</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45182</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45182</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45182</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45182</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45182</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45182</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45182</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45182</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45182</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45182</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45182</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45182</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45182</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45182</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45182</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45182</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45182</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45182</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45182</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45182</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45182</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45182</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45182</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45182</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45182</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45182</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45182</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45182</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45182</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45182</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45182</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45182</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45182</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45182</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45182</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45182</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45182</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45182</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45182</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45182</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45182</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45182</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45182</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45182</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45182</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45182</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45182</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45182</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45182</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45182</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45182</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45182</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45182</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45182</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45182</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45182</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45182</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45182</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45182</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45182</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45182</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45182</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45182</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45182</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45182</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45182</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45182</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45182</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45182</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45182</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45182</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45182</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45182</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45182</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45182</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45182</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45182</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45182</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45182</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45182</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45182</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45182</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45182</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45182</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45182</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45182</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45182</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45182</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45182</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45182</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45182</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45182</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45182</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45182</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45182</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45182</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45182</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45182</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45182</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45182</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45182</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45182</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45182</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45182</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45182</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45182</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45182</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45182</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45182</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45182</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45182</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45182</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45182</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45182</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45182</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45182</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45182</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45182</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45182</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45182</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45182</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45182</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45182</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45182</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45182</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45182</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45182</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45182</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45182</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45182</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45182</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45182</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45182</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45182</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45182</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45182</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45182</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45182</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45182</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45182</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45182</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45182</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45182</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45182</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45182</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45182</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45182</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45182</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45182</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45182</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45182</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45182</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45182</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45182</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45182</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45182</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45182</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45182</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45182</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45182</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45182</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45182</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45182</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45182</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45182</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45182</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45182</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45182</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45182</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45182</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45182</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45182</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45182</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45182</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45182</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45182</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45182</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45182</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45182</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45182</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45182</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45182</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45182</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45182</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45182</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45182</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45182</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45182</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45182</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45182</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45182</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45182</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45182</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45182</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45182</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45182</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45182</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45182</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45182</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45182</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45182</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45182</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45182</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45182</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45182</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45182</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45182</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45182</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45182</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45182</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45182</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45182</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45182</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45182</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45182</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45182</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45182</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45182</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45182</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45182</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45182</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45182</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45182</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45182</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45182</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45182</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45182</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45182</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45182</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45182</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45182</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45182</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45182</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45182</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45182</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45182</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45182</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45182</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45182</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45182</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45182</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45182</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45182</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45182</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45182</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45182</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45182</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45182</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45182</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45182</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45182</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45182</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45182</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45182</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45182</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45182</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45182</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45182</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45182</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45182</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45182</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45182</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45182</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45182</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45182</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45182</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45182</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45182</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45182</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45182</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45182</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45182</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45182</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45182</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45182</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45182</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45182</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45182</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45182</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45182</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45182</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45182</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45182</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45182</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45182</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45182</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45182</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45182</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45182</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45182</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45182</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45182</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45182</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45182</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45182</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45182</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45182</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45182</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45182</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45182</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45182</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45182</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45182</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45182</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45182</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45182</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45182</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45182</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45182</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45182</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45182</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45182</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45182</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45182</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45182</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45182</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45182</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45182</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45182</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45182</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45182</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45182</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45182</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45182</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45182</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45182</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45182</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45182</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45182</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45182</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45182</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45182</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45182</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45182</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45182</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45182</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45182</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45182</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45182</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45182</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45182</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45182</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45182</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45182</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45182</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45182</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45182</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45182</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45182</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45182</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45182</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45182</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45182</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45182</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45182</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45182</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45182</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45182</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45182</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45182</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45182</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45182</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45182</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45182</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45182</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45182</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45182</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45182</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45182</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45182</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45182</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45182</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45182</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45182</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45182</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45182</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45182</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45182</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45182</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45182</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45182</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45182</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45182</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45182</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45182</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45182</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45182</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45182</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45182</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45182</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45182</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45182</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45182</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45182</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45182</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45182</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45182</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45182</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45182</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45182</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45182</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45182</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45182</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45182</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45182</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45182</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45182</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45182</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45182</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45182</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45182</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45182</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45182</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45182</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45182</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45182</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45182</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45182</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45182</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45182</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45182</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45182</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45182</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45182</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45182</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45182</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45182</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45182</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45182</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45182</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45182</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45182</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45182</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45182</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45182</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45182</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45182</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45182</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45182</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45182</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45182</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45182</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45182</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45182</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45182</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45182</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45182</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45182</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45182</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45182</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45182</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45182</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45182</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45182</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45182</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45182</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45182</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45182</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45182</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45182</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45182</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45182</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45182</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45182</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45182</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45182</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45182</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45182</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45182</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45182</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45182</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45182</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45182</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45182</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45182</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45182</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45182</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45182</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45182</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45182</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45182</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45182</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45182</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45182</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45182</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45182</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45182</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45182</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45182</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45182</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45182</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45182</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45182</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45182</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45182</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45182</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45182</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45182</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45182</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45182</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45182</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45182</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45182</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45182</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45182</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45182</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45182</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45182</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45182</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45182</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45182</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45182</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45182</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45182</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45182</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45182</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45182</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45182</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45182</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45182</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45182</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45182</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45182</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45182</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45182</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45182</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45182</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45182</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45182</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45182</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45182</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45182</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45182</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45182</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45182</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45182</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45182</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45182</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45182</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45182</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45182</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45182</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45182</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45182</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45182</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45182</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45182</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45182</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45182</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45182</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45182</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45182</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45182</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45182</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45182</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45182</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45182</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45182</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45182</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45182</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45182</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45182</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45182</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45182</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45182</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45182</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45182</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45182</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45182</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45182</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45182</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45182</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45182</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45182</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45182</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45182</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45182</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45182</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45182</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45182</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45182</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45182</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45182</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45182</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45182</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45182</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45182</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45182</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45182</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45182</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45182</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45182</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45182</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45182</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45182</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45182</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45182</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45182</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45182</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45182</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45182</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45182</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45182</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45182</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45182</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45182</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45182</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45182</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45182</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45182</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45182</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45182</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45182</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45182</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45182</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45182</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45182</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45182</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45182</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45182</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45182</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45182</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45182</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45182</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45182</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45182</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45182</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45182</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45182</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45182</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45182</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45182</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45182</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45182</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45182</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45182</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45182</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45182</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45182</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45182</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45182</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45182</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45182</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45182</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45182</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45182</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45182</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45182</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45182</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45182</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45182</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45182</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45182</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45182</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45182</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45182</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45182</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45182</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45182</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45182</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45182</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45182</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45182</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45182</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45182</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45182</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45182</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45182</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45182</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45182</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45182</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45182</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45182</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45182</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45182</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45182</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45182</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45182</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45182</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45182</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45182</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45182</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45182</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45182</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45182</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45182</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45182</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45182</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45182</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45182</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45182</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45182</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45182</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45182</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45182</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45182</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45182</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45182</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45182</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45182</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45182</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45182</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45182</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45182</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45182</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45182</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45182</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45182</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45182</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45182</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45182</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45182</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45182</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45182</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45182</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45182</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45182</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45182</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45182</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45182</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45182</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45182</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45182</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45182</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45182</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45182</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45182</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45182</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45182</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45182</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45182</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45182</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45182</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45182</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45182</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45182</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45182</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45182</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45182</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45182</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45182</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45182</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45182</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45182</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45182</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45182</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45182</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45182</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45182</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45182</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45182</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45182</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45182</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45182</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45182</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45182</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45182</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45182</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45182</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45182</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45182</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45182</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45182</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45182</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45182</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45182</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45182</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45182</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45182</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45182</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45182</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45182</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45182</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45182</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45182</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45182</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45182</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45182</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45182</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45182</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45182</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45182</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45182</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45182</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45182</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45182</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45182</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45182</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45182</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45182</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45182</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45182</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45182</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45182</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45182</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45182</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45182</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45182</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45182</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45182</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45182</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45182</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45182</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45182</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45182</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45182</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45182</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45182</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45182</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45182</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45182</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45182</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45182</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45182</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45182</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45182</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45182</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45182</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45182</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45182</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45182</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45182</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45182</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45182</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45182</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45182</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45182</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45182</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45182</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45182</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45182</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45182</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45182</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45182</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45182</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45182</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45182</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45182</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45182</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45182</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45182</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45182</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45182</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45182</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45182</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45182</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45182</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45182</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45182</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45182</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45182</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45182</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45182</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45182</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45182</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45182</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45182</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45182</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45182</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45182</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45182</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45182</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45182</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45182</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45182</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45182</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45182</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45182</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45182</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45182</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45182</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45182</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45182</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45182</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45182</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45182</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45182</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45182</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45182</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45182</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45182</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45182</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45182</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45182</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45182</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45182</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45182</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45182</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45182</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45182</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45182</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45182</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45182</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45182</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45182</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45182</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45182</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45182</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45182</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45182</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45182</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45182</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45182</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45182</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45182</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45182</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45182</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45182</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45182</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45182</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45182</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45182</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45182</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45182</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45182</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45182</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45182</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45182</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45182</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45182</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45182</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45182</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45182</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45182</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45182</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45182</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45182</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45182</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45182</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45182</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45182</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45182</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45182</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45182</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45182</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45182</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45182</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45182</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45182</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45182</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45182</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45182</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45182</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45182</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45182</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45182</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45182</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45182</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45182</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45182</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45182</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45182</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45182</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45182</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45182</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45182</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45182</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45182</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45182</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45182</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45182</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45182</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45182</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45182</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45182</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45182</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45182</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45182</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45182</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45182</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45182</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45182</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45182</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45182</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45182</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45182</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45182</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45182</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45182</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45182</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45182</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45182</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45182</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45182</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45182</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45182</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45182</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45182</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45182</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45182</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45182</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45182</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45182</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45182</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45182</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45182</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45182</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45182</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45182</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45182</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45182</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45182</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45182</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45182</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45182</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45182</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45182</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45182</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45182</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45182</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45182</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45182</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45182</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45182</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45182</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45182</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45182</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45182</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45182</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45182</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45182</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45182</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45182</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45182</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45182</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45182</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45182</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45182</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45182</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45182</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45182</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45182</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45182</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45182</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45182</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45182</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45182</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45182</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45182</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45182</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45182</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45182</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45182</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45182</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45182</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45182</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45182</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45182</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45182</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45182</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45182</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45182</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45182</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45182</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45182</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45182</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45182</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45182</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45182</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45182</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45182</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45182</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45182</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45182</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45182</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45182</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45182</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45182</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45182</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45182</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45182</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45182</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45182</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45182</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45182</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45182</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45182</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45182</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45182</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45182</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45182</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45182</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45182</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45182</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45182</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45182</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45182</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45182</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45182</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45182</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45182</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45182</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45182</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45182</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45182</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45182</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45182</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45182</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45182</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45182</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45182</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45182</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45182</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45182</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45182</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45182</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45182</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45182</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45182</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45182</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45182</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45182</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45182</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45182</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45182</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45182</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45182</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45182</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45182</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45182</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45182</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45182</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45182</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45182</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45182</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45182</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45182</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45182</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45182</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45182</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45182</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45182</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45182</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45182</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45182</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45182</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45182</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45182</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45182</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45182</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45182</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45182</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45182</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45182</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45182</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45182</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45182</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45182</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45182</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45182</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45182</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45182</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45182</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45182</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45182</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45182</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45182</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45182</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45182</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45182</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45182</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45182</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45182</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45182</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45182</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45182</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45182</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45182</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45182</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45182</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45182</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45182</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45182</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45182</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45182</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45182</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45182</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45182</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45182</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45182</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45182</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45182</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45182</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45182</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45182</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45182</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45182</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45182</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45182</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45182</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45182</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45182</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45182</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45182</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45182</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45182</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45182</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45182</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45182</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45182</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45182</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45182</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45182</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45182</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45182</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45182</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45182</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45182</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45182</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45182</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45182</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45182</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45182</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45182</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45182</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45182</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45182</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45182</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45182</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45182</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45182</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45182</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45182</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45182</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45182</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45182</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45182</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45182</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45182</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45182</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45182</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45182</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45182</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45182</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45182</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45182</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45182</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45182</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45182</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45182</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45182</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45182</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45182</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45182</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45182</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45182</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45182</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45182</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45182</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45182</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45182</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45182</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45182</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45182</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45182</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45182</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45182</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45182</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45182</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45182</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45182</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45182</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45182</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45182</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45182</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45182</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45182</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45182</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45182</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45182</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45182</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45182</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45182</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45182</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45182</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45182</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45182</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45182</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45182</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45182</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45182</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45182</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45182</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45182</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45182</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45182</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45182</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45182</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45182</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45182</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45182</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45182</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45182</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45182</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45182</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45182</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45182</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45182</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45182</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45182</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45182</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45182</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45182</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45182</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45182</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45182</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45182</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45182</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45182</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45182</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45182</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45182</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45182</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45182</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45182</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45182</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45182</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45182</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45182</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45182</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45182</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45182</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45182</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45182</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45182</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45182</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45182</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45182</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45182</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45182</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45182</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45182</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45182</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45182</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45182</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45182</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45182</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45182</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45182</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45182</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45182</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45182</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45182</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45182</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45182</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45182</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45182</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45182</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45182</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45182</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45182</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45182</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45182</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45182</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45182</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45182</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45182</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45182</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45182</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45182</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45182</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45182</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45182</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45182</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45182</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45182</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45182</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45182</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45182</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45182</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45182</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45182</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45182</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45182</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45182</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45182</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45182</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45182</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45182</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45182</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45182</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45182</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45182</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45182</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45182</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45182</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45182</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45182</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45182</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45182</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45182</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45182</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45182</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45182</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45182</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45182</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45182</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45182</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45182</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45182</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45182</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45182</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45182</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45182</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45182</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45182</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45182</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45182</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45182</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45182</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45182</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45182</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45182</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45182</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45182</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45182</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45182</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45182</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45182</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45182</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45182</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45182</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45182</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45182</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45182</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45182</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45182</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45182</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45182</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45182</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45182</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45182</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45182</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45182</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45182</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45182</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45182</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45182</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45182</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45182</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45182</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45182</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45182</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45182</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45182</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45182</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45182</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45182</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45182</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45182</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45182</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45182</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45182</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45182</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45182</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45182</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45182</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45182</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45182</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45182</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45182</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45182</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45182</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45182</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45182</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45182</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45182</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45182</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45182</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45182</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45182</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45182</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45182</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45182</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45182</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45182</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45182</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45182</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45182</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45182</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45182</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45182</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45182</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45182</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45182</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45182</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45182</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45182</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45182</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45182</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45182</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45182</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45182</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45182</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45182</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45182</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45182</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45182</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45182</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45182</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45182</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45182</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45182</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45182</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45182</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45182</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45182</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45182</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45182</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45182</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45182</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45182</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45182</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45182</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45182</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45182</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45182</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45182</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45182</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45182</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45182</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45182</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45182</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45182</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45182</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45182</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45182</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45182</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45182</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45182</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45182</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45182</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45182</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45182</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45182</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45182</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45182</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45182</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45182</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45182</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45182</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45182</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45182</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45182</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45182</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45182</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45182</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45182</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45182</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45182</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45182</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45182</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45182</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45182</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45182</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45182</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45182</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45182</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45182</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45182</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45182</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45182</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45182</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45182</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45182</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45182</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45182</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45182</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45182</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45182</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45182</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45182</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45182</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45182</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45182</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45182</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45182</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45182</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45182</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45182</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45182</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45182</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45182</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45182</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45182</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45182</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45182</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45182</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45182</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45182</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45182</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45182</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45182</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45182</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45182</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45182</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45182</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45182</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45182</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45182</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45182</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45182</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45182</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45182</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45182</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45182</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45182</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45182</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45182</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45182</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45182</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45182</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45182</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45182</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45182</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45182</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45182</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45182</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45182</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45182</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45182</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45182</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45182</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45182</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45182</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45182</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45182</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45182</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45182</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45182</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45182</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45182</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45182</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45182</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45182</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45182</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45182</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45182</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45182</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45182</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45182</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45182</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45182</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45182</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45182</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45182</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45182</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45182</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45182</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45182</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45182</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45182</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45182</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45182</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45182</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45182</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45182</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45182</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45182</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45182</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45182</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45182</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45182</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45182</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45182</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45182</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45182</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45182</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45182</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45182</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45182</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45182</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45182</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45182</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45182</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45182</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45182</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45182</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45182</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45182</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45182</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45182</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45182</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45182</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45182</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45182</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45182</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45182</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45182</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45182</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45182</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45182</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45182</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45182</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45182</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45182</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45182</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45182</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45182</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45182</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45182</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45182</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45182</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45182</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45182</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45182</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45182</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45182</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45182</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45182</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45182</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45182</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45182</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45182</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45182</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45182</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45182</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45182</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45182</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45182</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45182</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45182</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45182</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45182</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45182</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45182</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45182</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45182</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45182</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45182</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45182</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45182</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45182</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45182</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45182</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45182</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45182</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45182</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45182</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45182</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45182</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45182</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45182</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45182</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45182</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45182</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45182</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45182</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45182</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45182</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45182</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45182</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45182</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45182</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45182</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45182</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45182</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45182</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45182</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45182</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45182</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45182</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45182</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45182</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45182</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45182</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45182</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45182</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45182</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45182</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45182</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45182</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45182</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45182</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45182</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45182</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45182</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45182</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45182</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45182</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45182</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45182</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45182</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45182</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45182</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45182</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45182</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45182</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45182</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45182</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45182</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45182</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45182</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45182</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45182</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45182</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45182</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45182</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45182</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45182</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45182</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45182</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45182</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45182</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45182</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45182</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45182</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45182</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45182</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45182</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45182</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45182</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45182</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45182</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45182</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45182</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45182</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45182</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45182</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45182</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45182</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45182</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45182</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45182</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45182</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45182</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45182</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45182</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45182</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45182</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45182</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45182</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45182</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45182</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45182</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45182</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45182</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45182</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45182</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45182</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45182</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45182</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45182</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45182</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45182</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45182</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45182</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45182</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45182</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45182</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45182</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45182</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45182</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45182</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45182</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45182</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45182</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45182</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45182</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45182</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45182</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45182</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45182</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45182</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45182</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45182</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45182</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45182</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45182</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45182</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45182</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45182</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45182</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45182</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45182</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45182</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45182</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45182</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45182</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45182</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45182</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45182</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45182</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45182</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45182</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45182</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45182</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45182</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45182</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45182</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45182</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45182</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45182</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45182</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45182</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45182</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45182</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45182</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45182</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45182</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45182</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45182</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45182</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45182</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45182</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45182</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45182</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45182</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45182</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45182</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45182</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45182</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45182</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45182</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45182</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45182</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45182</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45182</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45182</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45182</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45182</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45182</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45182</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45182</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45182</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45182</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45182</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45182</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45182</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45182</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45182</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45182</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45182</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45182</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45182</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45182</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45182</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45182</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45182</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45182</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45182</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45182</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45182</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45182</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45182</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45182</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45182</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45182</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45182</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45182</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45182</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45182</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45182</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45182</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45182</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45182</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45182</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45182</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45182</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45182</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45182</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45182</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45182</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45182</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45182</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45182</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45182</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45182</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45182</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45182</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45182</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45182</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45182</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45182</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45182</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45182</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45182</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45182</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45182</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45182</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45182</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45182</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45182</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45182</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45182</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45182</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45182</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45182</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45182</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45182</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45182</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45182</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45182</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45182</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45182</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45182</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45182</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45182</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45182</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45182</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45182</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45182</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45182</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45182</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45182</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45182</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45182</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45182</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45182</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45182</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45182</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45182</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45182</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45182</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45182</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45182</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45182</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45182</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45182</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45182</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45182</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45182</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45182</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45182</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45182</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45182</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45182</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45182</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45182</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45182</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45182</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45182</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45182</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45182</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45182</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45182</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45182</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45182</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45182</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45182</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45182</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45182</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45182</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45182</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45182</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45182</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45182</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45182</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45182</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45182</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45182</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45182</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45182</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45182</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45182</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45182</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45182</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45182</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45182</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45182</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45182</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45182</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45182</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45182</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45182</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45182</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45182</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45182</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45182</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45182</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45182</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45182</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45182</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45182</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45182</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45182</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45182</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45182</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45182</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45182</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45182</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45182</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45182</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45182</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45182</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45182</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45182</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45182</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45182</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45182</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45182</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45182</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45182</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45182</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45182</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45182</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45182</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45182</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45182</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45182</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45182</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45182</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45182</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45182</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45182</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45182</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45182</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45182</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45182</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45182</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45182</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45182</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45182</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45182</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45182</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45182</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45182</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45182</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45182</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45182</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45182</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45182</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45182</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45182</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45182</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45182</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45182</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45182</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45182</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45182</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45182</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45182</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45182</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45182</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45182</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45182</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45182</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45182</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45182</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45182</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45182</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45182</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45182</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45182</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45182</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45182</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45182</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45182</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45182</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45182</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45182</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45182</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45182</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45182</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45182</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45182</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45182</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45182</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45182</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45182</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45182</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45182</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45182</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45182</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45182</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45182</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45182</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45182</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45182</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45182</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45182</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45182</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45182</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45182</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45182</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45182</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45182</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45182</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45182</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45182</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45182</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45182</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45182</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45182</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45182</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45182</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45182</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45182</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45182</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45182</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45182</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45182</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45182</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45182</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45182</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45182</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45182</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45182</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45182</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45182</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45182</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45182</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45182</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45182</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45182</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45182</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45182</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45182</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45182</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45182</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45182</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45182</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45182</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45182</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45182</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45182</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45182</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45182</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45182</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45182</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45182</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45182</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45182</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45182</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45182</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45182</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45182</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45182</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45182</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45182</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45182</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45182</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45182</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45182</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45182</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45182</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45182</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45182</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45182</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45182</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45182</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45182</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45182</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45182</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45182</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45182</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45182</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45182</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45182</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45182</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45182</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45182</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45182</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45182</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45182</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45182</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45182</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45182</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45182</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45182</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45182</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45182</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45182</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45182</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45182</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45182</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45182</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45182</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45182</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45182</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45182</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45182</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45182</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45182</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45182</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45182</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45182</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45182</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45182</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45182</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45182</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45182</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45182</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45182</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45182</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45182</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45182</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45182</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45182</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45182</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45182</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45182</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45182</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45182</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45182</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45182</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45182</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45182</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45182</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45182</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45182</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45182</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45182</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45182</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45182</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45182</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45182</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45182</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45182</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45182</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45182</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45182</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45182</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45182</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45182</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45182</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45182</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45182</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45182</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45182</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45182</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45182</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45182</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45182</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45182</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45182</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45182</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45182</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45182</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45182</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45182</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45182</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45182</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45182</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45182</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45182</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45182</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45182</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45182</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45182</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45182</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45182</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45182</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45182</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45182</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45182</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45182</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45182</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45182</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45182</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45182</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45182</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45182</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45182</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45182</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45182</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45182</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45182</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45182</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45182</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45182</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45182</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45182</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45182</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45182</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45182</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45182</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45182</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45182</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45182</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45182</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45182</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45182</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45182</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45182</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45182</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45182</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45182</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45182</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45182</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45182</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45182</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45182</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45182</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45182</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45182</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45182</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45182</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45182</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45182</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45182</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45182</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45182</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45182</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45182</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45182</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45182</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45182</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45182</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45182</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45182</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45182</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45182</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45182</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45182</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45182</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45182</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45182</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45182</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45182</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45182</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45182</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45182</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45182</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45182</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45182</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45182</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45182</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45182</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45182</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45182</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45182</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45182</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45182</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45182</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45182</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45182</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45182</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45182</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45182</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45182</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45182</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45182</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45182</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45182</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45182</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45182</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45182</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45182</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45182</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45182</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45182</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45182</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45182</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45182</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45182</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45182</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45182</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45182</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45182</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45182</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45182</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45182</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45182</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45182</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45182</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45182</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45182</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45182</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45182</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45182</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45182</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45182</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45182</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45182</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45182</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45182</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45182</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45182</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45182</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45182</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45182</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45182</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45182</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45182</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45182</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45182</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45182</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45182</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45182</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45182</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45182</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45182</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45182</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45182</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45182</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45182</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45182</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45182</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45182</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45182</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45182</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45182</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45182</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45182</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45182</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45182</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45182</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45182</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45182</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45182</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45182</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45182</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45182</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45182</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45182</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45182</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45182</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45182</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45182</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45182</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45182</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45182</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45182</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45182</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45182</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45182</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45182</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45182</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45182</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45182</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45182</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45182</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45182</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45182</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45182</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45182</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45182</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45182</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45182</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45182</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45182</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45182</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45182</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45182</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45182</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45182</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45182</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45182</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45182</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45182</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45182</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45182</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45182</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45182</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45182</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45182</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45182</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45182</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45182</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45182</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45182</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45182</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45182</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45182</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45182</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45182</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45182</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45182</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45182</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45182</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45182</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45182</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45182</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45182</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45182</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45182</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45182</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45182</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45182</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45182</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45182</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45182</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45182</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45182</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45182</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45182</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45182</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45182</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45182</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45182</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45182</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45182</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45182</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45182</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45182</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45182</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45182</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45182</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45182</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45182</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45182</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45182</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45182</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45182</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45182</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45182</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45182</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45182</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45182</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45182</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45182</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45182</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45182</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45182</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45182</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45182</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45182</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45182</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45182</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45182</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45182</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45182</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45182</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45182</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45182</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45182</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45182</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45182</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45182</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45182</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45182</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45182</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45182</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45182</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45182</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45182</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45182</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45182</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45182</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45182</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45182</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45182</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45182</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45182</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45182</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45182</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45182</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45182</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45182</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45182</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45182</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45182</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45182</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45182</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45182</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45182</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45182</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45182</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45182</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45182</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45182</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45182</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45182</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45182</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45182</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45182</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45182</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45182</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45182</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45182</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45182</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45182</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45182</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45182</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45182</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45182</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45182</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45182</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45182</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45182</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45182</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45182</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45182</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45182</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45182</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45182</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45182</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45182</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45182</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45182</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45182</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45182</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45182</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45182</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45182</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45182</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45182</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45182</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45182</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45182</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45182</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45182</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45182</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45182</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45182</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45182</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45182</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45182</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45182</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45182</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45182</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45182</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45182</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45182</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45182</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45182</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45182</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45182</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45182</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45182</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45182</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45182</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45182</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45182</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45182</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45182</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45182</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45182</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45182</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45182</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45182</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45182</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45182</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45182</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45182</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45182</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45182</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45182</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45182</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45182</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45182</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45182</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45182</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45182</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45182</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45182</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45182</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45182</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45182</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45182</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45182</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45182</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45182</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45182</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45182</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45182</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45182</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45182</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45182</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45182</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45182</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45182</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45182</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45182</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45182</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45182</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45182</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45182</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45182</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45182</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45182</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45182</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45182</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45182</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45182</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45182</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45182</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45182</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45182</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45182</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45182</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45182</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45182</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45182</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45182</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45182</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45182</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45182</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45182</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45182</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45182</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45182</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45182</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45182</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45182</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45182</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45182</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45182</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45182</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45182</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45182</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45182</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45182</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45182</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45182</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45182</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45182</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45182</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45182</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45182</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45182</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45182</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45182</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45182</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45182</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45182</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45182</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45182</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45182</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45182</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45182</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45182</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45182</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45182</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45182</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45182</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45182</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45182</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45182</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45182</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45182</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45182</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45182</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45182</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45182</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45182</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45182</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45182</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45182</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45182</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45182</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45182</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45182</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45182</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45182</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45182</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45182</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45182</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45182</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45182</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45182</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45182</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45182</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45182</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45182</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45182</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45182</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45182</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45182</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45182</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45182</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45182</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45182</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45182</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45182</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45182</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45182</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45182</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45182</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45182</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45182</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45182</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45182</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45182</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45182</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45182</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45182</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45182</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45182</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45182</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45182</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45182</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45182</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45182</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45182</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45182</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45182</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45182</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45182</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45182</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45182</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45182</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45182</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45182</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45182</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45182</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45182</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45182</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45182</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45182</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45182</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45182</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45182</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45182</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45182</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45182</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45182</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45182</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45182</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45182</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45182</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45182</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45182</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45182</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45182</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45182</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45182</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45182</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45182</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45182</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45182</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45182</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45182</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45182</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45182</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45182</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45182</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45182</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45182</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45182</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45182</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45182</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45182</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45182</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45182</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45182</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45182</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45182</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45182</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45182</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45182</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45182</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45182</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45182</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45182</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45182</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45182</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45182</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45182</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45182</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45182</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45182</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45182</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45182</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45182</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45182</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45182</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45182</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45182</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45182</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45182</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45182</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45182</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45182</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45182</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45182</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45182</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45182</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45182</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45182</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45182</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45182</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45182</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45182</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45182</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45182</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45182</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45182</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45182</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45182</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45182</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45182</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45182</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45182</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45182</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45182</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45182</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45182</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45182</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45182</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45182</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45182</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45182</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45182</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45182</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45182</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45182</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45182</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45182</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45182</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45182</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45182</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45182</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45182</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45182</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45182</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45182</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45182</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45182</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45182</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45182</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45182</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45182</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45182</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45182</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45182</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45182</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45182</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45182</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45182</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45182</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45182</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45182</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45182</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45182</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45182</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45182</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45182</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45182</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45182</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45182</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45182</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45182</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45182</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45182</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45182</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45182</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45182</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45182</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45182</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45182</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45182</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45182</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45182</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45182</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45182</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45182</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45182</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45182</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45182</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45182</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45182</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45182</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45182</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45182</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45182</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45182</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45182</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45182</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45182</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45182</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45182</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45182</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45182</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45182</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45182</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45182</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45182</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45182</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45182</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45182</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45182</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45182</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45182</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45182</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45182</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45182</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45182</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45182</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45182</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45182</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45182</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45182</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45182</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45182</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45182</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45182</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45182</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45182</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45182</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45182</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45182</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45182</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45182</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45182</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45182</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45182</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45182</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45182</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45182</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45182</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45182</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45182</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45182</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45182</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45182</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45182</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45182</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45182</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45182</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45182</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45182</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45182</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45182</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45182</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45182</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45182</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45182</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45182</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45182</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45182</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45182</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45182</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45182</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45182</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45182</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45182</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45182</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45182</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45182</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45182</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45182</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45182</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45182</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45182</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45182</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45182</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45182</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45182</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45182</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45182</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45182</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45182</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45182</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45182</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45182</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45182</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45182</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45182</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45182</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45182</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45182</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45182</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45182</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45182</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45182</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45182</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45182</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45182</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45182</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45182</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45182</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45182</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45182</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45182</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45182</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45182</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45182</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45182</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45182</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45182</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45182</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45182</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45182</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45182</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45182</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45182</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45182</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45182</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45182</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45182</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45182</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45182</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45182</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45182</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45182</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45182</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45182</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45182</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45182</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45182</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45182</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45182</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45182</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45182</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45182</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45182</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45182</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45182</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45182</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45182</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45182</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45182</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45182</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45182</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45182</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45182</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45182</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45182</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45182</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45182</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45182</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45182</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45182</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45182</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45182</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45182</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45182</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45182</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45182</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45182</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45182</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45182</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45182</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45182</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45182</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45182</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45182</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45182</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45182</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45182</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45182</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45182</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45182</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45182</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45182</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45182</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45182</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45182</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45182</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45182</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45182</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45182</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45182</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45182</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45182</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45182</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45182</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45182</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45182</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45182</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45182</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45182</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45182</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45182</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45182</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45182</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45182</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45182</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45182</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45182</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45182</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45182</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45182</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45182</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45182</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45182</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45182</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45182</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45182</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45182</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45182</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45182</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45182</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45182</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45182</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45182</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45182</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45182</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45182</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45182</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45182</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45182</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45182</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45182</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45182</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45182</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45182</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45182</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45182</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45182</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45182</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45182</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45182</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45182</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45182</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45182</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45182</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45182</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45182</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45182</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45182</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45182</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45182</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45182</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45182</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45182</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45182</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45182</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45182</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45182</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45182</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45182</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45182</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45182</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45182</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45182</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45182</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45182</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45182</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45182</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45182</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45182</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45182</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45182</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45182</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45182</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45182</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45182</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45182</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45182</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45182</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45182</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45182</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45182</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45182</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45182</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45182</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45182</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45182</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45182</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45182</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45182</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45182</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45182</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45182</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45182</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45182</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45182</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45182</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45182</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45182</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45182</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45182</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45182</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45182</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45182</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45182</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45182</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45182</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45182</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45182</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45182</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45182</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45182</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45182</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45182</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45182</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45182</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45182</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45182</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45182</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45182</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45182</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45182</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45182</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45182</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45182</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45182</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45182</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45182</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45182</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45182</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45182</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45182</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45182</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45182</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45182</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45182</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45182</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45182</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45182</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45182</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45182</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45182</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45182</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45182</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45182</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45182</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45182</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45182</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45182</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45182</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45182</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45182</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45182</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45182</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45182</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45182</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45182</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45182</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45182</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45182</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45182</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45182</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45182</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45182</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45182</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45182</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45182</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45182</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45182</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45182</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45182</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45182</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45182</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45182</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45182</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45182</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45182</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45182</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45182</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45182</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45182</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45182</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45182</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45182</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45182</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45182</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45182</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45182</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45182</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45182</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45182</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45182</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45182</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45182</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45182</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45182</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45182</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45182</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45182</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45182</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45182</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45182</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45182</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45182</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45182</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45182</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45182</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45182</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45182</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45182</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45182</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45182</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45182</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45182</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45182</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45182</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45182</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45182</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45182</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45182</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45182</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45182</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45182</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45182</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45182</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45182</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45182</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45182</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45182</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45182</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45182</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45182</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45182</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45182</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45182</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45182</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45182</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45182</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45182</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45182</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45182</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45182</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45182</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45182</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45182</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45182</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45182</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45182</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45182</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45182</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45182</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45182</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45182</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45182</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45182</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45182</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45182</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45182</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45182</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45182</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45182</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45182</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45182</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45182</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45182</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45182</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45182</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45182</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45182</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45182</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45182</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45182</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45182</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45182</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45182</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45182</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45182</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45182</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45182</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45182</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45182</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45182</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45182</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45182</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45182</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45182</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45182</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45182</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45182</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45182</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45182</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45182</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45182</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45182</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45182</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45182</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45182</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45182</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45182</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45182</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45182</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45182</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45182</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45182</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45182</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45182</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45182</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45182</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45182</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45182</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45182</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45182</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45182</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45182</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45182</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45182</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45182</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45182</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45182</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45182</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45182</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45182</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45182</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45182</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45182</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45182</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45182</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45182</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45182</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45182</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45182</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45182</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45182</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45182</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45182</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45182</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45182</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45182</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45182</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45182</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45182</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45182</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45182</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45182</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45182</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45182</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45182</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45182</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45182</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45182</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45182</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45182</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45182</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45182</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45182</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45182</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45182</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45182</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45182</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45182</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45182</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45182</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45182</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45182</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45182</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45182</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45182</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45182</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45182</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45182</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45182</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45182</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45182</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45182</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45182</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45182</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45182</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45182</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45182</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45182</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45182</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45182</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45182</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45182</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45182</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45182</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45182</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45182</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45182</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45182</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45182</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45182</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45182</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45182</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45182</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45182</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45182</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45182</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45182</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45182</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45182</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45182</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45182</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45182</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45182</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45182</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45182</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45182</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45182</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45182</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45182</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45182</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45182</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45182</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45182</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45182</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45182</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45182</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45182</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45182</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45182</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45182</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45182</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45182</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45182</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45182</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45182</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45182</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45182</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45182</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45182</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45182</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45182</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45182</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45182</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45182</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45182</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45182</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45182</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45182</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45182</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45182</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45182</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45182</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45182</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45182</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45182</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45182</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45182</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45182</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45182</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45182</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45182</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45182</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45182</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45182</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45182</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45182</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45182</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45182</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45182</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45182</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45182</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45182</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45182</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45182</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45182</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45182</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45182</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45182</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45182</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45182</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45182</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45182</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45182</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45182</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45182</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45182</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45182</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45182</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45182</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45182</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45182</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45182</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45182</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45182</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45182</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45182</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45182</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45182</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45182</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45182</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45182</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45182</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45182</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45182</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45182</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45182</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45182</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45182</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45182</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45182</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45182</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45182</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45182</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45182</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45182</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45182</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45182</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45182</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45182</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45182</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45182</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45182</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45182</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45182</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45182</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45182</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45182</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45182</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45182</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45182</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45182</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45182</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45182</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45182</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45182</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45182</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45182</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45182</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45182</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45182</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45182</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45182</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45182</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45182</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45182</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45182</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45182</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45182</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45182</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45182</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45182</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45182</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45182</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45182</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45182</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45182</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45182</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45182</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45182</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45182</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45182</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45182</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45182</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45182</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45182</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45182</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45182</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45182</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45182</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45182</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45182</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45182</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45182</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45182</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45182</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45182</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45182</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45182</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45182</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45182</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45182</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45182</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45182</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45182</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45182</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45182</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45182</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45182</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45182</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45182</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45182</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45182</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45182</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45182</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45182</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45182</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45182</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45182</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45182</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45182</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45182</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45182</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45182</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45182</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45182</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45182</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45182</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45182</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45182</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45182</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45182</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45182</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45182</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45182</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45182</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45182</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45182</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45182</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45182</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45182</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45182</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45182</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45182</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45182</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45182</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45182</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45182</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45182</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45182</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45182</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45182</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45182</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45182</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45182</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45182</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45182</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45182</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45182</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45182</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45182</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45182</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45182</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45182</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45182</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45182</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45182</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45182</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45182</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45182</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45182</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45182</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45182</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45182</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45182</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45182</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45182</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45182</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45182</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45182</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45182</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45182</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45182</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45182</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45182</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45182</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45182</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45182</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45182</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45182</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45182</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45182</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45182</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45182</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45182</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45182</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45182</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45182</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45182</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45182</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45182</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45182</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45182</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f>
        <v/>
      </c>
      <c r="V9543">
        <f>HYPERLINK("https://klasma.github.io/Logging_STROMSTAD/klagomål/A 4720-2023.docx")</f>
        <v/>
      </c>
      <c r="W9543">
        <f>HYPERLINK("https://klasma.github.io/Logging_STROMSTAD/klagomålsmail/A 4720-2023.docx")</f>
        <v/>
      </c>
      <c r="X9543">
        <f>HYPERLINK("https://klasma.github.io/Logging_STROMSTAD/tillsyn/A 4720-2023.docx")</f>
        <v/>
      </c>
      <c r="Y9543">
        <f>HYPERLINK("https://klasma.github.io/Logging_STROMSTAD/tillsynsmail/A 4720-2023.docx")</f>
        <v/>
      </c>
    </row>
    <row r="9544" ht="15" customHeight="1">
      <c r="A9544" t="inlineStr">
        <is>
          <t>A 5559-2023</t>
        </is>
      </c>
      <c r="B9544" s="1" t="n">
        <v>44957</v>
      </c>
      <c r="C9544" s="1" t="n">
        <v>45182</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45182</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45182</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45182</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45182</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45182</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45182</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45182</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45182</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45182</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45182</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45182</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45182</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45182</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45182</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45182</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45182</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45182</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45182</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45182</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45182</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45182</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45182</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45182</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45182</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45182</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45182</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45182</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45182</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45182</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45182</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45182</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45182</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45182</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45182</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45182</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45182</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45182</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45182</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45182</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45182</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45182</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45182</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45182</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45182</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45182</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45182</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45182</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45182</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45182</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45182</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45182</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45182</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45182</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45182</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45182</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45182</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45182</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45182</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45182</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45182</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45182</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45182</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45182</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45182</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45182</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45182</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45182</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45182</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45182</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45182</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45182</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45182</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45182</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45182</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45182</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45182</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45182</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45182</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45182</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45182</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45182</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45182</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45182</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45182</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45182</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45182</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45182</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45182</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45182</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45182</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45182</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45182</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45182</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45182</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45182</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45182</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45182</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45182</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45182</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45182</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45182</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45182</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45182</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45182</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45182</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45182</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45182</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45182</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45182</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45182</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45182</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45182</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45182</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45182</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45182</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45182</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45182</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45182</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45182</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45182</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45182</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45182</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45182</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45182</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45182</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45182</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45182</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45182</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45182</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45182</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45182</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45182</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45182</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45182</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45182</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45182</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45182</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45182</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45182</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45182</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45182</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45182</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45182</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45182</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45182</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45182</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45182</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45182</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45182</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45182</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45182</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45182</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45182</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45182</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45182</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45182</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45182</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45182</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45182</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45182</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45182</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45182</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45182</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45182</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45182</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45182</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45182</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45182</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45182</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45182</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45182</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45182</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45182</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45182</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45182</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45182</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45182</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45182</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45182</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45182</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45182</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45182</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45182</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45182</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45182</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45182</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45182</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45182</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45182</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45182</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45182</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45182</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45182</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45182</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45182</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45182</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45182</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45182</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45182</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45182</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45182</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45182</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45182</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45182</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45182</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45182</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45182</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45182</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45182</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45182</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45182</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45182</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45182</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45182</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45182</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45182</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45182</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45182</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45182</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45182</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45182</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45182</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45182</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45182</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45182</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45182</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45182</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45182</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45182</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45182</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45182</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45182</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45182</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45182</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45182</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45182</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45182</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45182</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45182</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45182</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45182</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45182</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45182</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45182</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45182</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45182</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45182</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45182</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45182</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45182</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45182</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45182</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45182</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45182</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45182</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45182</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45182</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45182</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45182</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45182</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45182</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45182</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45182</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45182</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45182</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45182</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45182</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45182</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45182</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45182</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45182</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45182</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45182</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45182</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45182</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45182</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45182</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45182</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45182</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45182</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45182</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45182</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45182</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45182</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45182</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45182</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45182</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45182</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45182</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45182</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45182</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45182</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45182</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45182</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45182</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45182</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45182</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45182</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45182</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45182</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45182</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45182</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45182</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45182</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45182</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45182</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45182</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45182</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45182</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45182</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45182</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45182</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45182</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45182</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45182</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45182</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45182</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45182</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45182</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45182</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45182</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45182</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45182</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45182</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45182</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45182</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45182</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45182</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45182</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45182</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45182</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45182</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45182</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45182</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45182</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45182</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45182</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45182</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45182</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45182</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45182</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45182</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45182</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45182</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45182</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45182</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45182</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45182</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45182</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45182</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45182</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45182</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45182</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45182</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45182</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45182</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45182</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45182</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45182</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45182</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45182</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45182</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45182</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45182</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45182</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45182</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45182</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45182</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45182</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45182</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45182</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45182</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45182</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45182</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45182</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45182</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45182</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45182</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45182</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45182</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45182</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45182</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45182</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45182</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45182</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45182</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45182</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45182</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45182</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45182</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45182</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45182</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45182</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45182</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45182</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45182</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45182</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45182</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45182</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45182</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45182</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45182</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45182</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45182</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45182</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45182</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45182</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45182</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45182</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45182</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45182</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45182</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45182</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45182</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45182</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45182</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45182</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45182</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45182</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45182</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45182</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45182</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45182</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45182</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45182</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45182</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45182</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45182</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45182</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45182</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45182</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45182</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45182</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45182</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45182</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45182</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45182</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45182</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45182</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45182</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45182</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45182</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45182</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45182</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45182</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45182</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45182</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45182</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45182</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45182</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45182</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45182</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45182</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45182</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45182</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45182</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45182</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45182</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45182</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45182</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45182</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45182</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45182</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45182</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45182</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45182</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45182</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45182</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45182</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45182</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45182</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45182</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45182</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45182</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45182</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45182</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45182</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45182</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45182</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45182</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45182</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45182</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45182</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45182</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45182</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45182</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45182</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45182</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45182</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45182</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45182</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45182</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45182</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45182</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45182</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45182</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45182</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45182</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45182</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45182</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45182</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45182</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45182</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45182</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45182</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45182</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45182</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45182</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45182</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45182</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45182</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45182</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45182</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45182</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45182</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45182</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45182</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45182</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45182</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45182</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45182</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45182</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45182</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45182</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45182</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45182</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45182</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45182</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45182</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45182</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45182</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45182</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45182</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45182</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45182</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45182</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45182</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45182</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45182</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45182</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45182</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45182</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45182</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45182</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45182</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45182</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45182</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45182</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45182</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45182</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45182</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45182</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45182</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45182</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45182</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45182</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45182</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45182</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45182</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45182</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45182</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45182</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45182</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45182</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45182</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45182</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45182</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45182</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45182</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45182</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45182</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45182</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45182</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45182</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45182</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45182</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45182</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45182</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45182</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45182</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45182</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45182</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45182</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45182</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45182</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45182</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45182</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45182</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45182</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45182</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45182</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45182</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45182</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45182</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45182</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45182</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45182</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45182</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45182</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45182</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45182</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45182</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45182</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45182</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45182</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45182</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45182</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45182</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45182</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45182</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45182</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45182</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45182</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45182</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45182</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45182</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45182</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45182</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45182</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45182</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45182</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45182</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45182</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45182</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45182</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45182</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45182</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45182</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45182</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45182</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45182</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45182</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45182</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45182</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45182</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45182</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45182</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45182</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45182</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45182</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45182</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45182</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45182</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45182</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45182</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45182</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45182</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45182</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45182</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45182</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45182</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45182</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45182</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45182</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45182</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45182</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45182</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45182</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45182</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45182</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45182</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45182</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45182</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45182</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45182</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45182</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45182</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45182</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45182</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45182</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45182</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45182</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45182</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45182</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45182</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45182</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45182</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45182</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45182</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45182</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45182</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45182</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45182</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45182</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45182</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45182</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45182</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45182</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45182</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45182</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45182</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45182</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45182</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45182</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45182</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45182</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45182</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45182</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45182</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45182</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45182</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45182</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45182</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45182</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45182</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45182</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45182</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45182</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45182</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45182</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45182</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45182</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45182</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45182</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45182</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45182</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45182</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45182</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45182</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45182</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45182</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45182</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45182</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45182</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45182</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45182</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45182</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45182</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45182</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45182</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45182</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45182</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45182</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45182</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45182</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45182</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45182</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45182</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45182</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45182</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45182</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45182</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45182</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45182</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45182</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45182</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45182</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45182</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45182</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45182</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45182</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45182</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45182</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45182</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45182</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45182</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45182</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45182</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45182</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45182</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45182</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45182</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45182</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45182</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45182</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45182</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45182</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45182</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45182</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45182</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45182</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45182</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45182</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45182</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45182</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45182</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45182</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45182</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45182</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45182</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45182</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45182</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45182</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45182</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45182</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45182</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45182</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45182</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45182</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45182</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45182</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45182</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45182</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45182</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45182</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45182</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45182</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45182</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45182</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45182</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45182</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45182</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45182</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45182</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45182</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45182</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45182</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45182</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45182</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45182</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45182</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45182</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45182</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45182</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45182</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45182</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45182</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45182</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45182</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45182</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45182</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45182</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45182</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45182</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45182</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45182</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45182</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45182</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45182</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45182</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45182</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45182</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45182</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45182</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45182</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45182</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45182</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45182</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45182</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45182</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45182</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45182</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45182</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45182</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45182</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45182</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45182</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45182</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45182</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45182</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45182</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45182</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45182</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45182</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45182</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45182</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45182</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45182</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45182</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45182</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45182</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45182</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45182</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45182</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45182</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45182</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45182</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45182</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45182</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45182</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45182</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45182</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45182</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45182</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45182</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45182</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45182</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45182</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45182</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45182</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45182</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45182</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45182</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45182</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45182</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45182</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45182</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45182</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45182</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45182</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45182</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45182</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45182</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45182</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45182</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45182</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45182</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45182</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45182</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45182</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45182</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45182</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45182</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45182</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45182</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45182</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45182</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45182</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45182</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45182</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45182</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45182</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45182</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45182</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45182</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45182</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45182</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45182</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45182</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45182</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45182</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45182</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45182</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45182</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45182</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45182</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45182</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45182</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45182</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45182</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45182</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45182</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45182</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45182</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45182</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45182</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45182</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45182</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45182</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45182</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45182</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45182</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45182</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45182</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45182</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45182</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45182</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45182</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45182</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45182</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45182</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45182</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45182</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45182</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45182</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45182</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45182</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45182</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45182</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45182</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45182</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45182</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45182</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45182</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45182</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45182</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45182</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45182</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45182</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45182</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45182</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45182</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45182</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45182</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45182</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45182</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45182</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45182</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45182</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45182</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45182</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45182</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45182</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45182</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45182</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45182</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45182</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45182</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45182</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45182</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45182</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45182</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45182</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45182</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45182</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45182</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45182</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45182</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45182</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45182</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45182</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45182</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45182</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45182</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45182</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45182</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45182</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45182</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45182</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45182</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45182</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45182</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45182</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45182</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45182</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45182</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45182</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45182</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45182</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45182</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45182</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45182</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45182</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45182</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45182</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45182</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45182</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45182</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45182</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45182</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45182</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45182</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45182</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45182</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45182</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45182</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45182</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45182</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45182</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45182</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45182</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45182</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45182</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45182</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45182</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45182</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45182</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45182</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45182</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45182</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45182</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45182</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45182</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45182</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45182</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45182</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45182</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45182</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45182</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45182</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45182</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45182</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45182</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45182</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45182</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45182</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45182</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45182</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45182</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45182</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45182</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45182</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45182</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45182</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45182</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45182</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45182</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45182</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45182</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45182</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45182</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45182</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45182</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45182</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45182</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45182</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45182</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45182</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45182</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45182</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45182</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45182</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45182</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45182</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45182</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45182</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45182</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45182</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45182</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45182</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45182</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45182</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45182</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45182</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45182</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45182</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45182</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45182</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45182</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45182</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45182</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45182</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45182</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45182</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45182</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45182</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45182</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45182</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45182</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45182</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45182</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45182</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45182</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45182</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45182</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45182</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45182</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45182</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45182</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45182</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45182</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45182</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45182</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45182</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45182</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45182</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45182</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45182</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45182</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45182</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45182</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45182</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45182</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45182</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45182</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45182</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45182</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45182</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45182</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45182</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45182</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45182</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45182</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45182</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45182</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45182</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45182</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45182</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45182</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45182</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45182</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45182</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45182</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45182</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45182</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45182</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45182</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45182</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45182</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45182</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45182</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45182</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45182</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45182</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45182</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45182</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45182</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45182</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45182</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45182</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45182</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45182</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45182</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45182</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45182</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45182</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45182</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45182</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45182</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45182</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45182</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45182</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45182</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45182</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45182</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45182</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45182</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45182</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45182</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45182</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45182</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45182</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45182</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45182</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45182</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45182</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45182</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45182</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45182</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45182</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45182</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45182</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45182</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45182</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45182</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45182</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45182</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45182</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45182</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45182</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45182</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45182</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45182</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45182</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45182</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45182</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45182</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45182</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45182</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45182</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45182</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45182</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45182</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45182</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45182</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45182</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45182</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45182</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45182</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45182</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45182</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f>
        <v/>
      </c>
      <c r="V10785">
        <f>HYPERLINK("https://klasma.github.io/Logging_BOLLEBYGD/klagomål/A 35491-2023.docx")</f>
        <v/>
      </c>
      <c r="W10785">
        <f>HYPERLINK("https://klasma.github.io/Logging_BOLLEBYGD/klagomålsmail/A 35491-2023.docx")</f>
        <v/>
      </c>
      <c r="X10785">
        <f>HYPERLINK("https://klasma.github.io/Logging_BOLLEBYGD/tillsyn/A 35491-2023.docx")</f>
        <v/>
      </c>
      <c r="Y10785">
        <f>HYPERLINK("https://klasma.github.io/Logging_BOLLEBYGD/tillsynsmail/A 35491-2023.docx")</f>
        <v/>
      </c>
    </row>
    <row r="10786" ht="15" customHeight="1">
      <c r="A10786" t="inlineStr">
        <is>
          <t>A 35405-2023</t>
        </is>
      </c>
      <c r="B10786" s="1" t="n">
        <v>45146</v>
      </c>
      <c r="C10786" s="1" t="n">
        <v>45182</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45182</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45182</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45182</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45182</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45182</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45182</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45182</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45182</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45182</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45182</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45182</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45182</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45182</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45182</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45182</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45182</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45182</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45182</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45182</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45182</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45182</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45182</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45182</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45182</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45182</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45182</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45182</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45182</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45182</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45182</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45182</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45182</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45182</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45182</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45182</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45182</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45182</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45182</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45182</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45182</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45182</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45182</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45182</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45182</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45182</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45182</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45182</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45182</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45182</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45182</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45182</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45182</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45182</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45182</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45182</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45182</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45182</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45182</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45182</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45182</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45182</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45182</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45182</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45182</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45182</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45182</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45182</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45182</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45182</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45182</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45182</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45182</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45182</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45182</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45182</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45182</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45182</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45182</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45182</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45182</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45182</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45182</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45182</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45182</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45182</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45182</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45182</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45182</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45182</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45182</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45182</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45182</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45182</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45182</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45182</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45182</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45182</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45182</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45182</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45182</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45182</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c r="A10888" t="inlineStr">
        <is>
          <t>A 40983-2023</t>
        </is>
      </c>
      <c r="B10888" s="1" t="n">
        <v>45173</v>
      </c>
      <c r="C10888" s="1" t="n">
        <v>45182</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2023-09-13T06:37:08Z</dcterms:created>
  <dcterms:modified xmlns:dcterms="http://purl.org/dc/terms/" xmlns:xsi="http://www.w3.org/2001/XMLSchema-instance" xsi:type="dcterms:W3CDTF">2023-09-13T06:37:13Z</dcterms:modified>
</cp:coreProperties>
</file>