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rero.sharepoint.com/teams/TRK-INS-PU1/Shared Documents/Produkcja/OEE, OAE/UGP11/"/>
    </mc:Choice>
  </mc:AlternateContent>
  <xr:revisionPtr revIDLastSave="1990" documentId="8_{26862C9D-7C32-4A55-B0F2-9F63717C4DD8}" xr6:coauthVersionLast="47" xr6:coauthVersionMax="47" xr10:uidLastSave="{21BF6D19-73D8-4C2B-89BB-3E1AF5DA0364}"/>
  <bookViews>
    <workbookView minimized="1" xWindow="1140" yWindow="1095" windowWidth="15375" windowHeight="7785" activeTab="1" xr2:uid="{DC4BDD32-1777-4F7D-A701-B2D118FD9210}"/>
  </bookViews>
  <sheets>
    <sheet name="Dane" sheetId="2" r:id="rId1"/>
    <sheet name="OEE_OAE 2024_2025 -grafika" sheetId="20" r:id="rId2"/>
    <sheet name="porównanie mies. OEE_OAE 24_25" sheetId="3" r:id="rId3"/>
    <sheet name="OEE_OAE 2025_2026" sheetId="25" r:id="rId4"/>
  </sheets>
  <definedNames>
    <definedName name="_xlchart.v1.0" hidden="1">'OEE_OAE 2024_2025 -grafika'!$B$69:$C$80</definedName>
    <definedName name="_xlchart.v1.1" hidden="1">'OEE_OAE 2024_2025 -grafika'!$D$69:$D$80</definedName>
    <definedName name="_xlchart.v1.2" hidden="1">'OEE_OAE 2024_2025 -grafika'!$E$69:$E$80</definedName>
    <definedName name="_xlchart.v1.3" hidden="1">'OEE_OAE 2024_2025 -grafika'!$F$69:$F$80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1" i="2" l="1"/>
  <c r="Y91" i="2"/>
  <c r="M91" i="2"/>
  <c r="N91" i="2"/>
  <c r="P91" i="2"/>
  <c r="Q91" i="2"/>
  <c r="R91" i="2"/>
  <c r="S91" i="2"/>
  <c r="T91" i="2"/>
  <c r="U91" i="2"/>
  <c r="V91" i="2"/>
  <c r="W91" i="2"/>
  <c r="X91" i="2"/>
  <c r="L91" i="2"/>
  <c r="K91" i="2"/>
  <c r="Z89" i="2"/>
  <c r="T90" i="2" s="1"/>
  <c r="Y89" i="2"/>
  <c r="X89" i="2"/>
  <c r="W89" i="2"/>
  <c r="V89" i="2"/>
  <c r="U89" i="2"/>
  <c r="T89" i="2"/>
  <c r="S89" i="2"/>
  <c r="R89" i="2"/>
  <c r="Q89" i="2"/>
  <c r="P89" i="2"/>
  <c r="N89" i="2"/>
  <c r="N90" i="2" s="1"/>
  <c r="M89" i="2"/>
  <c r="M90" i="2" s="1"/>
  <c r="L89" i="2"/>
  <c r="K89" i="2"/>
  <c r="F88" i="2"/>
  <c r="K85" i="2"/>
  <c r="M85" i="2" s="1"/>
  <c r="O85" i="2" s="1"/>
  <c r="L85" i="2"/>
  <c r="K86" i="2"/>
  <c r="L86" i="2"/>
  <c r="M86" i="2"/>
  <c r="O86" i="2"/>
  <c r="K87" i="2"/>
  <c r="L87" i="2"/>
  <c r="M87" i="2"/>
  <c r="O87" i="2"/>
  <c r="K88" i="2"/>
  <c r="M88" i="2" s="1"/>
  <c r="O88" i="2" s="1"/>
  <c r="O91" i="2" s="1"/>
  <c r="L88" i="2"/>
  <c r="L84" i="2"/>
  <c r="F85" i="2"/>
  <c r="F86" i="2"/>
  <c r="F87" i="2"/>
  <c r="Z82" i="2"/>
  <c r="Y82" i="2"/>
  <c r="X82" i="2"/>
  <c r="W82" i="2"/>
  <c r="V82" i="2"/>
  <c r="U82" i="2"/>
  <c r="T82" i="2"/>
  <c r="S82" i="2"/>
  <c r="R82" i="2"/>
  <c r="Q82" i="2"/>
  <c r="P82" i="2"/>
  <c r="N82" i="2"/>
  <c r="O4" i="3"/>
  <c r="AA91" i="2" l="1"/>
  <c r="U90" i="2"/>
  <c r="K90" i="2"/>
  <c r="AB91" i="2"/>
  <c r="V90" i="2"/>
  <c r="W90" i="2"/>
  <c r="X90" i="2"/>
  <c r="L90" i="2"/>
  <c r="S90" i="2"/>
  <c r="Y90" i="2"/>
  <c r="O89" i="2"/>
  <c r="O90" i="2" s="1"/>
  <c r="P90" i="2"/>
  <c r="Q90" i="2"/>
  <c r="R90" i="2"/>
  <c r="U83" i="2"/>
  <c r="N83" i="2"/>
  <c r="Q83" i="2"/>
  <c r="R83" i="2"/>
  <c r="S83" i="2"/>
  <c r="V83" i="2"/>
  <c r="W83" i="2"/>
  <c r="X83" i="2"/>
  <c r="Y83" i="2"/>
  <c r="P83" i="2"/>
  <c r="T83" i="2"/>
  <c r="Z90" i="2" l="1"/>
  <c r="AB89" i="2"/>
  <c r="AA89" i="2"/>
  <c r="N4" i="3" s="1"/>
  <c r="L5" i="2" l="1"/>
  <c r="F3" i="2" l="1"/>
  <c r="N75" i="2"/>
  <c r="P75" i="2"/>
  <c r="Q75" i="2"/>
  <c r="R75" i="2"/>
  <c r="S75" i="2"/>
  <c r="T75" i="2"/>
  <c r="U75" i="2"/>
  <c r="V75" i="2"/>
  <c r="W75" i="2"/>
  <c r="X75" i="2"/>
  <c r="Y75" i="2"/>
  <c r="Z75" i="2"/>
  <c r="F74" i="2"/>
  <c r="K74" i="2"/>
  <c r="M74" i="2" s="1"/>
  <c r="L74" i="2"/>
  <c r="Y76" i="2" l="1"/>
  <c r="X76" i="2"/>
  <c r="S76" i="2"/>
  <c r="U76" i="2"/>
  <c r="T76" i="2"/>
  <c r="W76" i="2"/>
  <c r="R76" i="2"/>
  <c r="Q76" i="2"/>
  <c r="V76" i="2"/>
  <c r="P76" i="2"/>
  <c r="N76" i="2"/>
  <c r="O74" i="2"/>
  <c r="U10" i="20" l="1" a="1"/>
  <c r="U10" i="20" s="1"/>
  <c r="L3" i="2"/>
  <c r="K3" i="2"/>
  <c r="M3" i="2" s="1"/>
  <c r="L12" i="2"/>
  <c r="O3" i="2" l="1"/>
  <c r="C41" i="20"/>
  <c r="C38" i="20"/>
  <c r="G46" i="20"/>
  <c r="L70" i="2"/>
  <c r="L71" i="2"/>
  <c r="L72" i="2"/>
  <c r="L73" i="2"/>
  <c r="L77" i="2"/>
  <c r="L78" i="2"/>
  <c r="L79" i="2"/>
  <c r="L80" i="2"/>
  <c r="L81" i="2"/>
  <c r="F70" i="2"/>
  <c r="F71" i="2"/>
  <c r="F72" i="2"/>
  <c r="F73" i="2"/>
  <c r="F77" i="2"/>
  <c r="F78" i="2"/>
  <c r="F79" i="2"/>
  <c r="F80" i="2"/>
  <c r="F81" i="2"/>
  <c r="F84" i="2"/>
  <c r="K70" i="2"/>
  <c r="K71" i="2"/>
  <c r="M71" i="2" s="1"/>
  <c r="K72" i="2"/>
  <c r="K73" i="2"/>
  <c r="M73" i="2" s="1"/>
  <c r="K77" i="2"/>
  <c r="K78" i="2"/>
  <c r="K79" i="2"/>
  <c r="K80" i="2"/>
  <c r="M80" i="2" s="1"/>
  <c r="K81" i="2"/>
  <c r="K84" i="2"/>
  <c r="M84" i="2" s="1"/>
  <c r="O80" i="2" l="1"/>
  <c r="L82" i="2"/>
  <c r="L83" i="2" s="1"/>
  <c r="M77" i="2"/>
  <c r="K82" i="2"/>
  <c r="M72" i="2"/>
  <c r="M70" i="2"/>
  <c r="O77" i="2"/>
  <c r="M79" i="2"/>
  <c r="O79" i="2" s="1"/>
  <c r="M78" i="2"/>
  <c r="O78" i="2" s="1"/>
  <c r="O73" i="2"/>
  <c r="O70" i="2"/>
  <c r="M81" i="2"/>
  <c r="O81" i="2" s="1"/>
  <c r="O71" i="2"/>
  <c r="O84" i="2"/>
  <c r="N67" i="2"/>
  <c r="P67" i="2"/>
  <c r="Q67" i="2"/>
  <c r="R67" i="2"/>
  <c r="S67" i="2"/>
  <c r="T67" i="2"/>
  <c r="U67" i="2"/>
  <c r="V67" i="2"/>
  <c r="W67" i="2"/>
  <c r="X67" i="2"/>
  <c r="Y67" i="2"/>
  <c r="Z67" i="2"/>
  <c r="L63" i="2"/>
  <c r="L64" i="2"/>
  <c r="L65" i="2"/>
  <c r="L66" i="2"/>
  <c r="L69" i="2"/>
  <c r="L75" i="2" s="1"/>
  <c r="L76" i="2" s="1"/>
  <c r="K63" i="2"/>
  <c r="K64" i="2"/>
  <c r="K65" i="2"/>
  <c r="K66" i="2"/>
  <c r="K69" i="2"/>
  <c r="K75" i="2" s="1"/>
  <c r="K76" i="2" s="1"/>
  <c r="L62" i="2"/>
  <c r="K62" i="2"/>
  <c r="L59" i="2"/>
  <c r="K59" i="2"/>
  <c r="M59" i="2" s="1"/>
  <c r="K83" i="2" l="1"/>
  <c r="O82" i="2"/>
  <c r="O83" i="2" s="1"/>
  <c r="K67" i="2"/>
  <c r="K68" i="2" s="1"/>
  <c r="M82" i="2"/>
  <c r="M83" i="2" s="1"/>
  <c r="O72" i="2"/>
  <c r="O59" i="2"/>
  <c r="R68" i="2"/>
  <c r="M69" i="2"/>
  <c r="O69" i="2" s="1"/>
  <c r="O75" i="2" s="1"/>
  <c r="M66" i="2"/>
  <c r="O66" i="2" s="1"/>
  <c r="M65" i="2"/>
  <c r="O65" i="2" s="1"/>
  <c r="L67" i="2"/>
  <c r="L68" i="2" s="1"/>
  <c r="S68" i="2"/>
  <c r="W68" i="2"/>
  <c r="U68" i="2"/>
  <c r="X68" i="2"/>
  <c r="Q68" i="2"/>
  <c r="V68" i="2"/>
  <c r="Y68" i="2"/>
  <c r="T68" i="2"/>
  <c r="N68" i="2"/>
  <c r="M64" i="2"/>
  <c r="P68" i="2"/>
  <c r="M63" i="2"/>
  <c r="O63" i="2" s="1"/>
  <c r="M62" i="2"/>
  <c r="O62" i="2" s="1"/>
  <c r="AB82" i="2" l="1"/>
  <c r="AA82" i="2"/>
  <c r="M4" i="3" s="1"/>
  <c r="Z83" i="2"/>
  <c r="M75" i="2"/>
  <c r="M76" i="2" s="1"/>
  <c r="O76" i="2"/>
  <c r="Z76" i="2"/>
  <c r="M67" i="2"/>
  <c r="O64" i="2"/>
  <c r="O67" i="2" s="1"/>
  <c r="O68" i="2" s="1"/>
  <c r="Z45" i="2"/>
  <c r="AB75" i="2" l="1"/>
  <c r="AA75" i="2"/>
  <c r="L4" i="3" s="1"/>
  <c r="AB67" i="2"/>
  <c r="AA67" i="2"/>
  <c r="M68" i="2"/>
  <c r="Z68" i="2" s="1"/>
  <c r="L56" i="2"/>
  <c r="L57" i="2"/>
  <c r="L58" i="2"/>
  <c r="K57" i="2"/>
  <c r="K58" i="2"/>
  <c r="K56" i="2"/>
  <c r="I20" i="25"/>
  <c r="J20" i="25" s="1"/>
  <c r="J19" i="25"/>
  <c r="J18" i="25"/>
  <c r="J14" i="25"/>
  <c r="J8" i="25"/>
  <c r="H11" i="25"/>
  <c r="I11" i="25" s="1"/>
  <c r="M56" i="2" l="1"/>
  <c r="O56" i="2" s="1"/>
  <c r="M58" i="2"/>
  <c r="O58" i="2" s="1"/>
  <c r="M57" i="2"/>
  <c r="O57" i="2" s="1"/>
  <c r="N52" i="20"/>
  <c r="N51" i="20"/>
  <c r="N50" i="20"/>
  <c r="M56" i="20"/>
  <c r="N56" i="20" s="1"/>
  <c r="K55" i="2"/>
  <c r="K60" i="2" s="1"/>
  <c r="N60" i="2"/>
  <c r="P60" i="2"/>
  <c r="Q60" i="2"/>
  <c r="R60" i="2"/>
  <c r="S60" i="2"/>
  <c r="U60" i="2"/>
  <c r="V60" i="2"/>
  <c r="W60" i="2"/>
  <c r="T60" i="2"/>
  <c r="X60" i="2"/>
  <c r="Y60" i="2"/>
  <c r="Z60" i="2"/>
  <c r="Y61" i="2" l="1"/>
  <c r="X61" i="2"/>
  <c r="W61" i="2"/>
  <c r="V61" i="2"/>
  <c r="U61" i="2"/>
  <c r="R61" i="2"/>
  <c r="Q61" i="2"/>
  <c r="K61" i="2"/>
  <c r="N61" i="2"/>
  <c r="S61" i="2"/>
  <c r="P61" i="2"/>
  <c r="T61" i="2"/>
  <c r="L55" i="2"/>
  <c r="L60" i="2" s="1"/>
  <c r="L61" i="2" s="1"/>
  <c r="K52" i="2"/>
  <c r="M52" i="2" s="1"/>
  <c r="M55" i="2" l="1"/>
  <c r="K51" i="2"/>
  <c r="M51" i="2" s="1"/>
  <c r="L51" i="2"/>
  <c r="F51" i="2"/>
  <c r="N9" i="2"/>
  <c r="P9" i="2"/>
  <c r="Q9" i="2"/>
  <c r="R9" i="2"/>
  <c r="S9" i="2"/>
  <c r="U9" i="2"/>
  <c r="V9" i="2"/>
  <c r="W9" i="2"/>
  <c r="T9" i="2"/>
  <c r="X9" i="2"/>
  <c r="Y9" i="2"/>
  <c r="N16" i="2"/>
  <c r="P16" i="2"/>
  <c r="Q16" i="2"/>
  <c r="R16" i="2"/>
  <c r="S16" i="2"/>
  <c r="U16" i="2"/>
  <c r="V16" i="2"/>
  <c r="W16" i="2"/>
  <c r="T16" i="2"/>
  <c r="X16" i="2"/>
  <c r="Y16" i="2"/>
  <c r="N23" i="2"/>
  <c r="P23" i="2"/>
  <c r="Q23" i="2"/>
  <c r="R23" i="2"/>
  <c r="S23" i="2"/>
  <c r="U23" i="2"/>
  <c r="V23" i="2"/>
  <c r="W23" i="2"/>
  <c r="T23" i="2"/>
  <c r="X23" i="2"/>
  <c r="Y23" i="2"/>
  <c r="N53" i="2"/>
  <c r="P53" i="2"/>
  <c r="Q53" i="2"/>
  <c r="R53" i="2"/>
  <c r="S53" i="2"/>
  <c r="U53" i="2"/>
  <c r="V53" i="2"/>
  <c r="W53" i="2"/>
  <c r="T53" i="2"/>
  <c r="X53" i="2"/>
  <c r="Y53" i="2"/>
  <c r="N45" i="2"/>
  <c r="P45" i="2"/>
  <c r="Q45" i="2"/>
  <c r="R45" i="2"/>
  <c r="S45" i="2"/>
  <c r="U45" i="2"/>
  <c r="V45" i="2"/>
  <c r="W45" i="2"/>
  <c r="T45" i="2"/>
  <c r="X45" i="2"/>
  <c r="Y45" i="2"/>
  <c r="N38" i="2"/>
  <c r="P38" i="2"/>
  <c r="Q38" i="2"/>
  <c r="R38" i="2"/>
  <c r="S38" i="2"/>
  <c r="U38" i="2"/>
  <c r="V38" i="2"/>
  <c r="W38" i="2"/>
  <c r="T38" i="2"/>
  <c r="X38" i="2"/>
  <c r="Y38" i="2"/>
  <c r="N31" i="2"/>
  <c r="P31" i="2"/>
  <c r="Q31" i="2"/>
  <c r="R31" i="2"/>
  <c r="S31" i="2"/>
  <c r="U31" i="2"/>
  <c r="V31" i="2"/>
  <c r="W31" i="2"/>
  <c r="T31" i="2"/>
  <c r="X31" i="2"/>
  <c r="Y31" i="2"/>
  <c r="O55" i="2" l="1"/>
  <c r="O60" i="2" s="1"/>
  <c r="O61" i="2" s="1"/>
  <c r="M60" i="2"/>
  <c r="L49" i="2"/>
  <c r="L50" i="2"/>
  <c r="K49" i="2"/>
  <c r="M49" i="2" s="1"/>
  <c r="K50" i="2"/>
  <c r="M50" i="2" s="1"/>
  <c r="AB60" i="2" l="1"/>
  <c r="M61" i="2"/>
  <c r="Z61" i="2" s="1"/>
  <c r="AA60" i="2"/>
  <c r="O52" i="2"/>
  <c r="O51" i="2"/>
  <c r="O50" i="2"/>
  <c r="O49" i="2"/>
  <c r="H17" i="25" l="1"/>
  <c r="I17" i="25" s="1"/>
  <c r="H14" i="25"/>
  <c r="I14" i="25" s="1"/>
  <c r="I8" i="25"/>
  <c r="I7" i="25"/>
  <c r="I6" i="25"/>
  <c r="M55" i="20"/>
  <c r="M59" i="20"/>
  <c r="N59" i="20" s="1"/>
  <c r="M63" i="20"/>
  <c r="N63" i="20" s="1"/>
  <c r="N66" i="20" l="1"/>
  <c r="L48" i="2"/>
  <c r="K48" i="2"/>
  <c r="M48" i="2" l="1"/>
  <c r="O48" i="2" s="1"/>
  <c r="Z53" i="2"/>
  <c r="N9" i="20" l="1" a="1"/>
  <c r="N9" i="20" s="1"/>
  <c r="G56" i="20" s="1"/>
  <c r="S54" i="2"/>
  <c r="Y54" i="2"/>
  <c r="X54" i="2"/>
  <c r="Q54" i="2"/>
  <c r="T54" i="2"/>
  <c r="P54" i="2"/>
  <c r="R54" i="2"/>
  <c r="N54" i="2"/>
  <c r="V54" i="2"/>
  <c r="U54" i="2"/>
  <c r="W54" i="2"/>
  <c r="U92" i="2"/>
  <c r="X92" i="2"/>
  <c r="R8" i="20" s="1" a="1"/>
  <c r="R8" i="20" s="1"/>
  <c r="G51" i="20" s="1"/>
  <c r="Y92" i="2"/>
  <c r="T92" i="2"/>
  <c r="Q92" i="2"/>
  <c r="P92" i="2"/>
  <c r="N92" i="2"/>
  <c r="R92" i="2"/>
  <c r="Z92" i="2"/>
  <c r="V92" i="2"/>
  <c r="W92" i="2"/>
  <c r="L47" i="2"/>
  <c r="K47" i="2"/>
  <c r="K53" i="2" s="1"/>
  <c r="L53" i="2" l="1"/>
  <c r="L54" i="2" s="1"/>
  <c r="M47" i="2"/>
  <c r="K54" i="2"/>
  <c r="L44" i="2"/>
  <c r="K44" i="2"/>
  <c r="F47" i="2"/>
  <c r="F48" i="2"/>
  <c r="F49" i="2"/>
  <c r="F50" i="2"/>
  <c r="F52" i="2"/>
  <c r="L43" i="2"/>
  <c r="K43" i="2"/>
  <c r="J4" i="3"/>
  <c r="K4" i="3"/>
  <c r="J5" i="3"/>
  <c r="K5" i="3"/>
  <c r="L5" i="3"/>
  <c r="M5" i="3"/>
  <c r="N5" i="3"/>
  <c r="O5" i="3"/>
  <c r="M53" i="2" l="1"/>
  <c r="M54" i="2" s="1"/>
  <c r="O47" i="2"/>
  <c r="M43" i="2"/>
  <c r="O43" i="2" s="1"/>
  <c r="M44" i="2"/>
  <c r="O44" i="2" s="1"/>
  <c r="O53" i="2" l="1"/>
  <c r="AA53" i="2" s="1"/>
  <c r="I4" i="3" s="1"/>
  <c r="P46" i="2"/>
  <c r="T46" i="2"/>
  <c r="R46" i="2"/>
  <c r="N46" i="2"/>
  <c r="V46" i="2"/>
  <c r="Q46" i="2"/>
  <c r="Y46" i="2"/>
  <c r="U46" i="2"/>
  <c r="X46" i="2"/>
  <c r="S46" i="2"/>
  <c r="W46" i="2"/>
  <c r="F5" i="2"/>
  <c r="F34" i="2"/>
  <c r="L42" i="2"/>
  <c r="K42" i="2"/>
  <c r="O54" i="2" l="1"/>
  <c r="Z54" i="2" s="1"/>
  <c r="AB53" i="2"/>
  <c r="I5" i="3" s="1"/>
  <c r="M42" i="2"/>
  <c r="O42" i="2" s="1"/>
  <c r="Z38" i="2"/>
  <c r="Z31" i="2"/>
  <c r="N32" i="2" s="1"/>
  <c r="Z23" i="2"/>
  <c r="P24" i="2" s="1"/>
  <c r="Z16" i="2"/>
  <c r="Q17" i="2" s="1"/>
  <c r="U17" i="2" l="1"/>
  <c r="P17" i="2"/>
  <c r="N17" i="2"/>
  <c r="Q24" i="2"/>
  <c r="N24" i="2"/>
  <c r="Y17" i="2"/>
  <c r="V17" i="2"/>
  <c r="R17" i="2"/>
  <c r="U24" i="2"/>
  <c r="T17" i="2"/>
  <c r="R24" i="2"/>
  <c r="P32" i="2"/>
  <c r="X24" i="2"/>
  <c r="S24" i="2"/>
  <c r="W24" i="2"/>
  <c r="V32" i="2"/>
  <c r="T24" i="2"/>
  <c r="R32" i="2"/>
  <c r="Y32" i="2"/>
  <c r="Y24" i="2"/>
  <c r="Q32" i="2"/>
  <c r="N39" i="2"/>
  <c r="X32" i="2"/>
  <c r="S32" i="2"/>
  <c r="W32" i="2"/>
  <c r="T32" i="2"/>
  <c r="X17" i="2"/>
  <c r="S17" i="2"/>
  <c r="W17" i="2"/>
  <c r="V24" i="2"/>
  <c r="U32" i="2"/>
  <c r="T39" i="2"/>
  <c r="X39" i="2"/>
  <c r="Y39" i="2"/>
  <c r="S39" i="2"/>
  <c r="U39" i="2"/>
  <c r="W39" i="2"/>
  <c r="R39" i="2"/>
  <c r="Q39" i="2"/>
  <c r="V39" i="2"/>
  <c r="P39" i="2"/>
  <c r="Z9" i="2"/>
  <c r="T10" i="2" l="1"/>
  <c r="Y10" i="2"/>
  <c r="S8" i="20" s="1" a="1"/>
  <c r="S8" i="20" s="1"/>
  <c r="G50" i="20" s="1"/>
  <c r="Q10" i="2"/>
  <c r="K9" i="20" s="1" a="1"/>
  <c r="K9" i="20" s="1"/>
  <c r="X10" i="2"/>
  <c r="S10" i="2"/>
  <c r="W10" i="2"/>
  <c r="Q8" i="20" s="1" a="1"/>
  <c r="Q8" i="20" s="1"/>
  <c r="V10" i="2"/>
  <c r="P9" i="20" s="1" a="1"/>
  <c r="P9" i="20" s="1"/>
  <c r="R10" i="2"/>
  <c r="L9" i="20" s="1" a="1"/>
  <c r="L9" i="20" s="1"/>
  <c r="U10" i="2"/>
  <c r="O9" i="20" s="1" a="1"/>
  <c r="O9" i="20" s="1"/>
  <c r="P10" i="2"/>
  <c r="J10" i="20" s="1" a="1"/>
  <c r="J10" i="20" s="1"/>
  <c r="N10" i="2"/>
  <c r="H10" i="20" s="1" a="1"/>
  <c r="H10" i="20" s="1"/>
  <c r="F44" i="2"/>
  <c r="L41" i="2"/>
  <c r="K41" i="2"/>
  <c r="L35" i="2"/>
  <c r="L33" i="2"/>
  <c r="L34" i="2"/>
  <c r="L28" i="2"/>
  <c r="L27" i="2"/>
  <c r="L26" i="2"/>
  <c r="L21" i="2"/>
  <c r="L20" i="2"/>
  <c r="L18" i="2"/>
  <c r="L23" i="2" s="1"/>
  <c r="L15" i="2"/>
  <c r="L19" i="2"/>
  <c r="L22" i="2"/>
  <c r="K18" i="2"/>
  <c r="K37" i="2"/>
  <c r="L37" i="2"/>
  <c r="F37" i="2"/>
  <c r="L4" i="2"/>
  <c r="L6" i="2"/>
  <c r="L7" i="2"/>
  <c r="L8" i="2"/>
  <c r="L11" i="2"/>
  <c r="L13" i="2"/>
  <c r="L14" i="2"/>
  <c r="L16" i="2" l="1"/>
  <c r="G55" i="20"/>
  <c r="G54" i="20"/>
  <c r="G63" i="20"/>
  <c r="G58" i="20"/>
  <c r="Q10" i="20"/>
  <c r="Q26" i="20" s="1"/>
  <c r="G61" i="20"/>
  <c r="J30" i="20"/>
  <c r="L9" i="2"/>
  <c r="L10" i="2" s="1"/>
  <c r="G52" i="20"/>
  <c r="I50" i="20" s="1"/>
  <c r="G59" i="20"/>
  <c r="H32" i="20"/>
  <c r="M37" i="2"/>
  <c r="O37" i="2" s="1"/>
  <c r="L24" i="2"/>
  <c r="L17" i="2"/>
  <c r="M41" i="2"/>
  <c r="O41" i="2" s="1"/>
  <c r="L36" i="2"/>
  <c r="L40" i="2"/>
  <c r="K33" i="2"/>
  <c r="K34" i="2"/>
  <c r="K35" i="2"/>
  <c r="K36" i="2"/>
  <c r="K40" i="2"/>
  <c r="K45" i="2" s="1"/>
  <c r="K4" i="2"/>
  <c r="K5" i="2"/>
  <c r="K6" i="2"/>
  <c r="K7" i="2"/>
  <c r="K8" i="2"/>
  <c r="K11" i="2"/>
  <c r="K12" i="2"/>
  <c r="K13" i="2"/>
  <c r="K14" i="2"/>
  <c r="K15" i="2"/>
  <c r="M18" i="2"/>
  <c r="K19" i="2"/>
  <c r="K20" i="2"/>
  <c r="K21" i="2"/>
  <c r="K22" i="2"/>
  <c r="K25" i="2"/>
  <c r="K23" i="2" l="1"/>
  <c r="K9" i="2"/>
  <c r="L45" i="2"/>
  <c r="L46" i="2" s="1"/>
  <c r="L38" i="2"/>
  <c r="L39" i="2" s="1"/>
  <c r="O18" i="2"/>
  <c r="K38" i="2"/>
  <c r="K16" i="2"/>
  <c r="O6" i="2"/>
  <c r="O8" i="2"/>
  <c r="M4" i="2"/>
  <c r="O4" i="2" s="1"/>
  <c r="M5" i="2"/>
  <c r="O5" i="2" s="1"/>
  <c r="M13" i="2"/>
  <c r="O13" i="2" s="1"/>
  <c r="M7" i="2"/>
  <c r="O7" i="2" s="1"/>
  <c r="M6" i="2"/>
  <c r="M20" i="2"/>
  <c r="O20" i="2" s="1"/>
  <c r="M19" i="2"/>
  <c r="O19" i="2" s="1"/>
  <c r="K46" i="2"/>
  <c r="M15" i="2"/>
  <c r="O15" i="2" s="1"/>
  <c r="M21" i="2"/>
  <c r="O21" i="2" s="1"/>
  <c r="M14" i="2"/>
  <c r="O14" i="2" s="1"/>
  <c r="K24" i="2"/>
  <c r="K10" i="2"/>
  <c r="M35" i="2"/>
  <c r="O35" i="2" s="1"/>
  <c r="M40" i="2"/>
  <c r="M45" i="2" s="1"/>
  <c r="M36" i="2"/>
  <c r="O36" i="2" s="1"/>
  <c r="M12" i="2"/>
  <c r="O12" i="2" s="1"/>
  <c r="M11" i="2"/>
  <c r="M8" i="2"/>
  <c r="M34" i="2"/>
  <c r="O34" i="2" s="1"/>
  <c r="M33" i="2"/>
  <c r="M22" i="2"/>
  <c r="O22" i="2" s="1"/>
  <c r="K27" i="2"/>
  <c r="L29" i="2"/>
  <c r="K17" i="2" l="1"/>
  <c r="K39" i="2"/>
  <c r="O33" i="2"/>
  <c r="O38" i="2" s="1"/>
  <c r="O39" i="2" s="1"/>
  <c r="M38" i="2"/>
  <c r="M9" i="2"/>
  <c r="M10" i="2" s="1"/>
  <c r="O23" i="2"/>
  <c r="O24" i="2" s="1"/>
  <c r="O40" i="2"/>
  <c r="O45" i="2" s="1"/>
  <c r="O46" i="2" s="1"/>
  <c r="O9" i="2"/>
  <c r="M23" i="2"/>
  <c r="M24" i="2" s="1"/>
  <c r="O11" i="2"/>
  <c r="O16" i="2" s="1"/>
  <c r="O17" i="2" s="1"/>
  <c r="M16" i="2"/>
  <c r="M17" i="2" s="1"/>
  <c r="M27" i="2"/>
  <c r="O27" i="2" s="1"/>
  <c r="M46" i="2"/>
  <c r="F8" i="2"/>
  <c r="L25" i="2"/>
  <c r="F15" i="2"/>
  <c r="F25" i="2"/>
  <c r="M25" i="2"/>
  <c r="AB38" i="2" l="1"/>
  <c r="AB45" i="2"/>
  <c r="M39" i="2"/>
  <c r="Z39" i="2" s="1"/>
  <c r="AB23" i="2"/>
  <c r="AB9" i="2"/>
  <c r="AA9" i="2"/>
  <c r="C4" i="3" s="1"/>
  <c r="O10" i="2"/>
  <c r="Z10" i="2" s="1"/>
  <c r="AA16" i="2"/>
  <c r="D4" i="3" s="1"/>
  <c r="AB16" i="2"/>
  <c r="D5" i="3" s="1"/>
  <c r="O25" i="2"/>
  <c r="Z17" i="2"/>
  <c r="Z46" i="2"/>
  <c r="Z24" i="2"/>
  <c r="H5" i="3"/>
  <c r="E5" i="3"/>
  <c r="G5" i="3"/>
  <c r="C5" i="3"/>
  <c r="AA45" i="2"/>
  <c r="H4" i="3" s="1"/>
  <c r="AA23" i="2"/>
  <c r="E4" i="3" s="1"/>
  <c r="AA38" i="2"/>
  <c r="G4" i="3" s="1"/>
  <c r="L30" i="2"/>
  <c r="L31" i="2" s="1"/>
  <c r="K26" i="2"/>
  <c r="K28" i="2"/>
  <c r="K29" i="2"/>
  <c r="K30" i="2"/>
  <c r="F4" i="2"/>
  <c r="K31" i="2" l="1"/>
  <c r="K32" i="2"/>
  <c r="L32" i="2"/>
  <c r="M30" i="2"/>
  <c r="O30" i="2" s="1"/>
  <c r="M29" i="2"/>
  <c r="O29" i="2" s="1"/>
  <c r="M28" i="2"/>
  <c r="O28" i="2" s="1"/>
  <c r="M26" i="2"/>
  <c r="E91" i="2"/>
  <c r="K92" i="2" l="1"/>
  <c r="O26" i="2"/>
  <c r="O31" i="2" s="1"/>
  <c r="M31" i="2"/>
  <c r="L92" i="2"/>
  <c r="F10" i="20" a="1"/>
  <c r="F10" i="20" s="1"/>
  <c r="B14" i="20" a="1"/>
  <c r="B14" i="20" s="1"/>
  <c r="M32" i="2"/>
  <c r="F28" i="2"/>
  <c r="F29" i="2"/>
  <c r="F30" i="2"/>
  <c r="F33" i="2"/>
  <c r="F35" i="2"/>
  <c r="F36" i="2"/>
  <c r="F43" i="2"/>
  <c r="F55" i="2"/>
  <c r="F56" i="2"/>
  <c r="F57" i="2"/>
  <c r="F58" i="2"/>
  <c r="F59" i="2"/>
  <c r="F62" i="2"/>
  <c r="F63" i="2"/>
  <c r="F64" i="2"/>
  <c r="F65" i="2"/>
  <c r="F66" i="2"/>
  <c r="F69" i="2"/>
  <c r="F6" i="2"/>
  <c r="F7" i="2"/>
  <c r="F11" i="2"/>
  <c r="F12" i="2"/>
  <c r="F13" i="2"/>
  <c r="F14" i="2"/>
  <c r="F18" i="2"/>
  <c r="F19" i="2"/>
  <c r="F20" i="2"/>
  <c r="F21" i="2"/>
  <c r="F22" i="2"/>
  <c r="F26" i="2"/>
  <c r="F27" i="2"/>
  <c r="AB31" i="2" l="1"/>
  <c r="G66" i="20"/>
  <c r="I66" i="20" s="1"/>
  <c r="M92" i="2"/>
  <c r="G65" i="20"/>
  <c r="I65" i="20" s="1"/>
  <c r="F34" i="20"/>
  <c r="G10" i="20" a="1"/>
  <c r="G10" i="20" s="1"/>
  <c r="O32" i="2"/>
  <c r="Z32" i="2" s="1"/>
  <c r="G64" i="20" l="1"/>
  <c r="G32" i="20"/>
  <c r="F5" i="3"/>
  <c r="AA31" i="2"/>
  <c r="F4" i="3" s="1"/>
  <c r="O92" i="2" l="1"/>
  <c r="I10" i="20" a="1"/>
  <c r="I10" i="20" s="1"/>
  <c r="G13" i="20" l="1"/>
  <c r="G62" i="20"/>
  <c r="I61" i="20" s="1"/>
  <c r="I30" i="20"/>
  <c r="B16" i="20" l="1"/>
  <c r="F20" i="20" s="1"/>
  <c r="G75" i="20" s="1"/>
  <c r="G79" i="20" s="1"/>
  <c r="S92" i="2" l="1"/>
  <c r="M9" i="20" a="1"/>
  <c r="M9" i="20" s="1"/>
  <c r="K12" i="20" l="1"/>
  <c r="G57" i="20"/>
  <c r="I54" i="20" s="1"/>
  <c r="K28" i="20" l="1"/>
  <c r="B17" i="20"/>
  <c r="F21" i="20" s="1"/>
  <c r="T10" i="20"/>
  <c r="J49" i="20" s="1"/>
  <c r="J50" i="20" s="1"/>
  <c r="J53" i="20" s="1"/>
  <c r="J54" i="20" l="1"/>
  <c r="J60" i="20" s="1"/>
  <c r="G80" i="20"/>
  <c r="N11" i="20"/>
  <c r="D78" i="20" s="1"/>
  <c r="J12" i="20"/>
  <c r="D74" i="20" s="1"/>
  <c r="K11" i="20"/>
  <c r="D75" i="20" s="1"/>
  <c r="O11" i="20"/>
  <c r="D79" i="20" s="1"/>
  <c r="P11" i="20"/>
  <c r="D80" i="20" s="1"/>
  <c r="H12" i="20"/>
  <c r="D72" i="20" s="1"/>
  <c r="L11" i="20"/>
  <c r="D76" i="20" s="1"/>
  <c r="G12" i="20"/>
  <c r="D71" i="20" s="1"/>
  <c r="I12" i="20"/>
  <c r="D73" i="20" s="1"/>
  <c r="M11" i="20"/>
  <c r="D77" i="20" s="1"/>
  <c r="F15" i="20"/>
  <c r="D70" i="20" s="1"/>
  <c r="G14" i="20"/>
  <c r="E71" i="20" s="1"/>
  <c r="K13" i="20"/>
  <c r="E75" i="20" s="1"/>
  <c r="E24" i="20"/>
  <c r="E26" i="20" s="1"/>
  <c r="H49" i="20"/>
  <c r="H50" i="20" s="1"/>
  <c r="H51" i="20" s="1"/>
  <c r="H52" i="20" s="1"/>
  <c r="E70" i="20" l="1"/>
  <c r="D69" i="20"/>
  <c r="E69" i="20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G76" i="20"/>
  <c r="H54" i="20"/>
  <c r="H55" i="20" s="1"/>
  <c r="H56" i="20" s="1"/>
  <c r="H57" i="20" s="1"/>
  <c r="H58" i="20" s="1"/>
  <c r="H59" i="20" s="1"/>
  <c r="H60" i="20" s="1"/>
  <c r="H53" i="20"/>
  <c r="J61" i="20"/>
  <c r="J65" i="20" s="1"/>
  <c r="J66" i="20" s="1"/>
  <c r="E28" i="20"/>
  <c r="C26" i="20"/>
  <c r="H61" i="20" l="1"/>
  <c r="H62" i="20" s="1"/>
  <c r="H63" i="20" s="1"/>
  <c r="H64" i="20" s="1"/>
  <c r="H65" i="20" s="1"/>
  <c r="H66" i="20" s="1"/>
  <c r="E30" i="20"/>
  <c r="C28" i="20"/>
  <c r="B28" i="20"/>
  <c r="E32" i="20" l="1"/>
  <c r="E34" i="20" s="1"/>
  <c r="C30" i="20"/>
  <c r="E36" i="20" l="1"/>
  <c r="I21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<sst xmlns="http://schemas.openxmlformats.org/spreadsheetml/2006/main" count="403" uniqueCount="231">
  <si>
    <t>DANE Z RAPORTÓW EFFI</t>
  </si>
  <si>
    <t>DANE DO WYLICZEŃ w zmianach</t>
  </si>
  <si>
    <t>tydzień</t>
  </si>
  <si>
    <t>Ql zaplan</t>
  </si>
  <si>
    <t>QL wykonane</t>
  </si>
  <si>
    <t>zmiany zaplanowane</t>
  </si>
  <si>
    <t>zmiany zrealizowane</t>
  </si>
  <si>
    <t>średnia wydajność</t>
  </si>
  <si>
    <t>braki</t>
  </si>
  <si>
    <t>ilość zmian przy 100% wydajności</t>
  </si>
  <si>
    <t>ubytki (szacunkowe)</t>
  </si>
  <si>
    <t>zwolnienie linii</t>
  </si>
  <si>
    <t>SHUT DOWN - wartość wypadkowa</t>
  </si>
  <si>
    <t>sprzatąnie dzienne</t>
  </si>
  <si>
    <t>przejścia</t>
  </si>
  <si>
    <t>rozruch</t>
  </si>
  <si>
    <t xml:space="preserve">maintenance tygodniowe </t>
  </si>
  <si>
    <t>przestoje techniczne</t>
  </si>
  <si>
    <t>sprzątania</t>
  </si>
  <si>
    <t>czyszczenie pieców</t>
  </si>
  <si>
    <t>brak planu</t>
  </si>
  <si>
    <t>line holidays</t>
  </si>
  <si>
    <t xml:space="preserve">święta </t>
  </si>
  <si>
    <t>ilość zmian</t>
  </si>
  <si>
    <t>OEE</t>
  </si>
  <si>
    <t>OAE</t>
  </si>
  <si>
    <t>miesiąc</t>
  </si>
  <si>
    <t xml:space="preserve">uwagi </t>
  </si>
  <si>
    <t>WRZESIEŃ</t>
  </si>
  <si>
    <t>w35</t>
  </si>
  <si>
    <t>x</t>
  </si>
  <si>
    <t>W36</t>
  </si>
  <si>
    <t>W37</t>
  </si>
  <si>
    <t>W38</t>
  </si>
  <si>
    <t>W39</t>
  </si>
  <si>
    <t>czyszcz pieców</t>
  </si>
  <si>
    <t>W40</t>
  </si>
  <si>
    <t xml:space="preserve">SUMA WRZESIEŃ </t>
  </si>
  <si>
    <t>EFFECTIVE SHIFTS AT FULL CAPACITY</t>
  </si>
  <si>
    <t>09/2024%</t>
  </si>
  <si>
    <t>% CALCULATED IN RELATION TO THE FULL YEAR</t>
  </si>
  <si>
    <t>%</t>
  </si>
  <si>
    <t>PAŻDZIERNIK</t>
  </si>
  <si>
    <t>W41</t>
  </si>
  <si>
    <t>W42</t>
  </si>
  <si>
    <t>W43</t>
  </si>
  <si>
    <t>W44</t>
  </si>
  <si>
    <t xml:space="preserve">SUMA PAŹDZIERNIK </t>
  </si>
  <si>
    <t>10/2024%</t>
  </si>
  <si>
    <t>LISTOPAD</t>
  </si>
  <si>
    <t>W45</t>
  </si>
  <si>
    <t>W46</t>
  </si>
  <si>
    <t>W47</t>
  </si>
  <si>
    <t>W48</t>
  </si>
  <si>
    <t>SUMA LISTOPAD</t>
  </si>
  <si>
    <t>11/2024%</t>
  </si>
  <si>
    <t>GRUDZIEŃ</t>
  </si>
  <si>
    <t>opiłki w polewie</t>
  </si>
  <si>
    <t>W49</t>
  </si>
  <si>
    <t>W50</t>
  </si>
  <si>
    <t>W51</t>
  </si>
  <si>
    <t>W52</t>
  </si>
  <si>
    <t>W01</t>
  </si>
  <si>
    <t>SUMA GRUDZIEŃ</t>
  </si>
  <si>
    <t>12/2024%</t>
  </si>
  <si>
    <t>STYCZEŃ</t>
  </si>
  <si>
    <t>W02</t>
  </si>
  <si>
    <t>techniczne prace nad migdalówką</t>
  </si>
  <si>
    <t>W03</t>
  </si>
  <si>
    <t>W04</t>
  </si>
  <si>
    <t>W05</t>
  </si>
  <si>
    <t>SUMA STYCZEŃ</t>
  </si>
  <si>
    <t>01/2025%</t>
  </si>
  <si>
    <t>LUTY</t>
  </si>
  <si>
    <t>W06</t>
  </si>
  <si>
    <t>W07</t>
  </si>
  <si>
    <t>W08</t>
  </si>
  <si>
    <t>W09</t>
  </si>
  <si>
    <t>SUMA LUTY</t>
  </si>
  <si>
    <t>02/2025%</t>
  </si>
  <si>
    <t>MARZEC</t>
  </si>
  <si>
    <t>W9</t>
  </si>
  <si>
    <t>W10</t>
  </si>
  <si>
    <t>SŁABEJ JAKOŚCI MIGDAŁ, CZESTE CZYSZCZENIE MIGDAŁÓWKI</t>
  </si>
  <si>
    <t>W11</t>
  </si>
  <si>
    <t>SPRZĄTANIE PRZED AUDYTEM</t>
  </si>
  <si>
    <t>W12</t>
  </si>
  <si>
    <t>W13</t>
  </si>
  <si>
    <t>W14</t>
  </si>
  <si>
    <t>deklaracja vracka virtualnego nie wstawionego w plan w ubiegłych tygodniach - zerowanie na koniec miesiaca</t>
  </si>
  <si>
    <t>SUMA MARZEC</t>
  </si>
  <si>
    <t>03/2025%</t>
  </si>
  <si>
    <t>KWIECIEŃ</t>
  </si>
  <si>
    <t>W15</t>
  </si>
  <si>
    <t>W16</t>
  </si>
  <si>
    <t>WIELKA SOBOTA  +WIELKANOC</t>
  </si>
  <si>
    <t>W17</t>
  </si>
  <si>
    <t>4 godz - brak kremu z preparacji ; lany poniedziałek</t>
  </si>
  <si>
    <t>W18</t>
  </si>
  <si>
    <t>SUMA KWIECIEŃ</t>
  </si>
  <si>
    <t>04/2025%</t>
  </si>
  <si>
    <t>MAJ</t>
  </si>
  <si>
    <t>W19</t>
  </si>
  <si>
    <t>W20</t>
  </si>
  <si>
    <t>W21</t>
  </si>
  <si>
    <t>W22</t>
  </si>
  <si>
    <t>SUMA MAJ</t>
  </si>
  <si>
    <t>05/2025%</t>
  </si>
  <si>
    <t>CZERWIEC</t>
  </si>
  <si>
    <t>W23</t>
  </si>
  <si>
    <t>W24</t>
  </si>
  <si>
    <t>W25</t>
  </si>
  <si>
    <t>W26</t>
  </si>
  <si>
    <t>W27</t>
  </si>
  <si>
    <t>SUMA CZERWIEC</t>
  </si>
  <si>
    <t>06/2025%</t>
  </si>
  <si>
    <t>LIPIEC</t>
  </si>
  <si>
    <t>W28</t>
  </si>
  <si>
    <t>W29</t>
  </si>
  <si>
    <t>W30</t>
  </si>
  <si>
    <t>W31</t>
  </si>
  <si>
    <t>SUMA LIPIEC</t>
  </si>
  <si>
    <t>07/2025%</t>
  </si>
  <si>
    <t>SIERPIEŃ</t>
  </si>
  <si>
    <t>W32</t>
  </si>
  <si>
    <t>W33</t>
  </si>
  <si>
    <t>W34</t>
  </si>
  <si>
    <t>W35</t>
  </si>
  <si>
    <t>SUMA SIERPIEŃ</t>
  </si>
  <si>
    <t>08/2025%</t>
  </si>
  <si>
    <t>24/25</t>
  </si>
  <si>
    <t>24/25%</t>
  </si>
  <si>
    <t xml:space="preserve">wybierając okres w czerwone pole wpisz datę w następującym formacie:                 </t>
  </si>
  <si>
    <r>
      <t xml:space="preserve">dla miesiąca  </t>
    </r>
    <r>
      <rPr>
        <b/>
        <i/>
        <sz val="12"/>
        <rFont val="Calibri"/>
        <family val="2"/>
        <scheme val="minor"/>
      </rPr>
      <t>mm/rrrr</t>
    </r>
    <r>
      <rPr>
        <b/>
        <i/>
        <sz val="12"/>
        <color rgb="FFFF0000"/>
        <rFont val="Calibri"/>
        <family val="2"/>
        <scheme val="minor"/>
      </rPr>
      <t xml:space="preserve"> - w jednostkach "zmian produkcyjnych", lub </t>
    </r>
    <r>
      <rPr>
        <b/>
        <i/>
        <sz val="12"/>
        <rFont val="Calibri"/>
        <family val="2"/>
        <scheme val="minor"/>
      </rPr>
      <t>mm/rrrr%</t>
    </r>
    <r>
      <rPr>
        <b/>
        <i/>
        <sz val="12"/>
        <color rgb="FFFF0000"/>
        <rFont val="Calibri"/>
        <family val="2"/>
        <scheme val="minor"/>
      </rPr>
      <t xml:space="preserve">  dla wyrażenia wartości w procentach</t>
    </r>
  </si>
  <si>
    <r>
      <t>dla kompanii</t>
    </r>
    <r>
      <rPr>
        <b/>
        <i/>
        <sz val="12"/>
        <rFont val="Calibri"/>
        <family val="2"/>
        <scheme val="minor"/>
      </rPr>
      <t xml:space="preserve"> rr/rr</t>
    </r>
    <r>
      <rPr>
        <b/>
        <i/>
        <sz val="12"/>
        <color rgb="FFFF0000"/>
        <rFont val="Calibri"/>
        <family val="2"/>
        <scheme val="minor"/>
      </rPr>
      <t xml:space="preserve"> w jednostkach "zmian produkcyjnych", lub </t>
    </r>
    <r>
      <rPr>
        <b/>
        <i/>
        <sz val="12"/>
        <rFont val="Calibri"/>
        <family val="2"/>
        <scheme val="minor"/>
      </rPr>
      <t>mm/rr%</t>
    </r>
    <r>
      <rPr>
        <b/>
        <i/>
        <sz val="12"/>
        <color rgb="FFFF0000"/>
        <rFont val="Calibri"/>
        <family val="2"/>
        <scheme val="minor"/>
      </rPr>
      <t xml:space="preserve">  dla wyrażenia wartości w procentach</t>
    </r>
  </si>
  <si>
    <t xml:space="preserve"> RAFFAELLO  </t>
  </si>
  <si>
    <t>CALENDAR TIME</t>
  </si>
  <si>
    <t>Unit of measure</t>
  </si>
  <si>
    <t>SCHEDULED TOTAL PRODUCTION TIME</t>
  </si>
  <si>
    <t>TIME NOT INCLUDED IN THE PLAN (days off, etc.)</t>
  </si>
  <si>
    <t>PRODUCTION TIME INCLUDING PLANNED DOWNTIMES AND CHANGEOVERS</t>
  </si>
  <si>
    <t>TIME LOST ON PLANNED MACHINE DOWNTIME</t>
  </si>
  <si>
    <t>LACK OF PLAN</t>
  </si>
  <si>
    <t>LINE HOLIDAYS</t>
  </si>
  <si>
    <t>BANK HOLIDAYS</t>
  </si>
  <si>
    <t>PRODUCTION TIME REDUCED BY EFFICIENCY LOSSES AND UNPLANNED DOWNTIME</t>
  </si>
  <si>
    <t>TIME LOST ON UNPLANNED DOWNTIME (failures, loss of efficiency)</t>
  </si>
  <si>
    <t>CHANGEOVERS</t>
  </si>
  <si>
    <t>STARTUP</t>
  </si>
  <si>
    <t>WEEKLY MAINTENANCE</t>
  </si>
  <si>
    <t>TECHNICAL DOWNTIME</t>
  </si>
  <si>
    <t>WEEKLY CLEANING</t>
  </si>
  <si>
    <t>CLEANING OVENS</t>
  </si>
  <si>
    <t>EFFICIENT PRODUCTION OF A GOOD FINISHED PRODUCT</t>
  </si>
  <si>
    <t>DEFECTIVE OR REJECTED PRODUCTS</t>
  </si>
  <si>
    <t>LACK OF PRODUCT</t>
  </si>
  <si>
    <t>LINE SPEED REDUCTION</t>
  </si>
  <si>
    <t>SHUT DOWN</t>
  </si>
  <si>
    <t>DAILY CLEANING</t>
  </si>
  <si>
    <t>Theoretical shifts at 100% efficiency (271.4 ql)</t>
  </si>
  <si>
    <t xml:space="preserve">OEE FACTOR  </t>
  </si>
  <si>
    <t xml:space="preserve">OAE FACTOR  </t>
  </si>
  <si>
    <t xml:space="preserve">ilość zmian </t>
  </si>
  <si>
    <t>TEEP</t>
  </si>
  <si>
    <t>zmian nieplanowanych</t>
  </si>
  <si>
    <t>i tu liczymy te np  850 zmian x teoretyczna np. Raf 270q/zm</t>
  </si>
  <si>
    <t xml:space="preserve">zmian planowanych nieprodukcji (sprzątanie, rozruch, przezbrojenie) </t>
  </si>
  <si>
    <t>PRACA LINII</t>
  </si>
  <si>
    <t>shut down/sprzatanie dzienne</t>
  </si>
  <si>
    <t>Wydajność</t>
  </si>
  <si>
    <t>strata wydajności (mniejsza prędkość, "dziury"</t>
  </si>
  <si>
    <t>a tu 850 x 240 ql</t>
  </si>
  <si>
    <t>Dobry produkt</t>
  </si>
  <si>
    <t>te rzeczy powodują spadek OEE czyli różnicę między teoretyczną standard a aktual</t>
  </si>
  <si>
    <t>Chart content</t>
  </si>
  <si>
    <t>VALUES IN</t>
  </si>
  <si>
    <t>DESCRIPTION</t>
  </si>
  <si>
    <t>DETAILED DESCRIPTION</t>
  </si>
  <si>
    <t>ACTIVITY TIME</t>
  </si>
  <si>
    <t>REMAINING TIME</t>
  </si>
  <si>
    <t>Theoretical/expected data for 24/25</t>
  </si>
  <si>
    <t>Weeks</t>
  </si>
  <si>
    <t>Days</t>
  </si>
  <si>
    <t>Shifts</t>
  </si>
  <si>
    <t>01.STYCZEŃ, 2 MAJ, WIELKA SOBOTA, od 27 do 31 grudnia</t>
  </si>
  <si>
    <t>THEORETICAL AVAILABLE NUMBER OF PRODUCTION SHIFT</t>
  </si>
  <si>
    <t>PLANNED MACHINE DOWNTIME</t>
  </si>
  <si>
    <t>OVENS CLEANING</t>
  </si>
  <si>
    <t>5 x 7 zmain</t>
  </si>
  <si>
    <t>43 tygodnie x 1,5 zmainy</t>
  </si>
  <si>
    <t>?</t>
  </si>
  <si>
    <t>maitenance tygodniowy jest robiony podczas sprzątania</t>
  </si>
  <si>
    <t>STARTUPS</t>
  </si>
  <si>
    <t>REAL AVAILABLE NUMBER OF PRODUCTION SHIFT</t>
  </si>
  <si>
    <t>UNPLANNED DOWNTIME (failures, loss of efficiency)</t>
  </si>
  <si>
    <t>dla wydajności 88,4%</t>
  </si>
  <si>
    <t>DEFECTIVE PRODUCTS</t>
  </si>
  <si>
    <t>EFFICIENT PRODUCTION OF FINISHED PRODUCTS</t>
  </si>
  <si>
    <t>VALUE</t>
  </si>
  <si>
    <t>LOSS OF QUALITY</t>
  </si>
  <si>
    <t>LOSS OF PERFORMANCE</t>
  </si>
  <si>
    <t>LOSS OF AVAILABILITY</t>
  </si>
  <si>
    <t xml:space="preserve">GENERAL TEEP OAE/OEE </t>
  </si>
  <si>
    <t xml:space="preserve">DETAILED TEEP OAE/OEE </t>
  </si>
  <si>
    <t>OEE TARGET</t>
  </si>
  <si>
    <t>OPIS</t>
  </si>
  <si>
    <t>OPIS SZCZEGÓŁY</t>
  </si>
  <si>
    <t>dane teoretyczne/ przewidywane na rok 25/26</t>
  </si>
  <si>
    <t>tydz.</t>
  </si>
  <si>
    <t>dni</t>
  </si>
  <si>
    <t>zmain</t>
  </si>
  <si>
    <t>CZAS KALENDARZOWY</t>
  </si>
  <si>
    <t>CZAS NIEUWZGLĘDNIONY W PLANIE (dni wolne od pracy itp.).</t>
  </si>
  <si>
    <t>ŚWIETA</t>
  </si>
  <si>
    <t>02 styczeń, 02 maj, wielka sobota, 27-31 grudnia</t>
  </si>
  <si>
    <t>BRAK PLANU</t>
  </si>
  <si>
    <t>STRATA CZASU NA PLANOWANE PRZESTOJE MASZYN</t>
  </si>
  <si>
    <t>CZYSZCZENIE PIECÓW</t>
  </si>
  <si>
    <t>6 x 7 zmian</t>
  </si>
  <si>
    <t>SPRZATANIE</t>
  </si>
  <si>
    <t>42 tygodni x 1,5 zm.</t>
  </si>
  <si>
    <t>PRZESTOJE TECHNICZNE</t>
  </si>
  <si>
    <t>MAINTENANCE TYGODNIOWY</t>
  </si>
  <si>
    <t xml:space="preserve">ROZRUCH </t>
  </si>
  <si>
    <t>PRZEJŚCIA</t>
  </si>
  <si>
    <t>STARTA CZASU NA NIEPALNOWANE PRZESTOJE (awarie, spadek efektywności)</t>
  </si>
  <si>
    <t>SPRZĄTANIA DZIENNE</t>
  </si>
  <si>
    <t>ZWOLNIENIE LINII</t>
  </si>
  <si>
    <t>UBYTKI</t>
  </si>
  <si>
    <t>ODRZUTY, WADLWE WYROBY</t>
  </si>
  <si>
    <t xml:space="preserve">REALNIE EFEKTYWNA PRODUKCJA NAD WYROBAMI, KTÓRE SĄ DOBRE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</si>
</sst>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3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8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242424"/>
      <name val="Aptos Narrow"/>
      <family val="2"/>
    </font>
    <font>
      <sz val="1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6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8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 style="thin">
        <color indexed="64"/>
      </top>
      <bottom style="thin">
        <color indexed="64"/>
      </bottom>
      <diagonal/>
    </border>
    <border>
      <left style="thick">
        <color rgb="FFC00000"/>
      </left>
      <right/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ck">
        <color rgb="FFC00000"/>
      </left>
      <right/>
      <top/>
      <bottom style="thin">
        <color indexed="64"/>
      </bottom>
      <diagonal/>
    </border>
    <border>
      <left/>
      <right style="thick">
        <color rgb="FFC0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theme="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rgb="FFFF0000"/>
      </right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theme="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theme="1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theme="1"/>
      </bottom>
      <diagonal/>
    </border>
    <border>
      <left/>
      <right/>
      <top style="thick">
        <color indexed="64"/>
      </top>
      <bottom style="thick">
        <color theme="1"/>
      </bottom>
      <diagonal/>
    </border>
    <border>
      <left/>
      <right style="thick">
        <color indexed="64"/>
      </right>
      <top style="thick">
        <color indexed="64"/>
      </top>
      <bottom style="thick">
        <color theme="1"/>
      </bottom>
      <diagonal/>
    </border>
    <border>
      <left style="thick">
        <color indexed="64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indexed="64"/>
      </right>
      <top style="thick">
        <color theme="1"/>
      </top>
      <bottom/>
      <diagonal/>
    </border>
  </borders>
  <cellStyleXfs count="2">
    <xf numFmtId="0" fontId="0" fillId="0" borderId="0"/>
    <xf numFmtId="43" fontId="23" fillId="0" borderId="0" applyFont="0" applyFill="0" applyBorder="0" applyAlignment="0" applyProtection="0"/>
  </cellStyleXfs>
  <cellXfs count="530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17" fontId="7" fillId="0" borderId="0" xfId="0" applyNumberFormat="1" applyFont="1" applyAlignment="1">
      <alignment horizontal="center" vertical="center"/>
    </xf>
    <xf numFmtId="17" fontId="0" fillId="0" borderId="0" xfId="0" applyNumberFormat="1"/>
    <xf numFmtId="0" fontId="10" fillId="11" borderId="0" xfId="0" applyFont="1" applyFill="1"/>
    <xf numFmtId="0" fontId="10" fillId="9" borderId="0" xfId="0" applyFont="1" applyFill="1"/>
    <xf numFmtId="2" fontId="0" fillId="6" borderId="5" xfId="0" applyNumberFormat="1" applyFill="1" applyBorder="1"/>
    <xf numFmtId="0" fontId="11" fillId="6" borderId="0" xfId="0" applyFont="1" applyFill="1"/>
    <xf numFmtId="2" fontId="11" fillId="6" borderId="5" xfId="0" applyNumberFormat="1" applyFont="1" applyFill="1" applyBorder="1"/>
    <xf numFmtId="0" fontId="0" fillId="6" borderId="5" xfId="0" applyFill="1" applyBorder="1" applyAlignment="1">
      <alignment horizontal="center" wrapText="1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4" borderId="5" xfId="0" applyFill="1" applyBorder="1" applyAlignment="1">
      <alignment horizontal="center" wrapText="1"/>
    </xf>
    <xf numFmtId="0" fontId="0" fillId="14" borderId="5" xfId="0" applyFill="1" applyBorder="1"/>
    <xf numFmtId="0" fontId="10" fillId="14" borderId="0" xfId="0" applyFont="1" applyFill="1"/>
    <xf numFmtId="0" fontId="10" fillId="14" borderId="5" xfId="0" applyFont="1" applyFill="1" applyBorder="1"/>
    <xf numFmtId="0" fontId="0" fillId="6" borderId="5" xfId="0" applyFill="1" applyBorder="1"/>
    <xf numFmtId="2" fontId="0" fillId="6" borderId="0" xfId="0" applyNumberFormat="1" applyFill="1"/>
    <xf numFmtId="165" fontId="0" fillId="7" borderId="5" xfId="0" applyNumberFormat="1" applyFill="1" applyBorder="1"/>
    <xf numFmtId="165" fontId="0" fillId="8" borderId="5" xfId="0" applyNumberFormat="1" applyFill="1" applyBorder="1"/>
    <xf numFmtId="0" fontId="0" fillId="6" borderId="4" xfId="0" applyFill="1" applyBorder="1"/>
    <xf numFmtId="2" fontId="0" fillId="6" borderId="4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40" xfId="0" applyBorder="1"/>
    <xf numFmtId="0" fontId="0" fillId="16" borderId="0" xfId="0" applyFill="1"/>
    <xf numFmtId="0" fontId="3" fillId="16" borderId="0" xfId="0" applyFont="1" applyFill="1"/>
    <xf numFmtId="165" fontId="4" fillId="16" borderId="5" xfId="0" applyNumberFormat="1" applyFont="1" applyFill="1" applyBorder="1"/>
    <xf numFmtId="0" fontId="13" fillId="6" borderId="0" xfId="0" applyFont="1" applyFill="1"/>
    <xf numFmtId="164" fontId="0" fillId="9" borderId="5" xfId="0" applyNumberFormat="1" applyFill="1" applyBorder="1"/>
    <xf numFmtId="2" fontId="12" fillId="6" borderId="2" xfId="0" applyNumberFormat="1" applyFont="1" applyFill="1" applyBorder="1"/>
    <xf numFmtId="2" fontId="12" fillId="6" borderId="4" xfId="0" applyNumberFormat="1" applyFont="1" applyFill="1" applyBorder="1"/>
    <xf numFmtId="2" fontId="12" fillId="6" borderId="1" xfId="0" applyNumberFormat="1" applyFont="1" applyFill="1" applyBorder="1"/>
    <xf numFmtId="0" fontId="0" fillId="0" borderId="9" xfId="0" applyBorder="1"/>
    <xf numFmtId="0" fontId="0" fillId="0" borderId="13" xfId="0" applyBorder="1"/>
    <xf numFmtId="0" fontId="12" fillId="6" borderId="2" xfId="0" applyFont="1" applyFill="1" applyBorder="1"/>
    <xf numFmtId="2" fontId="11" fillId="6" borderId="4" xfId="0" applyNumberFormat="1" applyFont="1" applyFill="1" applyBorder="1"/>
    <xf numFmtId="2" fontId="0" fillId="0" borderId="0" xfId="0" applyNumberFormat="1"/>
    <xf numFmtId="0" fontId="0" fillId="11" borderId="0" xfId="0" applyFill="1"/>
    <xf numFmtId="0" fontId="0" fillId="5" borderId="5" xfId="0" applyFill="1" applyBorder="1" applyAlignment="1">
      <alignment horizontal="center" wrapText="1"/>
    </xf>
    <xf numFmtId="0" fontId="7" fillId="18" borderId="5" xfId="0" applyFont="1" applyFill="1" applyBorder="1"/>
    <xf numFmtId="2" fontId="0" fillId="5" borderId="5" xfId="0" applyNumberFormat="1" applyFill="1" applyBorder="1"/>
    <xf numFmtId="0" fontId="0" fillId="7" borderId="5" xfId="0" applyFill="1" applyBorder="1" applyAlignment="1">
      <alignment horizontal="center" wrapText="1"/>
    </xf>
    <xf numFmtId="0" fontId="0" fillId="7" borderId="5" xfId="0" applyFill="1" applyBorder="1" applyAlignment="1">
      <alignment horizontal="center"/>
    </xf>
    <xf numFmtId="1" fontId="0" fillId="7" borderId="5" xfId="0" applyNumberFormat="1" applyFill="1" applyBorder="1"/>
    <xf numFmtId="164" fontId="0" fillId="7" borderId="5" xfId="0" applyNumberFormat="1" applyFill="1" applyBorder="1"/>
    <xf numFmtId="0" fontId="0" fillId="8" borderId="5" xfId="0" applyFill="1" applyBorder="1" applyAlignment="1">
      <alignment horizontal="center" wrapText="1"/>
    </xf>
    <xf numFmtId="2" fontId="12" fillId="11" borderId="5" xfId="0" applyNumberFormat="1" applyFont="1" applyFill="1" applyBorder="1"/>
    <xf numFmtId="0" fontId="11" fillId="11" borderId="5" xfId="0" applyFont="1" applyFill="1" applyBorder="1" applyAlignment="1">
      <alignment horizontal="center"/>
    </xf>
    <xf numFmtId="165" fontId="7" fillId="19" borderId="5" xfId="0" applyNumberFormat="1" applyFont="1" applyFill="1" applyBorder="1"/>
    <xf numFmtId="2" fontId="4" fillId="16" borderId="5" xfId="0" applyNumberFormat="1" applyFont="1" applyFill="1" applyBorder="1"/>
    <xf numFmtId="165" fontId="0" fillId="6" borderId="5" xfId="0" applyNumberFormat="1" applyFill="1" applyBorder="1"/>
    <xf numFmtId="165" fontId="0" fillId="6" borderId="5" xfId="0" applyNumberFormat="1" applyFill="1" applyBorder="1" applyAlignment="1">
      <alignment horizontal="right" wrapText="1"/>
    </xf>
    <xf numFmtId="2" fontId="12" fillId="6" borderId="9" xfId="0" applyNumberFormat="1" applyFont="1" applyFill="1" applyBorder="1"/>
    <xf numFmtId="2" fontId="12" fillId="6" borderId="13" xfId="0" applyNumberFormat="1" applyFont="1" applyFill="1" applyBorder="1"/>
    <xf numFmtId="0" fontId="12" fillId="6" borderId="13" xfId="0" applyFont="1" applyFill="1" applyBorder="1"/>
    <xf numFmtId="0" fontId="10" fillId="16" borderId="0" xfId="0" applyFont="1" applyFill="1"/>
    <xf numFmtId="2" fontId="12" fillId="6" borderId="5" xfId="0" applyNumberFormat="1" applyFont="1" applyFill="1" applyBorder="1"/>
    <xf numFmtId="0" fontId="11" fillId="6" borderId="0" xfId="0" applyFont="1" applyFill="1" applyAlignment="1">
      <alignment horizontal="center"/>
    </xf>
    <xf numFmtId="0" fontId="12" fillId="6" borderId="0" xfId="0" applyFont="1" applyFill="1"/>
    <xf numFmtId="0" fontId="0" fillId="21" borderId="5" xfId="0" applyFill="1" applyBorder="1" applyAlignment="1">
      <alignment horizontal="center" wrapText="1"/>
    </xf>
    <xf numFmtId="0" fontId="10" fillId="20" borderId="1" xfId="0" applyFont="1" applyFill="1" applyBorder="1"/>
    <xf numFmtId="165" fontId="10" fillId="20" borderId="5" xfId="0" applyNumberFormat="1" applyFont="1" applyFill="1" applyBorder="1"/>
    <xf numFmtId="2" fontId="12" fillId="20" borderId="5" xfId="0" applyNumberFormat="1" applyFont="1" applyFill="1" applyBorder="1"/>
    <xf numFmtId="0" fontId="12" fillId="20" borderId="5" xfId="0" applyFont="1" applyFill="1" applyBorder="1"/>
    <xf numFmtId="0" fontId="10" fillId="20" borderId="0" xfId="0" applyFont="1" applyFill="1"/>
    <xf numFmtId="0" fontId="0" fillId="22" borderId="5" xfId="0" applyFill="1" applyBorder="1" applyAlignment="1">
      <alignment horizontal="center" wrapText="1"/>
    </xf>
    <xf numFmtId="0" fontId="0" fillId="22" borderId="5" xfId="0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/>
    </xf>
    <xf numFmtId="164" fontId="0" fillId="22" borderId="5" xfId="0" applyNumberFormat="1" applyFill="1" applyBorder="1"/>
    <xf numFmtId="0" fontId="0" fillId="22" borderId="5" xfId="0" applyFill="1" applyBorder="1"/>
    <xf numFmtId="0" fontId="0" fillId="9" borderId="5" xfId="0" applyFill="1" applyBorder="1" applyAlignment="1">
      <alignment horizontal="center" wrapText="1"/>
    </xf>
    <xf numFmtId="0" fontId="10" fillId="24" borderId="0" xfId="0" applyFont="1" applyFill="1"/>
    <xf numFmtId="165" fontId="10" fillId="24" borderId="5" xfId="0" applyNumberFormat="1" applyFont="1" applyFill="1" applyBorder="1"/>
    <xf numFmtId="0" fontId="0" fillId="20" borderId="1" xfId="0" applyFill="1" applyBorder="1" applyAlignment="1">
      <alignment horizontal="center" vertical="center" textRotation="90"/>
    </xf>
    <xf numFmtId="17" fontId="10" fillId="20" borderId="40" xfId="0" applyNumberFormat="1" applyFont="1" applyFill="1" applyBorder="1" applyAlignment="1">
      <alignment horizontal="center" vertical="center"/>
    </xf>
    <xf numFmtId="17" fontId="10" fillId="20" borderId="41" xfId="0" applyNumberFormat="1" applyFont="1" applyFill="1" applyBorder="1" applyAlignment="1">
      <alignment horizontal="center" vertical="center"/>
    </xf>
    <xf numFmtId="2" fontId="12" fillId="24" borderId="4" xfId="0" applyNumberFormat="1" applyFont="1" applyFill="1" applyBorder="1"/>
    <xf numFmtId="0" fontId="0" fillId="24" borderId="0" xfId="0" applyFill="1"/>
    <xf numFmtId="2" fontId="12" fillId="16" borderId="5" xfId="0" applyNumberFormat="1" applyFont="1" applyFill="1" applyBorder="1"/>
    <xf numFmtId="0" fontId="12" fillId="16" borderId="5" xfId="0" applyFont="1" applyFill="1" applyBorder="1"/>
    <xf numFmtId="0" fontId="0" fillId="16" borderId="3" xfId="0" applyFill="1" applyBorder="1"/>
    <xf numFmtId="17" fontId="10" fillId="16" borderId="0" xfId="0" applyNumberFormat="1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" fontId="10" fillId="16" borderId="41" xfId="0" applyNumberFormat="1" applyFont="1" applyFill="1" applyBorder="1" applyAlignment="1">
      <alignment horizontal="center" vertical="center"/>
    </xf>
    <xf numFmtId="17" fontId="10" fillId="20" borderId="0" xfId="0" applyNumberFormat="1" applyFont="1" applyFill="1" applyAlignment="1">
      <alignment horizontal="center" vertical="center"/>
    </xf>
    <xf numFmtId="17" fontId="5" fillId="16" borderId="40" xfId="0" applyNumberFormat="1" applyFont="1" applyFill="1" applyBorder="1" applyAlignment="1">
      <alignment horizontal="center" vertical="center"/>
    </xf>
    <xf numFmtId="17" fontId="10" fillId="16" borderId="9" xfId="0" applyNumberFormat="1" applyFont="1" applyFill="1" applyBorder="1" applyAlignment="1">
      <alignment horizontal="center" vertical="center"/>
    </xf>
    <xf numFmtId="17" fontId="10" fillId="16" borderId="4" xfId="0" applyNumberFormat="1" applyFont="1" applyFill="1" applyBorder="1" applyAlignment="1">
      <alignment horizontal="center" vertical="center"/>
    </xf>
    <xf numFmtId="0" fontId="0" fillId="8" borderId="0" xfId="0" applyFill="1"/>
    <xf numFmtId="0" fontId="0" fillId="21" borderId="0" xfId="0" applyFill="1"/>
    <xf numFmtId="2" fontId="10" fillId="24" borderId="5" xfId="0" applyNumberFormat="1" applyFont="1" applyFill="1" applyBorder="1" applyAlignment="1">
      <alignment horizontal="right"/>
    </xf>
    <xf numFmtId="2" fontId="0" fillId="9" borderId="5" xfId="0" applyNumberFormat="1" applyFill="1" applyBorder="1"/>
    <xf numFmtId="165" fontId="0" fillId="21" borderId="5" xfId="0" applyNumberFormat="1" applyFill="1" applyBorder="1"/>
    <xf numFmtId="165" fontId="0" fillId="9" borderId="5" xfId="0" applyNumberFormat="1" applyFill="1" applyBorder="1"/>
    <xf numFmtId="165" fontId="7" fillId="23" borderId="5" xfId="0" applyNumberFormat="1" applyFont="1" applyFill="1" applyBorder="1"/>
    <xf numFmtId="165" fontId="0" fillId="22" borderId="5" xfId="0" applyNumberFormat="1" applyFill="1" applyBorder="1"/>
    <xf numFmtId="165" fontId="6" fillId="7" borderId="5" xfId="0" applyNumberFormat="1" applyFont="1" applyFill="1" applyBorder="1"/>
    <xf numFmtId="165" fontId="6" fillId="22" borderId="5" xfId="0" applyNumberFormat="1" applyFont="1" applyFill="1" applyBorder="1"/>
    <xf numFmtId="17" fontId="0" fillId="0" borderId="40" xfId="0" applyNumberFormat="1" applyBorder="1" applyAlignment="1">
      <alignment horizontal="center" vertical="center"/>
    </xf>
    <xf numFmtId="17" fontId="5" fillId="20" borderId="4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5" fillId="0" borderId="0" xfId="0" applyFont="1"/>
    <xf numFmtId="0" fontId="5" fillId="5" borderId="5" xfId="0" applyFont="1" applyFill="1" applyBorder="1"/>
    <xf numFmtId="0" fontId="3" fillId="10" borderId="8" xfId="0" applyFont="1" applyFill="1" applyBorder="1"/>
    <xf numFmtId="0" fontId="3" fillId="25" borderId="5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/>
    <xf numFmtId="0" fontId="3" fillId="7" borderId="5" xfId="0" applyFont="1" applyFill="1" applyBorder="1" applyAlignment="1">
      <alignment horizontal="center" vertical="center"/>
    </xf>
    <xf numFmtId="0" fontId="3" fillId="12" borderId="5" xfId="0" applyFont="1" applyFill="1" applyBorder="1"/>
    <xf numFmtId="0" fontId="3" fillId="17" borderId="5" xfId="0" applyFont="1" applyFill="1" applyBorder="1" applyAlignment="1">
      <alignment horizontal="center" vertical="center"/>
    </xf>
    <xf numFmtId="0" fontId="3" fillId="8" borderId="5" xfId="0" applyFont="1" applyFill="1" applyBorder="1"/>
    <xf numFmtId="0" fontId="3" fillId="8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20" borderId="5" xfId="0" applyFont="1" applyFill="1" applyBorder="1"/>
    <xf numFmtId="0" fontId="3" fillId="20" borderId="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/>
    <xf numFmtId="0" fontId="5" fillId="5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0" borderId="14" xfId="0" applyFont="1" applyFill="1" applyBorder="1" applyAlignment="1">
      <alignment horizontal="center" vertical="center"/>
    </xf>
    <xf numFmtId="1" fontId="0" fillId="6" borderId="5" xfId="0" applyNumberFormat="1" applyFill="1" applyBorder="1"/>
    <xf numFmtId="165" fontId="10" fillId="16" borderId="5" xfId="0" applyNumberFormat="1" applyFont="1" applyFill="1" applyBorder="1"/>
    <xf numFmtId="165" fontId="10" fillId="20" borderId="9" xfId="0" applyNumberFormat="1" applyFont="1" applyFill="1" applyBorder="1"/>
    <xf numFmtId="165" fontId="10" fillId="11" borderId="5" xfId="0" applyNumberFormat="1" applyFont="1" applyFill="1" applyBorder="1"/>
    <xf numFmtId="165" fontId="0" fillId="6" borderId="4" xfId="0" applyNumberFormat="1" applyFill="1" applyBorder="1"/>
    <xf numFmtId="0" fontId="11" fillId="16" borderId="5" xfId="0" applyFont="1" applyFill="1" applyBorder="1" applyAlignment="1">
      <alignment horizontal="center"/>
    </xf>
    <xf numFmtId="0" fontId="5" fillId="16" borderId="41" xfId="0" applyFont="1" applyFill="1" applyBorder="1" applyAlignment="1">
      <alignment horizontal="center" vertical="center"/>
    </xf>
    <xf numFmtId="17" fontId="5" fillId="20" borderId="41" xfId="0" applyNumberFormat="1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2" borderId="12" xfId="0" applyFill="1" applyBorder="1"/>
    <xf numFmtId="0" fontId="0" fillId="4" borderId="12" xfId="0" applyFill="1" applyBorder="1"/>
    <xf numFmtId="0" fontId="0" fillId="7" borderId="12" xfId="0" applyFill="1" applyBorder="1"/>
    <xf numFmtId="0" fontId="3" fillId="7" borderId="8" xfId="0" applyFont="1" applyFill="1" applyBorder="1"/>
    <xf numFmtId="165" fontId="1" fillId="7" borderId="5" xfId="0" applyNumberFormat="1" applyFont="1" applyFill="1" applyBorder="1"/>
    <xf numFmtId="165" fontId="1" fillId="22" borderId="5" xfId="0" applyNumberFormat="1" applyFont="1" applyFill="1" applyBorder="1"/>
    <xf numFmtId="165" fontId="0" fillId="6" borderId="9" xfId="0" applyNumberFormat="1" applyFill="1" applyBorder="1"/>
    <xf numFmtId="2" fontId="0" fillId="6" borderId="9" xfId="0" applyNumberFormat="1" applyFill="1" applyBorder="1"/>
    <xf numFmtId="0" fontId="15" fillId="0" borderId="6" xfId="0" applyFont="1" applyBorder="1" applyAlignment="1">
      <alignment wrapText="1"/>
    </xf>
    <xf numFmtId="0" fontId="15" fillId="0" borderId="7" xfId="0" applyFont="1" applyBorder="1"/>
    <xf numFmtId="165" fontId="10" fillId="0" borderId="7" xfId="0" applyNumberFormat="1" applyFont="1" applyBorder="1"/>
    <xf numFmtId="0" fontId="15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/>
    <xf numFmtId="1" fontId="15" fillId="0" borderId="17" xfId="0" applyNumberFormat="1" applyFont="1" applyBorder="1" applyAlignment="1">
      <alignment wrapText="1"/>
    </xf>
    <xf numFmtId="1" fontId="10" fillId="0" borderId="18" xfId="0" applyNumberFormat="1" applyFont="1" applyBorder="1"/>
    <xf numFmtId="0" fontId="15" fillId="0" borderId="18" xfId="0" applyFont="1" applyBorder="1"/>
    <xf numFmtId="165" fontId="15" fillId="0" borderId="18" xfId="0" applyNumberFormat="1" applyFont="1" applyBorder="1"/>
    <xf numFmtId="0" fontId="15" fillId="0" borderId="19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30" xfId="0" applyFont="1" applyBorder="1" applyAlignment="1">
      <alignment wrapText="1"/>
    </xf>
    <xf numFmtId="0" fontId="15" fillId="0" borderId="22" xfId="0" applyFont="1" applyBorder="1" applyAlignment="1">
      <alignment wrapText="1"/>
    </xf>
    <xf numFmtId="0" fontId="15" fillId="0" borderId="23" xfId="0" applyFont="1" applyBorder="1" applyAlignment="1">
      <alignment wrapText="1"/>
    </xf>
    <xf numFmtId="0" fontId="15" fillId="0" borderId="20" xfId="0" applyFont="1" applyBorder="1"/>
    <xf numFmtId="0" fontId="15" fillId="6" borderId="30" xfId="0" applyFont="1" applyFill="1" applyBorder="1" applyAlignment="1">
      <alignment wrapText="1"/>
    </xf>
    <xf numFmtId="1" fontId="15" fillId="6" borderId="22" xfId="0" applyNumberFormat="1" applyFont="1" applyFill="1" applyBorder="1" applyAlignment="1">
      <alignment wrapText="1"/>
    </xf>
    <xf numFmtId="0" fontId="15" fillId="6" borderId="22" xfId="0" applyFont="1" applyFill="1" applyBorder="1" applyAlignment="1">
      <alignment wrapText="1"/>
    </xf>
    <xf numFmtId="2" fontId="15" fillId="6" borderId="22" xfId="0" applyNumberFormat="1" applyFont="1" applyFill="1" applyBorder="1" applyAlignment="1">
      <alignment wrapText="1"/>
    </xf>
    <xf numFmtId="0" fontId="15" fillId="6" borderId="22" xfId="0" applyFont="1" applyFill="1" applyBorder="1" applyAlignment="1">
      <alignment horizontal="right" wrapText="1"/>
    </xf>
    <xf numFmtId="0" fontId="15" fillId="6" borderId="22" xfId="0" applyFont="1" applyFill="1" applyBorder="1" applyAlignment="1">
      <alignment horizontal="center" wrapText="1"/>
    </xf>
    <xf numFmtId="2" fontId="15" fillId="12" borderId="6" xfId="0" applyNumberFormat="1" applyFont="1" applyFill="1" applyBorder="1" applyAlignment="1">
      <alignment horizontal="center" wrapText="1"/>
    </xf>
    <xf numFmtId="2" fontId="15" fillId="12" borderId="5" xfId="0" applyNumberFormat="1" applyFont="1" applyFill="1" applyBorder="1" applyAlignment="1">
      <alignment horizontal="center" wrapText="1"/>
    </xf>
    <xf numFmtId="0" fontId="15" fillId="0" borderId="35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5" fillId="0" borderId="3" xfId="0" applyFont="1" applyBorder="1" applyAlignment="1">
      <alignment horizontal="right" wrapText="1"/>
    </xf>
    <xf numFmtId="0" fontId="15" fillId="6" borderId="3" xfId="0" applyFont="1" applyFill="1" applyBorder="1" applyAlignment="1">
      <alignment wrapText="1"/>
    </xf>
    <xf numFmtId="0" fontId="15" fillId="6" borderId="36" xfId="0" applyFont="1" applyFill="1" applyBorder="1" applyAlignment="1">
      <alignment wrapText="1"/>
    </xf>
    <xf numFmtId="0" fontId="15" fillId="0" borderId="24" xfId="0" applyFont="1" applyBorder="1" applyAlignment="1">
      <alignment wrapText="1"/>
    </xf>
    <xf numFmtId="0" fontId="15" fillId="0" borderId="7" xfId="0" applyFont="1" applyBorder="1" applyAlignment="1">
      <alignment wrapText="1"/>
    </xf>
    <xf numFmtId="2" fontId="15" fillId="0" borderId="7" xfId="0" applyNumberFormat="1" applyFont="1" applyBorder="1" applyAlignment="1">
      <alignment wrapText="1"/>
    </xf>
    <xf numFmtId="0" fontId="15" fillId="0" borderId="7" xfId="0" applyFont="1" applyBorder="1" applyAlignment="1">
      <alignment horizontal="center" wrapText="1"/>
    </xf>
    <xf numFmtId="0" fontId="15" fillId="0" borderId="29" xfId="0" applyFont="1" applyBorder="1"/>
    <xf numFmtId="0" fontId="15" fillId="0" borderId="25" xfId="0" applyFont="1" applyBorder="1" applyAlignment="1">
      <alignment wrapText="1"/>
    </xf>
    <xf numFmtId="0" fontId="15" fillId="0" borderId="29" xfId="0" applyFont="1" applyBorder="1" applyAlignment="1">
      <alignment wrapText="1"/>
    </xf>
    <xf numFmtId="165" fontId="15" fillId="0" borderId="7" xfId="0" applyNumberFormat="1" applyFont="1" applyBorder="1" applyAlignment="1">
      <alignment horizontal="center" wrapText="1"/>
    </xf>
    <xf numFmtId="165" fontId="15" fillId="8" borderId="5" xfId="0" applyNumberFormat="1" applyFont="1" applyFill="1" applyBorder="1" applyAlignment="1">
      <alignment horizontal="center" wrapText="1"/>
    </xf>
    <xf numFmtId="0" fontId="17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3" xfId="0" applyFont="1" applyBorder="1"/>
    <xf numFmtId="0" fontId="15" fillId="6" borderId="0" xfId="0" applyFont="1" applyFill="1"/>
    <xf numFmtId="0" fontId="19" fillId="0" borderId="18" xfId="0" applyFont="1" applyBorder="1"/>
    <xf numFmtId="0" fontId="19" fillId="0" borderId="24" xfId="0" applyFont="1" applyBorder="1" applyAlignment="1">
      <alignment wrapText="1"/>
    </xf>
    <xf numFmtId="0" fontId="15" fillId="0" borderId="26" xfId="0" applyFont="1" applyBorder="1" applyAlignment="1">
      <alignment wrapText="1"/>
    </xf>
    <xf numFmtId="0" fontId="15" fillId="0" borderId="27" xfId="0" applyFont="1" applyBorder="1" applyAlignment="1">
      <alignment wrapText="1"/>
    </xf>
    <xf numFmtId="0" fontId="15" fillId="0" borderId="28" xfId="0" applyFont="1" applyBorder="1" applyAlignment="1">
      <alignment wrapText="1"/>
    </xf>
    <xf numFmtId="0" fontId="15" fillId="0" borderId="21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5" fillId="9" borderId="10" xfId="0" applyFont="1" applyFill="1" applyBorder="1" applyAlignment="1">
      <alignment wrapText="1"/>
    </xf>
    <xf numFmtId="0" fontId="15" fillId="0" borderId="10" xfId="0" applyFont="1" applyBorder="1"/>
    <xf numFmtId="0" fontId="15" fillId="0" borderId="33" xfId="0" applyFont="1" applyBorder="1"/>
    <xf numFmtId="0" fontId="20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5" fillId="25" borderId="5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15" fillId="17" borderId="5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20" borderId="5" xfId="0" applyFont="1" applyFill="1" applyBorder="1" applyAlignment="1">
      <alignment horizontal="center" vertical="center"/>
    </xf>
    <xf numFmtId="165" fontId="15" fillId="0" borderId="0" xfId="0" applyNumberFormat="1" applyFont="1"/>
    <xf numFmtId="2" fontId="22" fillId="0" borderId="0" xfId="0" applyNumberFormat="1" applyFont="1"/>
    <xf numFmtId="2" fontId="3" fillId="16" borderId="0" xfId="0" applyNumberFormat="1" applyFont="1" applyFill="1"/>
    <xf numFmtId="0" fontId="24" fillId="6" borderId="0" xfId="0" applyFont="1" applyFill="1"/>
    <xf numFmtId="0" fontId="15" fillId="27" borderId="5" xfId="0" applyFont="1" applyFill="1" applyBorder="1" applyAlignment="1">
      <alignment horizontal="center" vertical="center"/>
    </xf>
    <xf numFmtId="0" fontId="27" fillId="0" borderId="0" xfId="0" applyFont="1" applyAlignment="1">
      <alignment horizontal="center" wrapText="1"/>
    </xf>
    <xf numFmtId="0" fontId="15" fillId="28" borderId="5" xfId="0" applyFont="1" applyFill="1" applyBorder="1" applyAlignment="1">
      <alignment horizontal="center" vertical="center"/>
    </xf>
    <xf numFmtId="0" fontId="29" fillId="0" borderId="0" xfId="0" applyFont="1"/>
    <xf numFmtId="0" fontId="20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5" borderId="5" xfId="0" applyFont="1" applyFill="1" applyBorder="1" applyAlignment="1">
      <alignment vertical="center"/>
    </xf>
    <xf numFmtId="165" fontId="15" fillId="5" borderId="5" xfId="0" applyNumberFormat="1" applyFont="1" applyFill="1" applyBorder="1" applyAlignment="1">
      <alignment vertical="center"/>
    </xf>
    <xf numFmtId="0" fontId="15" fillId="26" borderId="5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vertical="center"/>
    </xf>
    <xf numFmtId="165" fontId="15" fillId="10" borderId="5" xfId="0" applyNumberFormat="1" applyFont="1" applyFill="1" applyBorder="1" applyAlignment="1">
      <alignment vertical="center"/>
    </xf>
    <xf numFmtId="0" fontId="21" fillId="28" borderId="5" xfId="0" applyFont="1" applyFill="1" applyBorder="1" applyAlignment="1">
      <alignment vertical="center" wrapText="1"/>
    </xf>
    <xf numFmtId="165" fontId="21" fillId="28" borderId="5" xfId="0" applyNumberFormat="1" applyFont="1" applyFill="1" applyBorder="1" applyAlignment="1">
      <alignment vertical="center"/>
    </xf>
    <xf numFmtId="0" fontId="15" fillId="7" borderId="5" xfId="0" applyFont="1" applyFill="1" applyBorder="1" applyAlignment="1">
      <alignment vertical="center"/>
    </xf>
    <xf numFmtId="165" fontId="15" fillId="7" borderId="5" xfId="0" applyNumberFormat="1" applyFont="1" applyFill="1" applyBorder="1" applyAlignment="1">
      <alignment vertical="center"/>
    </xf>
    <xf numFmtId="0" fontId="21" fillId="27" borderId="5" xfId="0" applyFont="1" applyFill="1" applyBorder="1" applyAlignment="1">
      <alignment vertical="center" wrapText="1"/>
    </xf>
    <xf numFmtId="165" fontId="21" fillId="27" borderId="5" xfId="0" applyNumberFormat="1" applyFont="1" applyFill="1" applyBorder="1" applyAlignment="1">
      <alignment vertical="center"/>
    </xf>
    <xf numFmtId="0" fontId="15" fillId="12" borderId="5" xfId="0" applyFont="1" applyFill="1" applyBorder="1" applyAlignment="1">
      <alignment vertical="center"/>
    </xf>
    <xf numFmtId="165" fontId="15" fillId="12" borderId="5" xfId="0" applyNumberFormat="1" applyFont="1" applyFill="1" applyBorder="1" applyAlignment="1">
      <alignment vertical="center"/>
    </xf>
    <xf numFmtId="165" fontId="15" fillId="17" borderId="5" xfId="0" applyNumberFormat="1" applyFont="1" applyFill="1" applyBorder="1" applyAlignment="1">
      <alignment vertical="center"/>
    </xf>
    <xf numFmtId="0" fontId="15" fillId="8" borderId="5" xfId="0" applyFont="1" applyFill="1" applyBorder="1" applyAlignment="1">
      <alignment vertical="center"/>
    </xf>
    <xf numFmtId="165" fontId="15" fillId="8" borderId="5" xfId="0" applyNumberFormat="1" applyFont="1" applyFill="1" applyBorder="1" applyAlignment="1">
      <alignment vertical="center"/>
    </xf>
    <xf numFmtId="0" fontId="15" fillId="20" borderId="5" xfId="0" applyFont="1" applyFill="1" applyBorder="1" applyAlignment="1">
      <alignment vertical="center" wrapText="1"/>
    </xf>
    <xf numFmtId="165" fontId="15" fillId="20" borderId="5" xfId="0" applyNumberFormat="1" applyFont="1" applyFill="1" applyBorder="1" applyAlignment="1">
      <alignment vertical="center"/>
    </xf>
    <xf numFmtId="0" fontId="30" fillId="0" borderId="5" xfId="0" applyFont="1" applyBorder="1" applyAlignment="1">
      <alignment horizontal="center" vertical="center"/>
    </xf>
    <xf numFmtId="165" fontId="15" fillId="6" borderId="0" xfId="0" applyNumberFormat="1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7" fontId="15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2" fontId="15" fillId="0" borderId="0" xfId="0" applyNumberFormat="1" applyFont="1"/>
    <xf numFmtId="0" fontId="15" fillId="4" borderId="0" xfId="0" applyFont="1" applyFill="1" applyAlignment="1">
      <alignment horizontal="center" vertical="center" wrapText="1"/>
    </xf>
    <xf numFmtId="165" fontId="15" fillId="13" borderId="0" xfId="0" applyNumberFormat="1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3" borderId="47" xfId="0" applyFont="1" applyFill="1" applyBorder="1" applyAlignment="1">
      <alignment horizontal="center" vertical="center" wrapText="1"/>
    </xf>
    <xf numFmtId="165" fontId="15" fillId="13" borderId="47" xfId="0" applyNumberFormat="1" applyFont="1" applyFill="1" applyBorder="1" applyAlignment="1">
      <alignment horizontal="center" vertical="center" wrapText="1"/>
    </xf>
    <xf numFmtId="165" fontId="15" fillId="6" borderId="43" xfId="0" applyNumberFormat="1" applyFont="1" applyFill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6" borderId="43" xfId="0" applyFont="1" applyFill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15" fillId="0" borderId="38" xfId="0" applyFont="1" applyBorder="1"/>
    <xf numFmtId="165" fontId="15" fillId="6" borderId="57" xfId="0" applyNumberFormat="1" applyFont="1" applyFill="1" applyBorder="1" applyAlignment="1">
      <alignment horizontal="center" vertical="center" wrapText="1"/>
    </xf>
    <xf numFmtId="165" fontId="15" fillId="6" borderId="58" xfId="0" applyNumberFormat="1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165" fontId="21" fillId="28" borderId="5" xfId="0" applyNumberFormat="1" applyFont="1" applyFill="1" applyBorder="1" applyAlignment="1">
      <alignment horizontal="center" vertical="center"/>
    </xf>
    <xf numFmtId="165" fontId="15" fillId="7" borderId="5" xfId="0" applyNumberFormat="1" applyFont="1" applyFill="1" applyBorder="1" applyAlignment="1">
      <alignment horizontal="center" vertical="center"/>
    </xf>
    <xf numFmtId="165" fontId="21" fillId="27" borderId="5" xfId="0" applyNumberFormat="1" applyFont="1" applyFill="1" applyBorder="1" applyAlignment="1">
      <alignment horizontal="center" vertical="center"/>
    </xf>
    <xf numFmtId="165" fontId="15" fillId="8" borderId="5" xfId="0" applyNumberFormat="1" applyFont="1" applyFill="1" applyBorder="1" applyAlignment="1">
      <alignment horizontal="center" vertical="center"/>
    </xf>
    <xf numFmtId="165" fontId="15" fillId="20" borderId="5" xfId="0" applyNumberFormat="1" applyFont="1" applyFill="1" applyBorder="1" applyAlignment="1">
      <alignment horizontal="center" vertical="center"/>
    </xf>
    <xf numFmtId="2" fontId="21" fillId="4" borderId="57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2" fontId="33" fillId="12" borderId="63" xfId="0" applyNumberFormat="1" applyFont="1" applyFill="1" applyBorder="1" applyAlignment="1">
      <alignment horizontal="center" vertical="center" wrapText="1"/>
    </xf>
    <xf numFmtId="2" fontId="33" fillId="12" borderId="4" xfId="0" applyNumberFormat="1" applyFont="1" applyFill="1" applyBorder="1" applyAlignment="1">
      <alignment horizontal="center" vertical="center" wrapText="1"/>
    </xf>
    <xf numFmtId="2" fontId="33" fillId="12" borderId="66" xfId="0" applyNumberFormat="1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/>
    </xf>
    <xf numFmtId="0" fontId="15" fillId="29" borderId="5" xfId="0" applyFont="1" applyFill="1" applyBorder="1" applyAlignment="1">
      <alignment horizontal="center" vertical="center"/>
    </xf>
    <xf numFmtId="0" fontId="15" fillId="16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center" wrapText="1"/>
    </xf>
    <xf numFmtId="0" fontId="28" fillId="5" borderId="38" xfId="0" applyFont="1" applyFill="1" applyBorder="1" applyAlignment="1">
      <alignment horizontal="center" vertical="center" wrapText="1"/>
    </xf>
    <xf numFmtId="0" fontId="28" fillId="12" borderId="78" xfId="0" applyFont="1" applyFill="1" applyBorder="1" applyAlignment="1">
      <alignment horizontal="center" vertical="center" wrapText="1"/>
    </xf>
    <xf numFmtId="0" fontId="28" fillId="12" borderId="79" xfId="0" applyFont="1" applyFill="1" applyBorder="1" applyAlignment="1">
      <alignment horizontal="center" vertical="center" wrapText="1"/>
    </xf>
    <xf numFmtId="0" fontId="28" fillId="12" borderId="80" xfId="0" applyFont="1" applyFill="1" applyBorder="1" applyAlignment="1">
      <alignment horizontal="center" vertical="center" wrapText="1"/>
    </xf>
    <xf numFmtId="0" fontId="28" fillId="7" borderId="63" xfId="0" applyFont="1" applyFill="1" applyBorder="1" applyAlignment="1">
      <alignment horizontal="center" vertical="center" wrapText="1"/>
    </xf>
    <xf numFmtId="0" fontId="28" fillId="7" borderId="4" xfId="0" applyFont="1" applyFill="1" applyBorder="1" applyAlignment="1">
      <alignment horizontal="center" vertical="center" wrapText="1"/>
    </xf>
    <xf numFmtId="0" fontId="28" fillId="7" borderId="41" xfId="0" applyFont="1" applyFill="1" applyBorder="1" applyAlignment="1">
      <alignment horizontal="center" vertical="center" wrapText="1"/>
    </xf>
    <xf numFmtId="0" fontId="28" fillId="10" borderId="78" xfId="0" applyFont="1" applyFill="1" applyBorder="1" applyAlignment="1">
      <alignment horizontal="center" vertical="center" wrapText="1"/>
    </xf>
    <xf numFmtId="0" fontId="28" fillId="10" borderId="79" xfId="0" applyFont="1" applyFill="1" applyBorder="1" applyAlignment="1">
      <alignment horizontal="center" vertical="center" wrapText="1"/>
    </xf>
    <xf numFmtId="0" fontId="28" fillId="10" borderId="80" xfId="0" applyFont="1" applyFill="1" applyBorder="1" applyAlignment="1">
      <alignment horizontal="center" vertical="center" wrapText="1"/>
    </xf>
    <xf numFmtId="0" fontId="30" fillId="2" borderId="38" xfId="0" applyFont="1" applyFill="1" applyBorder="1" applyAlignment="1">
      <alignment horizontal="center" vertical="center" wrapText="1"/>
    </xf>
    <xf numFmtId="0" fontId="30" fillId="2" borderId="64" xfId="0" applyFont="1" applyFill="1" applyBorder="1" applyAlignment="1">
      <alignment horizontal="center" vertical="center" wrapText="1"/>
    </xf>
    <xf numFmtId="2" fontId="15" fillId="0" borderId="0" xfId="0" applyNumberFormat="1" applyFont="1" applyAlignment="1">
      <alignment vertical="center"/>
    </xf>
    <xf numFmtId="4" fontId="15" fillId="0" borderId="0" xfId="1" applyNumberFormat="1" applyFont="1" applyAlignment="1">
      <alignment vertical="center"/>
    </xf>
    <xf numFmtId="165" fontId="15" fillId="29" borderId="5" xfId="0" applyNumberFormat="1" applyFont="1" applyFill="1" applyBorder="1" applyAlignment="1">
      <alignment horizontal="center" vertical="center"/>
    </xf>
    <xf numFmtId="165" fontId="15" fillId="16" borderId="5" xfId="0" applyNumberFormat="1" applyFont="1" applyFill="1" applyBorder="1" applyAlignment="1">
      <alignment horizontal="center" vertical="center"/>
    </xf>
    <xf numFmtId="165" fontId="15" fillId="4" borderId="5" xfId="0" applyNumberFormat="1" applyFont="1" applyFill="1" applyBorder="1" applyAlignment="1">
      <alignment horizontal="center" vertical="center"/>
    </xf>
    <xf numFmtId="2" fontId="37" fillId="7" borderId="40" xfId="0" applyNumberFormat="1" applyFont="1" applyFill="1" applyBorder="1" applyAlignment="1">
      <alignment horizontal="center" vertical="center" wrapText="1"/>
    </xf>
    <xf numFmtId="2" fontId="37" fillId="7" borderId="1" xfId="0" applyNumberFormat="1" applyFont="1" applyFill="1" applyBorder="1" applyAlignment="1">
      <alignment horizontal="center" vertical="center" wrapText="1"/>
    </xf>
    <xf numFmtId="2" fontId="37" fillId="7" borderId="14" xfId="0" applyNumberFormat="1" applyFont="1" applyFill="1" applyBorder="1" applyAlignment="1">
      <alignment horizontal="center" vertical="center" wrapText="1"/>
    </xf>
    <xf numFmtId="0" fontId="0" fillId="20" borderId="1" xfId="0" applyFill="1" applyBorder="1" applyAlignment="1">
      <alignment vertical="center" textRotation="90"/>
    </xf>
    <xf numFmtId="0" fontId="0" fillId="16" borderId="13" xfId="0" applyFill="1" applyBorder="1" applyAlignment="1">
      <alignment horizontal="center" vertical="center" textRotation="90"/>
    </xf>
    <xf numFmtId="0" fontId="0" fillId="16" borderId="1" xfId="0" applyFill="1" applyBorder="1" applyAlignment="1">
      <alignment horizontal="center" vertical="center" textRotation="90"/>
    </xf>
    <xf numFmtId="0" fontId="0" fillId="16" borderId="14" xfId="0" applyFill="1" applyBorder="1" applyAlignment="1">
      <alignment horizontal="center" vertical="center" textRotation="90"/>
    </xf>
    <xf numFmtId="0" fontId="10" fillId="16" borderId="11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6" borderId="41" xfId="0" applyFont="1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/>
    </xf>
    <xf numFmtId="0" fontId="10" fillId="16" borderId="14" xfId="0" applyFont="1" applyFill="1" applyBorder="1" applyAlignment="1">
      <alignment horizontal="center" vertical="center"/>
    </xf>
    <xf numFmtId="0" fontId="25" fillId="16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8" xfId="0" applyFont="1" applyFill="1" applyBorder="1" applyAlignment="1">
      <alignment horizontal="center"/>
    </xf>
    <xf numFmtId="0" fontId="25" fillId="24" borderId="6" xfId="0" applyFont="1" applyFill="1" applyBorder="1" applyAlignment="1">
      <alignment horizontal="center"/>
    </xf>
    <xf numFmtId="0" fontId="10" fillId="24" borderId="7" xfId="0" applyFont="1" applyFill="1" applyBorder="1" applyAlignment="1">
      <alignment horizontal="center"/>
    </xf>
    <xf numFmtId="0" fontId="10" fillId="24" borderId="8" xfId="0" applyFont="1" applyFill="1" applyBorder="1" applyAlignment="1">
      <alignment horizontal="center"/>
    </xf>
    <xf numFmtId="0" fontId="10" fillId="20" borderId="11" xfId="0" applyFont="1" applyFill="1" applyBorder="1" applyAlignment="1">
      <alignment horizontal="center" vertical="center"/>
    </xf>
    <xf numFmtId="0" fontId="10" fillId="20" borderId="12" xfId="0" applyFont="1" applyFill="1" applyBorder="1" applyAlignment="1">
      <alignment horizontal="center" vertical="center"/>
    </xf>
    <xf numFmtId="0" fontId="10" fillId="20" borderId="13" xfId="0" applyFont="1" applyFill="1" applyBorder="1" applyAlignment="1">
      <alignment horizontal="center" vertical="center"/>
    </xf>
    <xf numFmtId="0" fontId="10" fillId="20" borderId="41" xfId="0" applyFont="1" applyFill="1" applyBorder="1" applyAlignment="1">
      <alignment horizontal="center" vertical="center"/>
    </xf>
    <xf numFmtId="0" fontId="10" fillId="20" borderId="3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center" vertical="center"/>
    </xf>
    <xf numFmtId="0" fontId="25" fillId="20" borderId="6" xfId="0" applyFont="1" applyFill="1" applyBorder="1" applyAlignment="1">
      <alignment horizontal="center"/>
    </xf>
    <xf numFmtId="0" fontId="10" fillId="20" borderId="7" xfId="0" applyFont="1" applyFill="1" applyBorder="1" applyAlignment="1">
      <alignment horizontal="center"/>
    </xf>
    <xf numFmtId="0" fontId="10" fillId="20" borderId="8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0" borderId="13" xfId="0" applyFill="1" applyBorder="1" applyAlignment="1">
      <alignment horizontal="center" vertical="center" textRotation="90"/>
    </xf>
    <xf numFmtId="0" fontId="0" fillId="20" borderId="1" xfId="0" applyFill="1" applyBorder="1" applyAlignment="1">
      <alignment horizontal="center" vertical="center" textRotation="90"/>
    </xf>
    <xf numFmtId="0" fontId="0" fillId="20" borderId="14" xfId="0" applyFill="1" applyBorder="1" applyAlignment="1">
      <alignment horizontal="center" vertical="center" textRotation="90"/>
    </xf>
    <xf numFmtId="2" fontId="31" fillId="10" borderId="53" xfId="0" applyNumberFormat="1" applyFont="1" applyFill="1" applyBorder="1" applyAlignment="1">
      <alignment horizontal="center" vertical="center" wrapText="1"/>
    </xf>
    <xf numFmtId="2" fontId="31" fillId="10" borderId="12" xfId="0" applyNumberFormat="1" applyFont="1" applyFill="1" applyBorder="1" applyAlignment="1">
      <alignment horizontal="center" vertical="center" wrapText="1"/>
    </xf>
    <xf numFmtId="2" fontId="31" fillId="10" borderId="37" xfId="0" applyNumberFormat="1" applyFont="1" applyFill="1" applyBorder="1" applyAlignment="1">
      <alignment horizontal="center" vertical="center" wrapText="1"/>
    </xf>
    <xf numFmtId="2" fontId="31" fillId="10" borderId="55" xfId="0" applyNumberFormat="1" applyFont="1" applyFill="1" applyBorder="1" applyAlignment="1">
      <alignment horizontal="center" vertical="center" wrapText="1"/>
    </xf>
    <xf numFmtId="2" fontId="31" fillId="10" borderId="56" xfId="0" applyNumberFormat="1" applyFont="1" applyFill="1" applyBorder="1" applyAlignment="1">
      <alignment horizontal="center" vertical="center" wrapText="1"/>
    </xf>
    <xf numFmtId="2" fontId="31" fillId="10" borderId="44" xfId="0" applyNumberFormat="1" applyFont="1" applyFill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6" fillId="11" borderId="69" xfId="0" applyFont="1" applyFill="1" applyBorder="1" applyAlignment="1">
      <alignment horizontal="center" vertical="center" wrapText="1"/>
    </xf>
    <xf numFmtId="0" fontId="36" fillId="11" borderId="70" xfId="0" applyFont="1" applyFill="1" applyBorder="1" applyAlignment="1">
      <alignment horizontal="center" vertical="center" wrapText="1"/>
    </xf>
    <xf numFmtId="0" fontId="36" fillId="11" borderId="71" xfId="0" applyFont="1" applyFill="1" applyBorder="1" applyAlignment="1">
      <alignment horizontal="center" vertical="center" wrapText="1"/>
    </xf>
    <xf numFmtId="17" fontId="34" fillId="15" borderId="15" xfId="0" applyNumberFormat="1" applyFont="1" applyFill="1" applyBorder="1" applyAlignment="1">
      <alignment horizontal="center" vertical="center"/>
    </xf>
    <xf numFmtId="17" fontId="34" fillId="15" borderId="16" xfId="0" applyNumberFormat="1" applyFont="1" applyFill="1" applyBorder="1" applyAlignment="1">
      <alignment horizontal="center" vertical="center"/>
    </xf>
    <xf numFmtId="17" fontId="34" fillId="15" borderId="42" xfId="0" applyNumberFormat="1" applyFont="1" applyFill="1" applyBorder="1" applyAlignment="1">
      <alignment horizontal="center" vertical="center"/>
    </xf>
    <xf numFmtId="17" fontId="34" fillId="15" borderId="39" xfId="0" applyNumberFormat="1" applyFont="1" applyFill="1" applyBorder="1" applyAlignment="1">
      <alignment horizontal="center" vertical="center"/>
    </xf>
    <xf numFmtId="0" fontId="36" fillId="11" borderId="45" xfId="0" applyFont="1" applyFill="1" applyBorder="1" applyAlignment="1">
      <alignment horizontal="center" vertical="center" wrapText="1"/>
    </xf>
    <xf numFmtId="0" fontId="36" fillId="11" borderId="72" xfId="0" applyFont="1" applyFill="1" applyBorder="1" applyAlignment="1">
      <alignment horizontal="center" vertical="center" wrapText="1"/>
    </xf>
    <xf numFmtId="0" fontId="36" fillId="5" borderId="57" xfId="0" applyFont="1" applyFill="1" applyBorder="1" applyAlignment="1">
      <alignment horizontal="center" vertical="center" wrapText="1"/>
    </xf>
    <xf numFmtId="0" fontId="36" fillId="5" borderId="58" xfId="0" applyFont="1" applyFill="1" applyBorder="1" applyAlignment="1">
      <alignment horizontal="center" vertical="center" wrapText="1"/>
    </xf>
    <xf numFmtId="0" fontId="36" fillId="5" borderId="81" xfId="0" applyFont="1" applyFill="1" applyBorder="1" applyAlignment="1">
      <alignment horizontal="center" vertical="center" wrapText="1"/>
    </xf>
    <xf numFmtId="0" fontId="36" fillId="11" borderId="0" xfId="0" applyFont="1" applyFill="1" applyAlignment="1">
      <alignment horizontal="center" vertical="center" wrapText="1"/>
    </xf>
    <xf numFmtId="0" fontId="36" fillId="5" borderId="82" xfId="0" applyFont="1" applyFill="1" applyBorder="1" applyAlignment="1">
      <alignment horizontal="center" vertical="center" wrapText="1"/>
    </xf>
    <xf numFmtId="0" fontId="36" fillId="5" borderId="83" xfId="0" applyFont="1" applyFill="1" applyBorder="1" applyAlignment="1">
      <alignment horizontal="center" vertical="center" wrapText="1"/>
    </xf>
    <xf numFmtId="0" fontId="36" fillId="5" borderId="84" xfId="0" applyFont="1" applyFill="1" applyBorder="1" applyAlignment="1">
      <alignment horizontal="center" vertical="center" wrapText="1"/>
    </xf>
    <xf numFmtId="0" fontId="36" fillId="11" borderId="73" xfId="0" applyFont="1" applyFill="1" applyBorder="1" applyAlignment="1">
      <alignment horizontal="center" vertical="center" wrapText="1"/>
    </xf>
    <xf numFmtId="2" fontId="31" fillId="10" borderId="65" xfId="0" applyNumberFormat="1" applyFont="1" applyFill="1" applyBorder="1" applyAlignment="1">
      <alignment horizontal="center" vertical="center" wrapText="1"/>
    </xf>
    <xf numFmtId="2" fontId="31" fillId="10" borderId="66" xfId="0" applyNumberFormat="1" applyFont="1" applyFill="1" applyBorder="1" applyAlignment="1">
      <alignment horizontal="center" vertical="center" wrapText="1"/>
    </xf>
    <xf numFmtId="2" fontId="31" fillId="10" borderId="61" xfId="0" applyNumberFormat="1" applyFont="1" applyFill="1" applyBorder="1" applyAlignment="1">
      <alignment horizontal="center" vertical="center" wrapText="1"/>
    </xf>
    <xf numFmtId="2" fontId="31" fillId="10" borderId="63" xfId="0" applyNumberFormat="1" applyFont="1" applyFill="1" applyBorder="1" applyAlignment="1">
      <alignment horizontal="center" vertical="center" wrapText="1"/>
    </xf>
    <xf numFmtId="0" fontId="36" fillId="11" borderId="57" xfId="0" applyFont="1" applyFill="1" applyBorder="1" applyAlignment="1">
      <alignment horizontal="center" vertical="center" wrapText="1"/>
    </xf>
    <xf numFmtId="0" fontId="36" fillId="11" borderId="58" xfId="0" applyFont="1" applyFill="1" applyBorder="1" applyAlignment="1">
      <alignment horizontal="center" vertical="center" wrapText="1"/>
    </xf>
    <xf numFmtId="0" fontId="36" fillId="11" borderId="81" xfId="0" applyFont="1" applyFill="1" applyBorder="1" applyAlignment="1">
      <alignment horizontal="center" vertical="center" wrapText="1"/>
    </xf>
    <xf numFmtId="2" fontId="31" fillId="10" borderId="9" xfId="0" applyNumberFormat="1" applyFont="1" applyFill="1" applyBorder="1" applyAlignment="1">
      <alignment horizontal="center" vertical="center" wrapText="1"/>
    </xf>
    <xf numFmtId="2" fontId="31" fillId="10" borderId="4" xfId="0" applyNumberFormat="1" applyFont="1" applyFill="1" applyBorder="1" applyAlignment="1">
      <alignment horizontal="center" vertical="center" wrapText="1"/>
    </xf>
    <xf numFmtId="165" fontId="15" fillId="12" borderId="5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165" fontId="15" fillId="10" borderId="5" xfId="0" applyNumberFormat="1" applyFont="1" applyFill="1" applyBorder="1" applyAlignment="1">
      <alignment horizontal="center" vertical="center"/>
    </xf>
    <xf numFmtId="165" fontId="15" fillId="7" borderId="5" xfId="0" applyNumberFormat="1" applyFont="1" applyFill="1" applyBorder="1" applyAlignment="1">
      <alignment horizontal="center" vertical="center"/>
    </xf>
    <xf numFmtId="2" fontId="31" fillId="20" borderId="54" xfId="0" applyNumberFormat="1" applyFont="1" applyFill="1" applyBorder="1" applyAlignment="1">
      <alignment horizontal="center" vertical="center" wrapText="1"/>
    </xf>
    <xf numFmtId="2" fontId="31" fillId="20" borderId="0" xfId="0" applyNumberFormat="1" applyFont="1" applyFill="1" applyAlignment="1">
      <alignment horizontal="center" vertical="center" wrapText="1"/>
    </xf>
    <xf numFmtId="2" fontId="31" fillId="20" borderId="55" xfId="0" applyNumberFormat="1" applyFont="1" applyFill="1" applyBorder="1" applyAlignment="1">
      <alignment horizontal="center" vertical="center" wrapText="1"/>
    </xf>
    <xf numFmtId="2" fontId="31" fillId="20" borderId="56" xfId="0" applyNumberFormat="1" applyFont="1" applyFill="1" applyBorder="1" applyAlignment="1">
      <alignment horizontal="center" vertical="center" wrapText="1"/>
    </xf>
    <xf numFmtId="2" fontId="31" fillId="8" borderId="77" xfId="0" applyNumberFormat="1" applyFont="1" applyFill="1" applyBorder="1" applyAlignment="1">
      <alignment horizontal="center" vertical="center" wrapText="1"/>
    </xf>
    <xf numFmtId="2" fontId="31" fillId="8" borderId="64" xfId="0" applyNumberFormat="1" applyFont="1" applyFill="1" applyBorder="1" applyAlignment="1">
      <alignment horizontal="center" vertical="center" wrapText="1"/>
    </xf>
    <xf numFmtId="2" fontId="31" fillId="8" borderId="74" xfId="0" applyNumberFormat="1" applyFont="1" applyFill="1" applyBorder="1" applyAlignment="1">
      <alignment horizontal="center" vertical="center" wrapText="1"/>
    </xf>
    <xf numFmtId="2" fontId="31" fillId="7" borderId="61" xfId="0" applyNumberFormat="1" applyFont="1" applyFill="1" applyBorder="1" applyAlignment="1">
      <alignment horizontal="center" vertical="center" wrapText="1"/>
    </xf>
    <xf numFmtId="2" fontId="31" fillId="7" borderId="62" xfId="0" applyNumberFormat="1" applyFont="1" applyFill="1" applyBorder="1" applyAlignment="1">
      <alignment horizontal="center" vertical="center" wrapText="1"/>
    </xf>
    <xf numFmtId="2" fontId="31" fillId="7" borderId="9" xfId="0" applyNumberFormat="1" applyFont="1" applyFill="1" applyBorder="1" applyAlignment="1">
      <alignment horizontal="center" vertical="center" wrapText="1"/>
    </xf>
    <xf numFmtId="2" fontId="31" fillId="7" borderId="2" xfId="0" applyNumberFormat="1" applyFont="1" applyFill="1" applyBorder="1" applyAlignment="1">
      <alignment horizontal="center" vertical="center" wrapText="1"/>
    </xf>
    <xf numFmtId="165" fontId="21" fillId="13" borderId="57" xfId="0" applyNumberFormat="1" applyFont="1" applyFill="1" applyBorder="1" applyAlignment="1">
      <alignment horizontal="center" vertical="center" wrapText="1"/>
    </xf>
    <xf numFmtId="165" fontId="21" fillId="13" borderId="58" xfId="0" applyNumberFormat="1" applyFont="1" applyFill="1" applyBorder="1" applyAlignment="1">
      <alignment horizontal="center" vertical="center" wrapText="1"/>
    </xf>
    <xf numFmtId="165" fontId="21" fillId="13" borderId="75" xfId="0" applyNumberFormat="1" applyFont="1" applyFill="1" applyBorder="1" applyAlignment="1">
      <alignment horizontal="center" vertical="center" wrapText="1"/>
    </xf>
    <xf numFmtId="2" fontId="31" fillId="12" borderId="61" xfId="0" applyNumberFormat="1" applyFont="1" applyFill="1" applyBorder="1" applyAlignment="1">
      <alignment horizontal="center" vertical="center" wrapText="1"/>
    </xf>
    <xf numFmtId="2" fontId="31" fillId="12" borderId="62" xfId="0" applyNumberFormat="1" applyFont="1" applyFill="1" applyBorder="1" applyAlignment="1">
      <alignment horizontal="center" vertical="center" wrapText="1"/>
    </xf>
    <xf numFmtId="2" fontId="31" fillId="12" borderId="9" xfId="0" applyNumberFormat="1" applyFont="1" applyFill="1" applyBorder="1" applyAlignment="1">
      <alignment horizontal="center" vertical="center" wrapText="1"/>
    </xf>
    <xf numFmtId="2" fontId="31" fillId="12" borderId="2" xfId="0" applyNumberFormat="1" applyFont="1" applyFill="1" applyBorder="1" applyAlignment="1">
      <alignment horizontal="center" vertical="center" wrapText="1"/>
    </xf>
    <xf numFmtId="0" fontId="30" fillId="20" borderId="85" xfId="0" applyFont="1" applyFill="1" applyBorder="1" applyAlignment="1">
      <alignment horizontal="center" vertical="center" wrapText="1"/>
    </xf>
    <xf numFmtId="0" fontId="30" fillId="20" borderId="86" xfId="0" applyFont="1" applyFill="1" applyBorder="1" applyAlignment="1">
      <alignment horizontal="center" vertical="center" wrapText="1"/>
    </xf>
    <xf numFmtId="0" fontId="30" fillId="20" borderId="87" xfId="0" applyFont="1" applyFill="1" applyBorder="1" applyAlignment="1">
      <alignment horizontal="center" vertical="center" wrapText="1"/>
    </xf>
    <xf numFmtId="0" fontId="30" fillId="20" borderId="54" xfId="0" applyFont="1" applyFill="1" applyBorder="1" applyAlignment="1">
      <alignment horizontal="center" vertical="center" wrapText="1"/>
    </xf>
    <xf numFmtId="0" fontId="30" fillId="20" borderId="0" xfId="0" applyFont="1" applyFill="1" applyAlignment="1">
      <alignment horizontal="center" vertical="center" wrapText="1"/>
    </xf>
    <xf numFmtId="0" fontId="30" fillId="20" borderId="38" xfId="0" applyFont="1" applyFill="1" applyBorder="1" applyAlignment="1">
      <alignment horizontal="center" vertical="center" wrapText="1"/>
    </xf>
    <xf numFmtId="2" fontId="31" fillId="12" borderId="13" xfId="0" applyNumberFormat="1" applyFont="1" applyFill="1" applyBorder="1" applyAlignment="1">
      <alignment horizontal="center" vertical="center" wrapText="1"/>
    </xf>
    <xf numFmtId="2" fontId="31" fillId="12" borderId="11" xfId="0" applyNumberFormat="1" applyFont="1" applyFill="1" applyBorder="1" applyAlignment="1">
      <alignment horizontal="center" vertical="center" wrapText="1"/>
    </xf>
    <xf numFmtId="2" fontId="31" fillId="7" borderId="60" xfId="0" applyNumberFormat="1" applyFont="1" applyFill="1" applyBorder="1" applyAlignment="1">
      <alignment horizontal="center" vertical="center" wrapText="1"/>
    </xf>
    <xf numFmtId="2" fontId="31" fillId="12" borderId="65" xfId="0" applyNumberFormat="1" applyFont="1" applyFill="1" applyBorder="1" applyAlignment="1">
      <alignment horizontal="center" vertical="center" wrapText="1"/>
    </xf>
    <xf numFmtId="2" fontId="31" fillId="12" borderId="76" xfId="0" applyNumberFormat="1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165" fontId="15" fillId="7" borderId="9" xfId="0" applyNumberFormat="1" applyFont="1" applyFill="1" applyBorder="1" applyAlignment="1">
      <alignment horizontal="center" vertical="center"/>
    </xf>
    <xf numFmtId="165" fontId="15" fillId="7" borderId="2" xfId="0" applyNumberFormat="1" applyFont="1" applyFill="1" applyBorder="1" applyAlignment="1">
      <alignment horizontal="center" vertical="center"/>
    </xf>
    <xf numFmtId="165" fontId="15" fillId="7" borderId="4" xfId="0" applyNumberFormat="1" applyFont="1" applyFill="1" applyBorder="1" applyAlignment="1">
      <alignment horizontal="center" vertical="center"/>
    </xf>
    <xf numFmtId="165" fontId="15" fillId="4" borderId="9" xfId="0" applyNumberFormat="1" applyFont="1" applyFill="1" applyBorder="1" applyAlignment="1">
      <alignment horizontal="center" vertical="center"/>
    </xf>
    <xf numFmtId="165" fontId="15" fillId="4" borderId="2" xfId="0" applyNumberFormat="1" applyFont="1" applyFill="1" applyBorder="1" applyAlignment="1">
      <alignment horizontal="center" vertical="center"/>
    </xf>
    <xf numFmtId="165" fontId="15" fillId="4" borderId="4" xfId="0" applyNumberFormat="1" applyFont="1" applyFill="1" applyBorder="1" applyAlignment="1">
      <alignment horizontal="center" vertical="center"/>
    </xf>
    <xf numFmtId="0" fontId="29" fillId="4" borderId="50" xfId="0" applyFont="1" applyFill="1" applyBorder="1" applyAlignment="1">
      <alignment horizontal="center"/>
    </xf>
    <xf numFmtId="0" fontId="29" fillId="4" borderId="51" xfId="0" applyFont="1" applyFill="1" applyBorder="1" applyAlignment="1">
      <alignment horizontal="center"/>
    </xf>
    <xf numFmtId="0" fontId="29" fillId="13" borderId="31" xfId="0" applyFont="1" applyFill="1" applyBorder="1" applyAlignment="1">
      <alignment horizontal="center"/>
    </xf>
    <xf numFmtId="0" fontId="29" fillId="13" borderId="34" xfId="0" applyFont="1" applyFill="1" applyBorder="1" applyAlignment="1">
      <alignment horizontal="center"/>
    </xf>
    <xf numFmtId="0" fontId="15" fillId="10" borderId="11" xfId="0" applyFont="1" applyFill="1" applyBorder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15" fillId="10" borderId="13" xfId="0" applyFont="1" applyFill="1" applyBorder="1" applyAlignment="1">
      <alignment horizontal="center" vertical="center"/>
    </xf>
    <xf numFmtId="0" fontId="15" fillId="10" borderId="40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10" borderId="41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40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7" borderId="41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 vertical="center"/>
    </xf>
    <xf numFmtId="0" fontId="15" fillId="12" borderId="12" xfId="0" applyFont="1" applyFill="1" applyBorder="1" applyAlignment="1">
      <alignment horizontal="center" vertical="center"/>
    </xf>
    <xf numFmtId="0" fontId="15" fillId="12" borderId="13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41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12" borderId="14" xfId="0" applyFont="1" applyFill="1" applyBorder="1" applyAlignment="1">
      <alignment horizontal="center" vertical="center"/>
    </xf>
    <xf numFmtId="0" fontId="15" fillId="20" borderId="6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21" fillId="27" borderId="6" xfId="0" applyFont="1" applyFill="1" applyBorder="1" applyAlignment="1">
      <alignment horizontal="center" vertical="center"/>
    </xf>
    <xf numFmtId="0" fontId="21" fillId="27" borderId="7" xfId="0" applyFont="1" applyFill="1" applyBorder="1" applyAlignment="1">
      <alignment horizontal="center" vertical="center"/>
    </xf>
    <xf numFmtId="0" fontId="21" fillId="27" borderId="8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1" fillId="28" borderId="6" xfId="0" applyFont="1" applyFill="1" applyBorder="1" applyAlignment="1">
      <alignment horizontal="center" vertical="center"/>
    </xf>
    <xf numFmtId="0" fontId="21" fillId="28" borderId="7" xfId="0" applyFont="1" applyFill="1" applyBorder="1" applyAlignment="1">
      <alignment horizontal="center" vertical="center"/>
    </xf>
    <xf numFmtId="0" fontId="21" fillId="28" borderId="8" xfId="0" applyFont="1" applyFill="1" applyBorder="1" applyAlignment="1">
      <alignment horizontal="center" vertical="center"/>
    </xf>
    <xf numFmtId="2" fontId="26" fillId="6" borderId="13" xfId="0" applyNumberFormat="1" applyFont="1" applyFill="1" applyBorder="1" applyAlignment="1">
      <alignment horizontal="center" vertical="center" wrapText="1"/>
    </xf>
    <xf numFmtId="2" fontId="26" fillId="6" borderId="14" xfId="0" applyNumberFormat="1" applyFont="1" applyFill="1" applyBorder="1" applyAlignment="1">
      <alignment horizontal="center" vertical="center" wrapText="1"/>
    </xf>
    <xf numFmtId="1" fontId="31" fillId="2" borderId="68" xfId="0" applyNumberFormat="1" applyFont="1" applyFill="1" applyBorder="1" applyAlignment="1">
      <alignment horizontal="center" vertical="center" wrapText="1"/>
    </xf>
    <xf numFmtId="1" fontId="31" fillId="2" borderId="67" xfId="0" applyNumberFormat="1" applyFont="1" applyFill="1" applyBorder="1" applyAlignment="1">
      <alignment horizontal="center" vertical="center" wrapText="1"/>
    </xf>
    <xf numFmtId="165" fontId="15" fillId="10" borderId="6" xfId="0" applyNumberFormat="1" applyFont="1" applyFill="1" applyBorder="1" applyAlignment="1">
      <alignment horizontal="center"/>
    </xf>
    <xf numFmtId="165" fontId="15" fillId="10" borderId="7" xfId="0" applyNumberFormat="1" applyFont="1" applyFill="1" applyBorder="1" applyAlignment="1">
      <alignment horizontal="center"/>
    </xf>
    <xf numFmtId="165" fontId="15" fillId="10" borderId="8" xfId="0" applyNumberFormat="1" applyFont="1" applyFill="1" applyBorder="1" applyAlignment="1">
      <alignment horizontal="center"/>
    </xf>
    <xf numFmtId="165" fontId="21" fillId="4" borderId="57" xfId="0" applyNumberFormat="1" applyFont="1" applyFill="1" applyBorder="1" applyAlignment="1">
      <alignment horizontal="center" vertical="center" wrapText="1"/>
    </xf>
    <xf numFmtId="165" fontId="21" fillId="4" borderId="58" xfId="0" applyNumberFormat="1" applyFont="1" applyFill="1" applyBorder="1" applyAlignment="1">
      <alignment horizontal="center" vertical="center" wrapText="1"/>
    </xf>
    <xf numFmtId="165" fontId="21" fillId="4" borderId="59" xfId="0" applyNumberFormat="1" applyFont="1" applyFill="1" applyBorder="1" applyAlignment="1">
      <alignment horizontal="center" vertical="center" wrapText="1"/>
    </xf>
    <xf numFmtId="2" fontId="29" fillId="4" borderId="50" xfId="0" applyNumberFormat="1" applyFont="1" applyFill="1" applyBorder="1" applyAlignment="1">
      <alignment horizontal="center"/>
    </xf>
    <xf numFmtId="2" fontId="29" fillId="4" borderId="51" xfId="0" applyNumberFormat="1" applyFont="1" applyFill="1" applyBorder="1" applyAlignment="1">
      <alignment horizontal="center"/>
    </xf>
    <xf numFmtId="2" fontId="29" fillId="4" borderId="52" xfId="0" applyNumberFormat="1" applyFont="1" applyFill="1" applyBorder="1" applyAlignment="1">
      <alignment horizontal="center"/>
    </xf>
    <xf numFmtId="2" fontId="29" fillId="13" borderId="31" xfId="0" applyNumberFormat="1" applyFont="1" applyFill="1" applyBorder="1" applyAlignment="1">
      <alignment horizontal="center"/>
    </xf>
    <xf numFmtId="2" fontId="29" fillId="13" borderId="34" xfId="0" applyNumberFormat="1" applyFont="1" applyFill="1" applyBorder="1" applyAlignment="1">
      <alignment horizontal="center"/>
    </xf>
    <xf numFmtId="2" fontId="29" fillId="13" borderId="32" xfId="0" applyNumberFormat="1" applyFont="1" applyFill="1" applyBorder="1" applyAlignment="1">
      <alignment horizontal="center"/>
    </xf>
    <xf numFmtId="2" fontId="31" fillId="7" borderId="65" xfId="0" applyNumberFormat="1" applyFont="1" applyFill="1" applyBorder="1" applyAlignment="1">
      <alignment horizontal="center" vertical="center" wrapText="1"/>
    </xf>
    <xf numFmtId="2" fontId="31" fillId="7" borderId="76" xfId="0" applyNumberFormat="1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/>
    </xf>
    <xf numFmtId="0" fontId="15" fillId="0" borderId="0" xfId="0" applyFont="1" applyAlignment="1">
      <alignment horizontal="center"/>
    </xf>
    <xf numFmtId="165" fontId="15" fillId="7" borderId="6" xfId="0" applyNumberFormat="1" applyFont="1" applyFill="1" applyBorder="1" applyAlignment="1">
      <alignment horizontal="center"/>
    </xf>
    <xf numFmtId="165" fontId="15" fillId="7" borderId="7" xfId="0" applyNumberFormat="1" applyFont="1" applyFill="1" applyBorder="1" applyAlignment="1">
      <alignment horizontal="center"/>
    </xf>
    <xf numFmtId="165" fontId="15" fillId="7" borderId="8" xfId="0" applyNumberFormat="1" applyFont="1" applyFill="1" applyBorder="1" applyAlignment="1">
      <alignment horizontal="center"/>
    </xf>
    <xf numFmtId="2" fontId="31" fillId="4" borderId="49" xfId="0" applyNumberFormat="1" applyFont="1" applyFill="1" applyBorder="1" applyAlignment="1">
      <alignment horizontal="center" vertical="center" wrapText="1"/>
    </xf>
    <xf numFmtId="2" fontId="31" fillId="4" borderId="46" xfId="0" applyNumberFormat="1" applyFont="1" applyFill="1" applyBorder="1" applyAlignment="1">
      <alignment horizontal="center" vertical="center" wrapText="1"/>
    </xf>
    <xf numFmtId="2" fontId="31" fillId="4" borderId="48" xfId="0" applyNumberFormat="1" applyFont="1" applyFill="1" applyBorder="1" applyAlignment="1">
      <alignment horizontal="center" vertical="center" wrapText="1"/>
    </xf>
    <xf numFmtId="165" fontId="31" fillId="13" borderId="21" xfId="0" applyNumberFormat="1" applyFont="1" applyFill="1" applyBorder="1" applyAlignment="1">
      <alignment horizontal="center" vertical="center" wrapText="1"/>
    </xf>
    <xf numFmtId="0" fontId="31" fillId="13" borderId="10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61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3" borderId="7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4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20" borderId="6" xfId="0" applyFont="1" applyFill="1" applyBorder="1" applyAlignment="1">
      <alignment horizontal="center"/>
    </xf>
    <xf numFmtId="0" fontId="3" fillId="20" borderId="7" xfId="0" applyFont="1" applyFill="1" applyBorder="1" applyAlignment="1">
      <alignment horizontal="center"/>
    </xf>
    <xf numFmtId="0" fontId="3" fillId="20" borderId="8" xfId="0" applyFont="1" applyFill="1" applyBorder="1" applyAlignment="1">
      <alignment horizontal="center"/>
    </xf>
    <xf numFmtId="0" fontId="3" fillId="7" borderId="4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40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4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'OEE_OAE 2024_2025 -grafika'!$C$41</c:f>
          <c:strCache>
            <c:ptCount val="1"/>
            <c:pt idx="0">
              <c:v>DETAILED TEEP OAE/OEE EFFECTIVE SHIFTS AT FULL CAPACITY</c:v>
            </c:pt>
          </c:strCache>
        </c:strRef>
      </c:tx>
      <c:layout>
        <c:manualLayout>
          <c:xMode val="edge"/>
          <c:yMode val="edge"/>
          <c:x val="3.9321635794000989E-3"/>
          <c:y val="1.3392301797251717E-2"/>
        </c:manualLayout>
      </c:layout>
      <c:overlay val="0"/>
      <c:spPr>
        <a:solidFill>
          <a:schemeClr val="accent2">
            <a:lumMod val="20000"/>
            <a:lumOff val="80000"/>
          </a:schemeClr>
        </a:solidFill>
        <a:ln w="190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3365-4797-892D-0359AD7FC3D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F739-46E3-9355-2BFAF92E78D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8D-4D58-8F63-BE47C61AE0BC}"/>
              </c:ext>
            </c:extLst>
          </c:dPt>
          <c:dLbls>
            <c:dLbl>
              <c:idx val="0"/>
              <c:layout>
                <c:manualLayout>
                  <c:x val="-2.1759411495434925E-5"/>
                  <c:y val="-0.313614839351744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365-4797-892D-0359AD7FC3D3}"/>
                </c:ext>
              </c:extLst>
            </c:dLbl>
            <c:dLbl>
              <c:idx val="4"/>
              <c:layout>
                <c:manualLayout>
                  <c:x val="-5.1070056123021876E-4"/>
                  <c:y val="-0.291279099449488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739-46E3-9355-2BFAF92E78D5}"/>
                </c:ext>
              </c:extLst>
            </c:dLbl>
            <c:dLbl>
              <c:idx val="11"/>
              <c:layout>
                <c:manualLayout>
                  <c:x val="8.9725291973052868E-4"/>
                  <c:y val="-0.261525407546446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88D-4D58-8F63-BE47C61AE0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'OEE_OAE 2024_2025 -grafika'!$F$49:$F$66</c:f>
              <c:strCache>
                <c:ptCount val="18"/>
                <c:pt idx="0">
                  <c:v>CALENDAR TIME</c:v>
                </c:pt>
                <c:pt idx="1">
                  <c:v>BANK HOLIDAYS</c:v>
                </c:pt>
                <c:pt idx="2">
                  <c:v>LINE HOLIDAYS</c:v>
                </c:pt>
                <c:pt idx="3">
                  <c:v>LACK OF PLAN</c:v>
                </c:pt>
                <c:pt idx="4">
                  <c:v>THEORETICAL AVAILABLE NUMBER OF PRODUCTION SHIFT</c:v>
                </c:pt>
                <c:pt idx="5">
                  <c:v>OVENS CLEANING</c:v>
                </c:pt>
                <c:pt idx="6">
                  <c:v>WEEKLY CLEANING</c:v>
                </c:pt>
                <c:pt idx="7">
                  <c:v>TECHNICAL DOWNTIME</c:v>
                </c:pt>
                <c:pt idx="8">
                  <c:v>WEEKLY MAINTENANCE</c:v>
                </c:pt>
                <c:pt idx="9">
                  <c:v>STARTUPS</c:v>
                </c:pt>
                <c:pt idx="10">
                  <c:v>CHANGEOVERS</c:v>
                </c:pt>
                <c:pt idx="11">
                  <c:v>REAL AVAILABLE NUMBER OF PRODUCTION SHIFT</c:v>
                </c:pt>
                <c:pt idx="12">
                  <c:v>DAILY CLEANING</c:v>
                </c:pt>
                <c:pt idx="13">
                  <c:v>SHUT DOWN</c:v>
                </c:pt>
                <c:pt idx="14">
                  <c:v>LINE SPEED REDUCTION</c:v>
                </c:pt>
                <c:pt idx="15">
                  <c:v>LACK OF PRODUCT</c:v>
                </c:pt>
                <c:pt idx="16">
                  <c:v>DEFECTIVE PRODUCTS</c:v>
                </c:pt>
                <c:pt idx="17">
                  <c:v>EFFICIENT PRODUCTION OF FINISHED PRODUCTS</c:v>
                </c:pt>
              </c:strCache>
            </c:strRef>
          </c:cat>
          <c:val>
            <c:numRef>
              <c:f>'OEE_OAE 2024_2025 -grafika'!$H$49:$H$66</c:f>
              <c:numCache>
                <c:formatCode>0.0</c:formatCode>
                <c:ptCount val="18"/>
                <c:pt idx="0">
                  <c:v>968.99999999999977</c:v>
                </c:pt>
                <c:pt idx="1">
                  <c:v>938.99999999999977</c:v>
                </c:pt>
                <c:pt idx="2">
                  <c:v>914.99999999999977</c:v>
                </c:pt>
                <c:pt idx="3">
                  <c:v>898.99999999999977</c:v>
                </c:pt>
                <c:pt idx="4">
                  <c:v>898.99999999999977</c:v>
                </c:pt>
                <c:pt idx="5">
                  <c:v>863.99999999999977</c:v>
                </c:pt>
                <c:pt idx="6">
                  <c:v>819.49999999999977</c:v>
                </c:pt>
                <c:pt idx="7">
                  <c:v>777.49999999999977</c:v>
                </c:pt>
                <c:pt idx="8">
                  <c:v>776.99999999999977</c:v>
                </c:pt>
                <c:pt idx="9">
                  <c:v>764.99999999999977</c:v>
                </c:pt>
                <c:pt idx="10">
                  <c:v>764.99999999999977</c:v>
                </c:pt>
                <c:pt idx="11">
                  <c:v>764.99999999999977</c:v>
                </c:pt>
                <c:pt idx="12">
                  <c:v>759.67449999999974</c:v>
                </c:pt>
                <c:pt idx="13">
                  <c:v>651.01167956008385</c:v>
                </c:pt>
                <c:pt idx="14">
                  <c:v>651.01167956008385</c:v>
                </c:pt>
                <c:pt idx="15">
                  <c:v>649.7466828481206</c:v>
                </c:pt>
                <c:pt idx="16">
                  <c:v>637.47791820191571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0-4D4A-95F7-821723EF546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760-4D4A-95F7-821723EF546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760-4D4A-95F7-821723EF546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760-4D4A-95F7-821723EF546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760-4D4A-95F7-821723EF546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760-4D4A-95F7-821723EF546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FB8B-4DAE-9ED6-5E1EBF0F0CB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365-4797-892D-0359AD7FC3D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FB8B-4DAE-9ED6-5E1EBF0F0CB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88D-4D58-8F63-BE47C61AE0B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26C0-4D10-BB39-95DC255CB4CD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B8B-4DAE-9ED6-5E1EBF0F0CB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193-4172-9363-6813E9F47D22}"/>
              </c:ext>
            </c:extLst>
          </c:dPt>
          <c:dPt>
            <c:idx val="16"/>
            <c:invertIfNegative val="0"/>
            <c:bubble3D val="0"/>
            <c:spPr>
              <a:solidFill>
                <a:srgbClr val="FFFF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033-49A4-BFCA-021901FDFBA9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88D-4D58-8F63-BE47C61AE0BC}"/>
              </c:ext>
            </c:extLst>
          </c:dPt>
          <c:dLbls>
            <c:dLbl>
              <c:idx val="1"/>
              <c:layout>
                <c:manualLayout>
                  <c:x val="-2.1695153756405798E-17"/>
                  <c:y val="-3.9016044708359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60-4D4A-95F7-821723EF5464}"/>
                </c:ext>
              </c:extLst>
            </c:dLbl>
            <c:dLbl>
              <c:idx val="2"/>
              <c:layout>
                <c:manualLayout>
                  <c:x val="-2.1695153756405798E-17"/>
                  <c:y val="-3.46809286296527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760-4D4A-95F7-821723EF5464}"/>
                </c:ext>
              </c:extLst>
            </c:dLbl>
            <c:dLbl>
              <c:idx val="3"/>
              <c:layout>
                <c:manualLayout>
                  <c:x val="-1.1833856934912715E-3"/>
                  <c:y val="-2.81782545115928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760-4D4A-95F7-821723EF5464}"/>
                </c:ext>
              </c:extLst>
            </c:dLbl>
            <c:dLbl>
              <c:idx val="5"/>
              <c:layout>
                <c:manualLayout>
                  <c:x val="0"/>
                  <c:y val="-3.90160447083593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760-4D4A-95F7-821723EF5464}"/>
                </c:ext>
              </c:extLst>
            </c:dLbl>
            <c:dLbl>
              <c:idx val="6"/>
              <c:layout>
                <c:manualLayout>
                  <c:x val="-4.3390307512811595E-17"/>
                  <c:y val="-4.33511607870659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B8B-4DAE-9ED6-5E1EBF0F0CB0}"/>
                </c:ext>
              </c:extLst>
            </c:dLbl>
            <c:dLbl>
              <c:idx val="7"/>
              <c:layout>
                <c:manualLayout>
                  <c:x val="-7.4904134170093369E-17"/>
                  <c:y val="-1.3856708331151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760-4D4A-95F7-821723EF5464}"/>
                </c:ext>
              </c:extLst>
            </c:dLbl>
            <c:dLbl>
              <c:idx val="8"/>
              <c:layout>
                <c:manualLayout>
                  <c:x val="0"/>
                  <c:y val="-3.03458125509461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365-4797-892D-0359AD7FC3D3}"/>
                </c:ext>
              </c:extLst>
            </c:dLbl>
            <c:dLbl>
              <c:idx val="9"/>
              <c:layout>
                <c:manualLayout>
                  <c:x val="-8.678061502562319E-17"/>
                  <c:y val="-3.03458125509461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B8B-4DAE-9ED6-5E1EBF0F0CB0}"/>
                </c:ext>
              </c:extLst>
            </c:dLbl>
            <c:dLbl>
              <c:idx val="10"/>
              <c:layout>
                <c:manualLayout>
                  <c:x val="5.1071590547074853E-4"/>
                  <c:y val="-1.78512650399385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88D-4D58-8F63-BE47C61AE0BC}"/>
                </c:ext>
              </c:extLst>
            </c:dLbl>
            <c:dLbl>
              <c:idx val="12"/>
              <c:layout>
                <c:manualLayout>
                  <c:x val="0"/>
                  <c:y val="-2.60106964722395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6C0-4D10-BB39-95DC255CB4CD}"/>
                </c:ext>
              </c:extLst>
            </c:dLbl>
            <c:dLbl>
              <c:idx val="13"/>
              <c:layout>
                <c:manualLayout>
                  <c:x val="-8.678061502562319E-17"/>
                  <c:y val="-5.85240670625390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B8B-4DAE-9ED6-5E1EBF0F0CB0}"/>
                </c:ext>
              </c:extLst>
            </c:dLbl>
            <c:dLbl>
              <c:idx val="14"/>
              <c:layout>
                <c:manualLayout>
                  <c:x val="3.5750113382950902E-3"/>
                  <c:y val="-2.18458217487257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6C0-4D10-BB39-95DC255CB4CD}"/>
                </c:ext>
              </c:extLst>
            </c:dLbl>
            <c:dLbl>
              <c:idx val="15"/>
              <c:layout>
                <c:manualLayout>
                  <c:x val="0"/>
                  <c:y val="-2.38431384328862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193-4172-9363-6813E9F47D22}"/>
                </c:ext>
              </c:extLst>
            </c:dLbl>
            <c:dLbl>
              <c:idx val="16"/>
              <c:layout>
                <c:manualLayout>
                  <c:x val="0"/>
                  <c:y val="-3.03458125509461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033-49A4-BFCA-021901FDFBA9}"/>
                </c:ext>
              </c:extLst>
            </c:dLbl>
            <c:dLbl>
              <c:idx val="17"/>
              <c:layout>
                <c:manualLayout>
                  <c:x val="-6.1342972520087166E-4"/>
                  <c:y val="-0.225511181721160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88D-4D58-8F63-BE47C61AE0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'OEE_OAE 2024_2025 -grafika'!$F$49:$F$66</c:f>
              <c:strCache>
                <c:ptCount val="18"/>
                <c:pt idx="0">
                  <c:v>CALENDAR TIME</c:v>
                </c:pt>
                <c:pt idx="1">
                  <c:v>BANK HOLIDAYS</c:v>
                </c:pt>
                <c:pt idx="2">
                  <c:v>LINE HOLIDAYS</c:v>
                </c:pt>
                <c:pt idx="3">
                  <c:v>LACK OF PLAN</c:v>
                </c:pt>
                <c:pt idx="4">
                  <c:v>THEORETICAL AVAILABLE NUMBER OF PRODUCTION SHIFT</c:v>
                </c:pt>
                <c:pt idx="5">
                  <c:v>OVENS CLEANING</c:v>
                </c:pt>
                <c:pt idx="6">
                  <c:v>WEEKLY CLEANING</c:v>
                </c:pt>
                <c:pt idx="7">
                  <c:v>TECHNICAL DOWNTIME</c:v>
                </c:pt>
                <c:pt idx="8">
                  <c:v>WEEKLY MAINTENANCE</c:v>
                </c:pt>
                <c:pt idx="9">
                  <c:v>STARTUPS</c:v>
                </c:pt>
                <c:pt idx="10">
                  <c:v>CHANGEOVERS</c:v>
                </c:pt>
                <c:pt idx="11">
                  <c:v>REAL AVAILABLE NUMBER OF PRODUCTION SHIFT</c:v>
                </c:pt>
                <c:pt idx="12">
                  <c:v>DAILY CLEANING</c:v>
                </c:pt>
                <c:pt idx="13">
                  <c:v>SHUT DOWN</c:v>
                </c:pt>
                <c:pt idx="14">
                  <c:v>LINE SPEED REDUCTION</c:v>
                </c:pt>
                <c:pt idx="15">
                  <c:v>LACK OF PRODUCT</c:v>
                </c:pt>
                <c:pt idx="16">
                  <c:v>DEFECTIVE PRODUCTS</c:v>
                </c:pt>
                <c:pt idx="17">
                  <c:v>EFFICIENT PRODUCTION OF FINISHED PRODUCTS</c:v>
                </c:pt>
              </c:strCache>
            </c:strRef>
          </c:cat>
          <c:val>
            <c:numRef>
              <c:f>'OEE_OAE 2024_2025 -grafika'!$G$49:$G$66</c:f>
              <c:numCache>
                <c:formatCode>0.0</c:formatCode>
                <c:ptCount val="18"/>
                <c:pt idx="1">
                  <c:v>30</c:v>
                </c:pt>
                <c:pt idx="2">
                  <c:v>24</c:v>
                </c:pt>
                <c:pt idx="3">
                  <c:v>16</c:v>
                </c:pt>
                <c:pt idx="5">
                  <c:v>35</c:v>
                </c:pt>
                <c:pt idx="6">
                  <c:v>44.5</c:v>
                </c:pt>
                <c:pt idx="7">
                  <c:v>42</c:v>
                </c:pt>
                <c:pt idx="8">
                  <c:v>0.5</c:v>
                </c:pt>
                <c:pt idx="9">
                  <c:v>12</c:v>
                </c:pt>
                <c:pt idx="10">
                  <c:v>0</c:v>
                </c:pt>
                <c:pt idx="12">
                  <c:v>5.3254999999999999</c:v>
                </c:pt>
                <c:pt idx="13">
                  <c:v>108.66282043991589</c:v>
                </c:pt>
                <c:pt idx="14">
                  <c:v>0</c:v>
                </c:pt>
                <c:pt idx="15">
                  <c:v>1.2649967119632419</c:v>
                </c:pt>
                <c:pt idx="16">
                  <c:v>12.268764646204867</c:v>
                </c:pt>
                <c:pt idx="17">
                  <c:v>637.47791820191571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760-4D4A-95F7-821723EF5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719919999"/>
        <c:axId val="719920479"/>
      </c:barChart>
      <c:catAx>
        <c:axId val="71991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9920479"/>
        <c:crosses val="autoZero"/>
        <c:auto val="1"/>
        <c:lblAlgn val="ctr"/>
        <c:lblOffset val="100"/>
        <c:noMultiLvlLbl val="0"/>
      </c:catAx>
      <c:valAx>
        <c:axId val="71992047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991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635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'OEE_OAE 2024_2025 -grafika'!$C$38</c:f>
          <c:strCache>
            <c:ptCount val="1"/>
            <c:pt idx="0">
              <c:v>GENERAL TEEP OAE/OEE EFFECTIVE SHIFTS AT FULL CAPACITY</c:v>
            </c:pt>
          </c:strCache>
        </c:strRef>
      </c:tx>
      <c:layout>
        <c:manualLayout>
          <c:xMode val="edge"/>
          <c:yMode val="edge"/>
          <c:x val="4.789075555024001E-3"/>
          <c:y val="1.455850705039668E-2"/>
        </c:manualLayout>
      </c:layout>
      <c:overlay val="0"/>
      <c:spPr>
        <a:solidFill>
          <a:schemeClr val="accent2">
            <a:lumMod val="20000"/>
            <a:lumOff val="80000"/>
          </a:schemeClr>
        </a:solidFill>
        <a:ln w="190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'OEE_OAE 2024_2025 -grafika'!$B$49:$B$66</c15:sqref>
                  </c15:fullRef>
                </c:ext>
              </c:extLst>
              <c:f>('OEE_OAE 2024_2025 -grafika'!$B$49:$B$50,'OEE_OAE 2024_2025 -grafika'!$B$53:$B$54,'OEE_OAE 2024_2025 -grafika'!$B$60:$B$61,'OEE_OAE 2024_2025 -grafika'!$B$65:$B$66)</c:f>
              <c:strCache>
                <c:ptCount val="8"/>
                <c:pt idx="0">
                  <c:v>CALENDAR TIME</c:v>
                </c:pt>
                <c:pt idx="1">
                  <c:v>TIME NOT INCLUDED IN THE PLAN (days off, etc.)</c:v>
                </c:pt>
                <c:pt idx="2">
                  <c:v>THEORETICAL AVAILABLE NUMBER OF PRODUCTION SHIFT</c:v>
                </c:pt>
                <c:pt idx="3">
                  <c:v>PLANNED MACHINE DOWNTIME</c:v>
                </c:pt>
                <c:pt idx="4">
                  <c:v>REAL AVAILABLE NUMBER OF PRODUCTION SHIFT</c:v>
                </c:pt>
                <c:pt idx="5">
                  <c:v>UNPLANNED DOWNTIME (failures, loss of efficiency)</c:v>
                </c:pt>
                <c:pt idx="6">
                  <c:v>DEFECTIVE OR REJECTED PRODUCTS</c:v>
                </c:pt>
                <c:pt idx="7">
                  <c:v>EFFICIENT PRODUCTION OF A GOOD FINISHED PRODUCT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'OEE_OAE 2024_2025 -grafika'!$C$49:$C$66</c15:sqref>
                  </c15:fullRef>
                </c:ext>
              </c:extLst>
              <c:f>('OEE_OAE 2024_2025 -grafika'!$C$49:$C$50,'OEE_OAE 2024_2025 -grafika'!$C$53:$C$54,'OEE_OAE 2024_2025 -grafika'!$C$60:$C$61,'OEE_OAE 2024_2025 -grafika'!$C$65:$C$66)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3336-410E-A6F2-F09F36224C19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'OEE_OAE 2024_2025 -grafika'!$B$49:$B$66</c15:sqref>
                  </c15:fullRef>
                </c:ext>
              </c:extLst>
              <c:f>('OEE_OAE 2024_2025 -grafika'!$B$49:$B$50,'OEE_OAE 2024_2025 -grafika'!$B$53:$B$54,'OEE_OAE 2024_2025 -grafika'!$B$60:$B$61,'OEE_OAE 2024_2025 -grafika'!$B$65:$B$66)</c:f>
              <c:strCache>
                <c:ptCount val="8"/>
                <c:pt idx="0">
                  <c:v>CALENDAR TIME</c:v>
                </c:pt>
                <c:pt idx="1">
                  <c:v>TIME NOT INCLUDED IN THE PLAN (days off, etc.)</c:v>
                </c:pt>
                <c:pt idx="2">
                  <c:v>THEORETICAL AVAILABLE NUMBER OF PRODUCTION SHIFT</c:v>
                </c:pt>
                <c:pt idx="3">
                  <c:v>PLANNED MACHINE DOWNTIME</c:v>
                </c:pt>
                <c:pt idx="4">
                  <c:v>REAL AVAILABLE NUMBER OF PRODUCTION SHIFT</c:v>
                </c:pt>
                <c:pt idx="5">
                  <c:v>UNPLANNED DOWNTIME (failures, loss of efficiency)</c:v>
                </c:pt>
                <c:pt idx="6">
                  <c:v>DEFECTIVE OR REJECTED PRODUCTS</c:v>
                </c:pt>
                <c:pt idx="7">
                  <c:v>EFFICIENT PRODUCTION OF A GOOD FINISHED PRODUCT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'OEE_OAE 2024_2025 -grafika'!$D$49:$D$66</c15:sqref>
                  </c15:fullRef>
                </c:ext>
              </c:extLst>
              <c:f>('OEE_OAE 2024_2025 -grafika'!$D$49:$D$50,'OEE_OAE 2024_2025 -grafika'!$D$53:$D$54,'OEE_OAE 2024_2025 -grafika'!$D$60:$D$61,'OEE_OAE 2024_2025 -grafika'!$D$65:$D$66)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3336-410E-A6F2-F09F36224C19}"/>
            </c:ext>
          </c:extLst>
        </c:ser>
        <c:ser>
          <c:idx val="4"/>
          <c:order val="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'OEE_OAE 2024_2025 -grafika'!$B$49:$B$66</c15:sqref>
                  </c15:fullRef>
                </c:ext>
              </c:extLst>
              <c:f>('OEE_OAE 2024_2025 -grafika'!$B$49:$B$50,'OEE_OAE 2024_2025 -grafika'!$B$53:$B$54,'OEE_OAE 2024_2025 -grafika'!$B$60:$B$61,'OEE_OAE 2024_2025 -grafika'!$B$65:$B$66)</c:f>
              <c:strCache>
                <c:ptCount val="8"/>
                <c:pt idx="0">
                  <c:v>CALENDAR TIME</c:v>
                </c:pt>
                <c:pt idx="1">
                  <c:v>TIME NOT INCLUDED IN THE PLAN (days off, etc.)</c:v>
                </c:pt>
                <c:pt idx="2">
                  <c:v>THEORETICAL AVAILABLE NUMBER OF PRODUCTION SHIFT</c:v>
                </c:pt>
                <c:pt idx="3">
                  <c:v>PLANNED MACHINE DOWNTIME</c:v>
                </c:pt>
                <c:pt idx="4">
                  <c:v>REAL AVAILABLE NUMBER OF PRODUCTION SHIFT</c:v>
                </c:pt>
                <c:pt idx="5">
                  <c:v>UNPLANNED DOWNTIME (failures, loss of efficiency)</c:v>
                </c:pt>
                <c:pt idx="6">
                  <c:v>DEFECTIVE OR REJECTED PRODUCTS</c:v>
                </c:pt>
                <c:pt idx="7">
                  <c:v>EFFICIENT PRODUCTION OF A GOOD FINISHED PRODUCT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'OEE_OAE 2024_2025 -grafika'!$E$49:$E$66</c15:sqref>
                  </c15:fullRef>
                </c:ext>
              </c:extLst>
              <c:f>('OEE_OAE 2024_2025 -grafika'!$E$49:$E$50,'OEE_OAE 2024_2025 -grafika'!$E$53:$E$54,'OEE_OAE 2024_2025 -grafika'!$E$60:$E$61,'OEE_OAE 2024_2025 -grafika'!$E$65:$E$66)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3336-410E-A6F2-F09F36224C19}"/>
            </c:ext>
          </c:extLst>
        </c:ser>
        <c:ser>
          <c:idx val="3"/>
          <c:order val="3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05CA-4488-B427-AE29909AF73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941D-44B3-8FDF-B049CE7AFF2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47-411E-BAA0-09B6A3F53652}"/>
              </c:ext>
            </c:extLst>
          </c:dPt>
          <c:dLbls>
            <c:dLbl>
              <c:idx val="0"/>
              <c:layout>
                <c:manualLayout>
                  <c:x val="6.0090194247788679E-4"/>
                  <c:y val="-0.354509905819603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5CA-4488-B427-AE29909AF732}"/>
                </c:ext>
              </c:extLst>
            </c:dLbl>
            <c:dLbl>
              <c:idx val="2"/>
              <c:layout>
                <c:manualLayout>
                  <c:x val="-9.0732414056664571E-4"/>
                  <c:y val="-0.324466901307038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41D-44B3-8FDF-B049CE7AFF2F}"/>
                </c:ext>
              </c:extLst>
            </c:dLbl>
            <c:dLbl>
              <c:idx val="4"/>
              <c:layout>
                <c:manualLayout>
                  <c:x val="2.6420613451200625E-4"/>
                  <c:y val="-0.282315454581096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947-411E-BAA0-09B6A3F536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'OEE_OAE 2024_2025 -grafika'!$B$49:$B$66</c15:sqref>
                  </c15:fullRef>
                </c:ext>
              </c:extLst>
              <c:f>('OEE_OAE 2024_2025 -grafika'!$B$49:$B$50,'OEE_OAE 2024_2025 -grafika'!$B$53:$B$54,'OEE_OAE 2024_2025 -grafika'!$B$60:$B$61,'OEE_OAE 2024_2025 -grafika'!$B$65:$B$66)</c:f>
              <c:strCache>
                <c:ptCount val="8"/>
                <c:pt idx="0">
                  <c:v>CALENDAR TIME</c:v>
                </c:pt>
                <c:pt idx="1">
                  <c:v>TIME NOT INCLUDED IN THE PLAN (days off, etc.)</c:v>
                </c:pt>
                <c:pt idx="2">
                  <c:v>THEORETICAL AVAILABLE NUMBER OF PRODUCTION SHIFT</c:v>
                </c:pt>
                <c:pt idx="3">
                  <c:v>PLANNED MACHINE DOWNTIME</c:v>
                </c:pt>
                <c:pt idx="4">
                  <c:v>REAL AVAILABLE NUMBER OF PRODUCTION SHIFT</c:v>
                </c:pt>
                <c:pt idx="5">
                  <c:v>UNPLANNED DOWNTIME (failures, loss of efficiency)</c:v>
                </c:pt>
                <c:pt idx="6">
                  <c:v>DEFECTIVE OR REJECTED PRODUCTS</c:v>
                </c:pt>
                <c:pt idx="7">
                  <c:v>EFFICIENT PRODUCTION OF A GOOD FINISHED PRODUCT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'OEE_OAE 2024_2025 -grafika'!$J$49:$J$66</c15:sqref>
                  </c15:fullRef>
                </c:ext>
              </c:extLst>
              <c:f>('OEE_OAE 2024_2025 -grafika'!$J$49:$J$50,'OEE_OAE 2024_2025 -grafika'!$J$53:$J$54,'OEE_OAE 2024_2025 -grafika'!$J$60:$J$61,'OEE_OAE 2024_2025 -grafika'!$J$65:$J$66)</c:f>
              <c:numCache>
                <c:formatCode>0.0</c:formatCode>
                <c:ptCount val="8"/>
                <c:pt idx="0">
                  <c:v>968.99999999999977</c:v>
                </c:pt>
                <c:pt idx="1">
                  <c:v>898.99999999999977</c:v>
                </c:pt>
                <c:pt idx="2">
                  <c:v>898.99999999999977</c:v>
                </c:pt>
                <c:pt idx="3">
                  <c:v>764.99999999999977</c:v>
                </c:pt>
                <c:pt idx="4">
                  <c:v>764.99999999999977</c:v>
                </c:pt>
                <c:pt idx="5">
                  <c:v>649.7466828481206</c:v>
                </c:pt>
                <c:pt idx="6">
                  <c:v>637.47791820191571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6-410E-A6F2-F09F36224C19}"/>
            </c:ext>
          </c:extLst>
        </c:ser>
        <c:ser>
          <c:idx val="0"/>
          <c:order val="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36-410E-A6F2-F09F36224C1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3B2-4164-BCC0-3FED8AE0B6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47-411E-BAA0-09B6A3F53652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47-411E-BAA0-09B6A3F53652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B3C-435A-B2BF-F8B311A3F65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947-411E-BAA0-09B6A3F53652}"/>
              </c:ext>
            </c:extLst>
          </c:dPt>
          <c:dLbls>
            <c:dLbl>
              <c:idx val="1"/>
              <c:layout>
                <c:manualLayout>
                  <c:x val="0"/>
                  <c:y val="-4.77475674630917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3B2-4164-BCC0-3FED8AE0B6E0}"/>
                </c:ext>
              </c:extLst>
            </c:dLbl>
            <c:dLbl>
              <c:idx val="3"/>
              <c:layout>
                <c:manualLayout>
                  <c:x val="0"/>
                  <c:y val="-5.4770699968021488E-2"/>
                </c:manualLayout>
              </c:layout>
              <c:spPr>
                <a:noFill/>
                <a:ln cap="flat" cmpd="tri">
                  <a:noFill/>
                  <a:prstDash val="sysDot"/>
                  <a:round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947-411E-BAA0-09B6A3F53652}"/>
                </c:ext>
              </c:extLst>
            </c:dLbl>
            <c:dLbl>
              <c:idx val="5"/>
              <c:layout>
                <c:manualLayout>
                  <c:x val="0"/>
                  <c:y val="-6.29399752922573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947-411E-BAA0-09B6A3F53652}"/>
                </c:ext>
              </c:extLst>
            </c:dLbl>
            <c:dLbl>
              <c:idx val="6"/>
              <c:layout>
                <c:manualLayout>
                  <c:x val="0"/>
                  <c:y val="-2.872652800689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3C-435A-B2BF-F8B311A3F658}"/>
                </c:ext>
              </c:extLst>
            </c:dLbl>
            <c:dLbl>
              <c:idx val="7"/>
              <c:layout>
                <c:manualLayout>
                  <c:x val="-1.7211264955099603E-4"/>
                  <c:y val="-0.241164371774296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947-411E-BAA0-09B6A3F536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'OEE_OAE 2024_2025 -grafika'!$B$49:$B$66</c15:sqref>
                  </c15:fullRef>
                </c:ext>
              </c:extLst>
              <c:f>('OEE_OAE 2024_2025 -grafika'!$B$49:$B$50,'OEE_OAE 2024_2025 -grafika'!$B$53:$B$54,'OEE_OAE 2024_2025 -grafika'!$B$60:$B$61,'OEE_OAE 2024_2025 -grafika'!$B$65:$B$66)</c:f>
              <c:strCache>
                <c:ptCount val="8"/>
                <c:pt idx="0">
                  <c:v>CALENDAR TIME</c:v>
                </c:pt>
                <c:pt idx="1">
                  <c:v>TIME NOT INCLUDED IN THE PLAN (days off, etc.)</c:v>
                </c:pt>
                <c:pt idx="2">
                  <c:v>THEORETICAL AVAILABLE NUMBER OF PRODUCTION SHIFT</c:v>
                </c:pt>
                <c:pt idx="3">
                  <c:v>PLANNED MACHINE DOWNTIME</c:v>
                </c:pt>
                <c:pt idx="4">
                  <c:v>REAL AVAILABLE NUMBER OF PRODUCTION SHIFT</c:v>
                </c:pt>
                <c:pt idx="5">
                  <c:v>UNPLANNED DOWNTIME (failures, loss of efficiency)</c:v>
                </c:pt>
                <c:pt idx="6">
                  <c:v>DEFECTIVE OR REJECTED PRODUCTS</c:v>
                </c:pt>
                <c:pt idx="7">
                  <c:v>EFFICIENT PRODUCTION OF A GOOD FINISHED PRODUCT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'OEE_OAE 2024_2025 -grafika'!$I$49:$I$66</c15:sqref>
                  </c15:fullRef>
                </c:ext>
              </c:extLst>
              <c:f>('OEE_OAE 2024_2025 -grafika'!$I$49:$I$50,'OEE_OAE 2024_2025 -grafika'!$I$53:$I$54,'OEE_OAE 2024_2025 -grafika'!$I$60:$I$61,'OEE_OAE 2024_2025 -grafika'!$I$65:$I$66)</c:f>
              <c:numCache>
                <c:formatCode>0.0</c:formatCode>
                <c:ptCount val="8"/>
                <c:pt idx="1">
                  <c:v>70</c:v>
                </c:pt>
                <c:pt idx="3">
                  <c:v>134</c:v>
                </c:pt>
                <c:pt idx="5">
                  <c:v>115.25331715187913</c:v>
                </c:pt>
                <c:pt idx="6">
                  <c:v>12.268764646204867</c:v>
                </c:pt>
                <c:pt idx="7">
                  <c:v>637.47791820191571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'OEE_OAE 2024_2025 -grafika'!$I$52</c15:sqref>
                  <c15:spPr xmlns:c15="http://schemas.microsoft.com/office/drawing/2012/chart"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19050">
                      <a:solidFill>
                        <a:schemeClr val="tx1"/>
                      </a:solidFill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E-3336-410E-A6F2-F09F36224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29859231"/>
        <c:axId val="1029859711"/>
      </c:barChart>
      <c:catAx>
        <c:axId val="102985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9859711"/>
        <c:crosses val="autoZero"/>
        <c:auto val="1"/>
        <c:lblAlgn val="ctr"/>
        <c:lblOffset val="100"/>
        <c:noMultiLvlLbl val="0"/>
      </c:catAx>
      <c:valAx>
        <c:axId val="10298597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985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OEE/OAE - Raffaello 24/25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'porównanie mies. OEE_OAE 24_25'!$B$4</c:f>
              <c:strCache>
                <c:ptCount val="1"/>
                <c:pt idx="0">
                  <c:v>OEE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'porównanie mies. OEE_OAE 24_25'!$C$3:$O$3</c:f>
              <c:numCache>
                <c:formatCode>mmm\-yy</c:formatCode>
                <c:ptCount val="13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  <c:pt idx="8">
                  <c:v>45778</c:v>
                </c:pt>
                <c:pt idx="9">
                  <c:v>45809</c:v>
                </c:pt>
                <c:pt idx="10">
                  <c:v>45839</c:v>
                </c:pt>
                <c:pt idx="11">
                  <c:v>45870</c:v>
                </c:pt>
                <c:pt idx="12">
                  <c:v>45901</c:v>
                </c:pt>
              </c:numCache>
            </c:numRef>
          </c:cat>
          <c:val>
            <c:numRef>
              <c:f>'porównanie mies. OEE_OAE 24_25'!$C$4:$O$4</c:f>
              <c:numCache>
                <c:formatCode>0.00</c:formatCode>
                <c:ptCount val="13"/>
                <c:pt idx="0">
                  <c:v>85.778360035299357</c:v>
                </c:pt>
                <c:pt idx="1">
                  <c:v>86.667017580797989</c:v>
                </c:pt>
                <c:pt idx="2">
                  <c:v>78.597894367975428</c:v>
                </c:pt>
                <c:pt idx="3">
                  <c:v>76.514744638597108</c:v>
                </c:pt>
                <c:pt idx="4">
                  <c:v>80.007089353842716</c:v>
                </c:pt>
                <c:pt idx="5">
                  <c:v>88.154016212232861</c:v>
                </c:pt>
                <c:pt idx="6">
                  <c:v>88.568971964251759</c:v>
                </c:pt>
                <c:pt idx="7">
                  <c:v>87.693930976908121</c:v>
                </c:pt>
                <c:pt idx="8">
                  <c:v>83.757443781188414</c:v>
                </c:pt>
                <c:pt idx="9">
                  <c:v>79.729445204758406</c:v>
                </c:pt>
                <c:pt idx="10">
                  <c:v>58.907557520674693</c:v>
                </c:pt>
                <c:pt idx="11">
                  <c:v>58.907557520674693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3-464B-96B2-2EEF736F701C}"/>
            </c:ext>
          </c:extLst>
        </c:ser>
        <c:ser>
          <c:idx val="1"/>
          <c:order val="1"/>
          <c:tx>
            <c:strRef>
              <c:f>'porównanie mies. OEE_OAE 24_25'!$B$5</c:f>
              <c:strCache>
                <c:ptCount val="1"/>
                <c:pt idx="0">
                  <c:v>OAE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'porównanie mies. OEE_OAE 24_25'!$C$3:$O$3</c:f>
              <c:numCache>
                <c:formatCode>mmm\-yy</c:formatCode>
                <c:ptCount val="13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  <c:pt idx="8">
                  <c:v>45778</c:v>
                </c:pt>
                <c:pt idx="9">
                  <c:v>45809</c:v>
                </c:pt>
                <c:pt idx="10">
                  <c:v>45839</c:v>
                </c:pt>
                <c:pt idx="11">
                  <c:v>45870</c:v>
                </c:pt>
                <c:pt idx="12">
                  <c:v>45901</c:v>
                </c:pt>
              </c:numCache>
            </c:numRef>
          </c:cat>
          <c:val>
            <c:numRef>
              <c:f>'porównanie mies. OEE_OAE 24_25'!$C$5:$O$5</c:f>
              <c:numCache>
                <c:formatCode>0.00</c:formatCode>
                <c:ptCount val="13"/>
                <c:pt idx="0">
                  <c:v>77.200524031769419</c:v>
                </c:pt>
                <c:pt idx="1">
                  <c:v>78.279886847172378</c:v>
                </c:pt>
                <c:pt idx="2">
                  <c:v>66.90177913464575</c:v>
                </c:pt>
                <c:pt idx="3">
                  <c:v>71.092439900428801</c:v>
                </c:pt>
                <c:pt idx="4">
                  <c:v>73.924679052088592</c:v>
                </c:pt>
                <c:pt idx="5">
                  <c:v>75.560585324771026</c:v>
                </c:pt>
                <c:pt idx="6">
                  <c:v>80.235869763314099</c:v>
                </c:pt>
                <c:pt idx="7">
                  <c:v>77.408840306776924</c:v>
                </c:pt>
                <c:pt idx="8">
                  <c:v>72.041372776081701</c:v>
                </c:pt>
                <c:pt idx="9">
                  <c:v>70.565141158234454</c:v>
                </c:pt>
                <c:pt idx="10">
                  <c:v>14.726889380168673</c:v>
                </c:pt>
                <c:pt idx="11">
                  <c:v>14.726889380168673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A3-464B-96B2-2EEF736F7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210560"/>
        <c:axId val="1538211040"/>
      </c:barChart>
      <c:lineChart>
        <c:grouping val="standard"/>
        <c:varyColors val="0"/>
        <c:ser>
          <c:idx val="2"/>
          <c:order val="2"/>
          <c:tx>
            <c:strRef>
              <c:f>'porównanie mies. OEE_OAE 24_25'!$B$6</c:f>
              <c:strCache>
                <c:ptCount val="1"/>
                <c:pt idx="0">
                  <c:v>OEE 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A3-464B-96B2-2EEF736F701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5A3-464B-96B2-2EEF736F701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A3-464B-96B2-2EEF736F701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5A3-464B-96B2-2EEF736F701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D5-4251-A1A0-11A32D67831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D5-4251-A1A0-11A32D67831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D5-4251-A1A0-11A32D67831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D5-4251-A1A0-11A32D67831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FD5-4251-A1A0-11A32D67831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FD5-4251-A1A0-11A32D67831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FD5-4251-A1A0-11A32D67831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FD5-4251-A1A0-11A32D6783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'porównanie mies. OEE_OAE 24_25'!$C$3:$O$3</c:f>
              <c:numCache>
                <c:formatCode>mmm\-yy</c:formatCode>
                <c:ptCount val="13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  <c:pt idx="8">
                  <c:v>45778</c:v>
                </c:pt>
                <c:pt idx="9">
                  <c:v>45809</c:v>
                </c:pt>
                <c:pt idx="10">
                  <c:v>45839</c:v>
                </c:pt>
                <c:pt idx="11">
                  <c:v>45870</c:v>
                </c:pt>
                <c:pt idx="12">
                  <c:v>45901</c:v>
                </c:pt>
              </c:numCache>
            </c:numRef>
          </c:cat>
          <c:val>
            <c:numRef>
              <c:f>'porównanie mies. OEE_OAE 24_25'!$C$6:$O$6</c:f>
              <c:numCache>
                <c:formatCode>0.00</c:formatCode>
                <c:ptCount val="13"/>
                <c:pt idx="0">
                  <c:v>88.42</c:v>
                </c:pt>
                <c:pt idx="1">
                  <c:v>88.42</c:v>
                </c:pt>
                <c:pt idx="2">
                  <c:v>88.42</c:v>
                </c:pt>
                <c:pt idx="3">
                  <c:v>88.42</c:v>
                </c:pt>
                <c:pt idx="4">
                  <c:v>88.42</c:v>
                </c:pt>
                <c:pt idx="5">
                  <c:v>88.42</c:v>
                </c:pt>
                <c:pt idx="6">
                  <c:v>88.42</c:v>
                </c:pt>
                <c:pt idx="7">
                  <c:v>88.42</c:v>
                </c:pt>
                <c:pt idx="8">
                  <c:v>88.42</c:v>
                </c:pt>
                <c:pt idx="9">
                  <c:v>88.42</c:v>
                </c:pt>
                <c:pt idx="10">
                  <c:v>88.42</c:v>
                </c:pt>
                <c:pt idx="11">
                  <c:v>88.42</c:v>
                </c:pt>
                <c:pt idx="12">
                  <c:v>88.42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A3-464B-96B2-2EEF736F7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210560"/>
        <c:axId val="1538211040"/>
      </c:lineChart>
      <c:dateAx>
        <c:axId val="15382105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8211040"/>
        <c:crosses val="autoZero"/>
        <c:auto val="1"/>
        <c:lblOffset val="100"/>
        <c:baseTimeUnit val="months"/>
      </c:dateAx>
      <c:valAx>
        <c:axId val="15382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82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OAE Loss Tree [%]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4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OAE Loss Tree [%]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B76C3D97-4EA4-49CF-AC80-6CC15C0810BB}" formatIdx="0">
          <cx:spPr>
            <a:solidFill>
              <a:schemeClr val="bg1">
                <a:lumMod val="50000"/>
              </a:schemeClr>
            </a:solidFill>
            <a:ln w="19050">
              <a:solidFill>
                <a:schemeClr val="tx1"/>
              </a:solidFill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x:spPr>
          <cx:dataPt idx="0">
            <cx:spPr>
              <a:solidFill>
                <a:srgbClr val="ED7D31">
                  <a:lumMod val="50000"/>
                </a:srgbClr>
              </a:solidFill>
            </cx:spPr>
          </cx:dataPt>
          <cx:dataPt idx="1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2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4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5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7">
            <cx:spPr>
              <a:solidFill>
                <a:srgbClr val="FFC000">
                  <a:lumMod val="20000"/>
                  <a:lumOff val="80000"/>
                </a:srgbClr>
              </a:solidFill>
            </cx:spPr>
          </cx:dataPt>
          <cx:dataPt idx="10">
            <cx:spPr>
              <a:solidFill>
                <a:srgbClr val="FFC000">
                  <a:lumMod val="20000"/>
                  <a:lumOff val="80000"/>
                </a:srgbClr>
              </a:solidFill>
            </cx:spPr>
          </cx:dataPt>
          <cx:dataPt idx="11">
            <cx:spPr>
              <a:solidFill>
                <a:srgbClr val="FFC000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/>
                </a:pPr>
                <a:endParaRPr lang="pl-PL" sz="2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pl-PL" sz="2000" b="1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3,9</a:t>
                  </a:r>
                </a:p>
              </cx:txPr>
            </cx:dataLabel>
          </cx:dataLabels>
          <cx:dataId val="0"/>
          <cx:layoutPr>
            <cx:visibility connectorLines="0"/>
            <cx:subtotals/>
          </cx:layoutPr>
        </cx:series>
        <cx:series layoutId="waterfall" hidden="1" uniqueId="{BAE6412F-D068-4BC8-9672-B05DBA0EEED4}" formatIdx="1">
          <cx:dataId val="1"/>
          <cx:layoutPr>
            <cx:subtotals/>
          </cx:layoutPr>
        </cx:series>
        <cx:series layoutId="waterfall" hidden="1" uniqueId="{DFF12401-18BB-4FB2-A328-F9067330029C}" formatIdx="2">
          <cx:dataId val="2"/>
          <cx:layoutPr>
            <cx:subtotals/>
          </cx:layoutPr>
        </cx:series>
      </cx:plotAreaRegion>
      <cx:axis id="0">
        <cx:catScaling gapWidth="0.20000000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/>
            </a:pPr>
            <a:endParaRPr lang="pl-PL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109"/>
        <cx:majorGridlines>
          <cx:spPr>
            <a:ln>
              <a:noFill/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  <cx:spPr>
    <a:ln w="6350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85329</xdr:colOff>
      <xdr:row>41</xdr:row>
      <xdr:rowOff>139049</xdr:rowOff>
    </xdr:from>
    <xdr:to>
      <xdr:col>17</xdr:col>
      <xdr:colOff>680357</xdr:colOff>
      <xdr:row>42</xdr:row>
      <xdr:rowOff>974052</xdr:rowOff>
    </xdr:to>
    <xdr:graphicFrame macro="">
      <xdr:nvGraphicFramePr>
        <xdr:cNvPr id="19" name="Wykres 2">
          <a:extLst>
            <a:ext uri="{FF2B5EF4-FFF2-40B4-BE49-F238E27FC236}">
              <a16:creationId xmlns:a16="http://schemas.microsoft.com/office/drawing/2014/main" id="{3B1C64A1-A4A3-4667-A473-6903B98EE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80366</xdr:colOff>
      <xdr:row>38</xdr:row>
      <xdr:rowOff>86321</xdr:rowOff>
    </xdr:from>
    <xdr:to>
      <xdr:col>11</xdr:col>
      <xdr:colOff>483478</xdr:colOff>
      <xdr:row>39</xdr:row>
      <xdr:rowOff>913804</xdr:rowOff>
    </xdr:to>
    <xdr:graphicFrame macro="">
      <xdr:nvGraphicFramePr>
        <xdr:cNvPr id="10" name="Chart 2">
          <a:extLst>
            <a:ext uri="{FF2B5EF4-FFF2-40B4-BE49-F238E27FC236}">
              <a16:creationId xmlns:a16="http://schemas.microsoft.com/office/drawing/2014/main" id="{04D549CC-23FB-4A4F-AFB2-92A71B5266B5}"/>
            </a:ext>
            <a:ext uri="{147F2762-F138-4A5C-976F-8EAC2B608ADB}">
              <a16:predDERef xmlns:a16="http://schemas.microsoft.com/office/drawing/2014/main" pred="{3B1C64A1-A4A3-4667-A473-6903B98EE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258535</xdr:colOff>
      <xdr:row>41</xdr:row>
      <xdr:rowOff>1177868</xdr:rowOff>
    </xdr:from>
    <xdr:to>
      <xdr:col>17</xdr:col>
      <xdr:colOff>408213</xdr:colOff>
      <xdr:row>41</xdr:row>
      <xdr:rowOff>1510393</xdr:rowOff>
    </xdr:to>
    <xdr:sp macro="" textlink="$G$79">
      <xdr:nvSpPr>
        <xdr:cNvPr id="70" name="Arrow: Pentagon 364">
          <a:extLst>
            <a:ext uri="{FF2B5EF4-FFF2-40B4-BE49-F238E27FC236}">
              <a16:creationId xmlns:a16="http://schemas.microsoft.com/office/drawing/2014/main" id="{3C872E05-A90C-42A2-8DDE-8D489EC7C10E}"/>
            </a:ext>
          </a:extLst>
        </xdr:cNvPr>
        <xdr:cNvSpPr/>
      </xdr:nvSpPr>
      <xdr:spPr bwMode="auto">
        <a:xfrm>
          <a:off x="13334999" y="16553939"/>
          <a:ext cx="7633607" cy="332525"/>
        </a:xfrm>
        <a:prstGeom prst="homePlate">
          <a:avLst>
            <a:gd name="adj" fmla="val 17919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90488" rIns="0" numCol="1" spcCol="0" rtlCol="0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Bef>
              <a:spcPct val="0"/>
            </a:spcBef>
            <a:spcAft>
              <a:spcPct val="0"/>
            </a:spcAft>
          </a:pPr>
          <a:fld id="{F1A96EB0-AC25-438D-8DA3-60B9541E8151}" type="TxLink">
            <a:rPr lang="en-US" sz="18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+mn-lt"/>
            </a:rPr>
            <a:pPr algn="ctr">
              <a:spcBef>
                <a:spcPct val="0"/>
              </a:spcBef>
              <a:spcAft>
                <a:spcPct val="0"/>
              </a:spcAft>
            </a:pPr>
            <a:t>OEE FACTOR  83,3</a:t>
          </a:fld>
          <a:endParaRPr lang="en-US" sz="1800" b="1">
            <a:solidFill>
              <a:srgbClr val="FF0000"/>
            </a:solidFill>
            <a:sym typeface="+mn-lt"/>
          </a:endParaRPr>
        </a:p>
      </xdr:txBody>
    </xdr:sp>
    <xdr:clientData/>
  </xdr:twoCellAnchor>
  <xdr:twoCellAnchor>
    <xdr:from>
      <xdr:col>9</xdr:col>
      <xdr:colOff>258536</xdr:colOff>
      <xdr:row>43</xdr:row>
      <xdr:rowOff>789388</xdr:rowOff>
    </xdr:from>
    <xdr:to>
      <xdr:col>17</xdr:col>
      <xdr:colOff>435428</xdr:colOff>
      <xdr:row>43</xdr:row>
      <xdr:rowOff>1102180</xdr:rowOff>
    </xdr:to>
    <xdr:sp macro="" textlink="">
      <xdr:nvSpPr>
        <xdr:cNvPr id="79" name="Arrow: Pentagon 364">
          <a:extLst>
            <a:ext uri="{FF2B5EF4-FFF2-40B4-BE49-F238E27FC236}">
              <a16:creationId xmlns:a16="http://schemas.microsoft.com/office/drawing/2014/main" id="{DDDEE112-D56D-465B-A1F8-DA69CB1A216A}"/>
            </a:ext>
          </a:extLst>
        </xdr:cNvPr>
        <xdr:cNvSpPr/>
      </xdr:nvSpPr>
      <xdr:spPr bwMode="auto">
        <a:xfrm>
          <a:off x="11035393" y="22533602"/>
          <a:ext cx="9960428" cy="312792"/>
        </a:xfrm>
        <a:prstGeom prst="homePlate">
          <a:avLst>
            <a:gd name="adj" fmla="val 17919"/>
          </a:avLst>
        </a:prstGeom>
        <a:solidFill>
          <a:schemeClr val="bg1">
            <a:lumMod val="85000"/>
          </a:schemeClr>
        </a:solidFill>
        <a:ln w="9525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90488" rIns="0" numCol="1" spcCol="0" rtlCol="0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Bef>
              <a:spcPct val="0"/>
            </a:spcBef>
            <a:spcAft>
              <a:spcPct val="0"/>
            </a:spcAft>
          </a:pPr>
          <a:r>
            <a:rPr lang="pl-PL" sz="1800" b="1">
              <a:solidFill>
                <a:schemeClr val="tx1"/>
              </a:solidFill>
              <a:sym typeface="+mn-lt"/>
            </a:rPr>
            <a:t>PLANNED STOPS</a:t>
          </a:r>
          <a:endParaRPr lang="en-US" sz="1800" b="1">
            <a:solidFill>
              <a:schemeClr val="tx1"/>
            </a:solidFill>
            <a:sym typeface="+mn-lt"/>
          </a:endParaRPr>
        </a:p>
      </xdr:txBody>
    </xdr:sp>
    <xdr:clientData/>
  </xdr:twoCellAnchor>
  <xdr:twoCellAnchor>
    <xdr:from>
      <xdr:col>2</xdr:col>
      <xdr:colOff>544709</xdr:colOff>
      <xdr:row>43</xdr:row>
      <xdr:rowOff>4627278</xdr:rowOff>
    </xdr:from>
    <xdr:to>
      <xdr:col>3</xdr:col>
      <xdr:colOff>1052990</xdr:colOff>
      <xdr:row>44</xdr:row>
      <xdr:rowOff>1476276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EA2D9466-B851-ABAD-3CE6-0ADE2FFD374A}"/>
            </a:ext>
          </a:extLst>
        </xdr:cNvPr>
        <xdr:cNvSpPr>
          <a:spLocks noChangeArrowheads="1"/>
        </xdr:cNvSpPr>
      </xdr:nvSpPr>
      <xdr:spPr bwMode="gray">
        <a:xfrm>
          <a:off x="2531352" y="26371492"/>
          <a:ext cx="1474388" cy="204692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3175" algn="ctr">
          <a:solidFill>
            <a:schemeClr val="tx1"/>
          </a:solidFill>
          <a:miter lim="800000"/>
          <a:headEnd/>
          <a:tailEnd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txBody>
        <a:bodyPr wrap="square" lIns="72000" tIns="72000" rIns="72000" bIns="72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6000"/>
            </a:lnSpc>
            <a:defRPr/>
          </a:pPr>
          <a:r>
            <a:rPr lang="en-US" sz="20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LOSS OF QUALITY</a:t>
          </a:r>
          <a:endParaRPr lang="pl-PL" sz="20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  <a:p>
          <a:pPr algn="ctr">
            <a:lnSpc>
              <a:spcPct val="106000"/>
            </a:lnSpc>
            <a:defRPr/>
          </a:pP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(</a:t>
          </a:r>
          <a:r>
            <a:rPr lang="en-US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DEFECTIVE OR REJECTED PRODUCTS</a:t>
          </a: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)</a:t>
          </a:r>
          <a:endParaRPr lang="en-US" sz="16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1224644</xdr:colOff>
      <xdr:row>43</xdr:row>
      <xdr:rowOff>4608932</xdr:rowOff>
    </xdr:from>
    <xdr:to>
      <xdr:col>9</xdr:col>
      <xdr:colOff>54429</xdr:colOff>
      <xdr:row>44</xdr:row>
      <xdr:rowOff>1474723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26FBC83F-F8E6-EC8D-A0AB-053CD4BEEC97}"/>
            </a:ext>
            <a:ext uri="{147F2762-F138-4A5C-976F-8EAC2B608ADB}">
              <a16:predDERef xmlns:a16="http://schemas.microsoft.com/office/drawing/2014/main" pred="{EA2D9466-B851-ABAD-3CE6-0ADE2FFD374A}"/>
            </a:ext>
          </a:extLst>
        </xdr:cNvPr>
        <xdr:cNvSpPr>
          <a:spLocks noChangeArrowheads="1"/>
        </xdr:cNvSpPr>
      </xdr:nvSpPr>
      <xdr:spPr bwMode="gray">
        <a:xfrm>
          <a:off x="4177394" y="26353146"/>
          <a:ext cx="6653892" cy="20637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 algn="ctr">
          <a:solidFill>
            <a:schemeClr val="tx1"/>
          </a:solidFill>
          <a:miter lim="800000"/>
          <a:headEnd/>
          <a:tailEnd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txBody>
        <a:bodyPr wrap="square" lIns="72000" tIns="72000" rIns="72000" bIns="72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6000"/>
            </a:lnSpc>
            <a:defRPr/>
          </a:pPr>
          <a:r>
            <a:rPr lang="en-US" sz="20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LOSS OF PERFORMANCE</a:t>
          </a:r>
          <a:endParaRPr lang="pl-PL" sz="20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  <a:p>
          <a:pPr algn="ctr">
            <a:lnSpc>
              <a:spcPct val="106000"/>
            </a:lnSpc>
            <a:defRPr/>
          </a:pPr>
          <a:r>
            <a:rPr lang="pl-PL" sz="20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(</a:t>
          </a:r>
          <a:r>
            <a:rPr lang="en-US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LACK OF PRODUCT</a:t>
          </a: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, LINE SPEED REDUCTION, SHUT DOWN, DAILY CLEANING)</a:t>
          </a:r>
          <a:endParaRPr lang="en-US" sz="20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231322</xdr:colOff>
      <xdr:row>43</xdr:row>
      <xdr:rowOff>4575702</xdr:rowOff>
    </xdr:from>
    <xdr:to>
      <xdr:col>17</xdr:col>
      <xdr:colOff>462643</xdr:colOff>
      <xdr:row>44</xdr:row>
      <xdr:rowOff>1485525</xdr:rowOff>
    </xdr:to>
    <xdr:sp macro="" textlink="">
      <xdr:nvSpPr>
        <xdr:cNvPr id="87" name="Rectangle 10">
          <a:extLst>
            <a:ext uri="{FF2B5EF4-FFF2-40B4-BE49-F238E27FC236}">
              <a16:creationId xmlns:a16="http://schemas.microsoft.com/office/drawing/2014/main" id="{E3BC3681-B66E-D6F6-39C8-A93ECCA1E0AD}"/>
            </a:ext>
          </a:extLst>
        </xdr:cNvPr>
        <xdr:cNvSpPr>
          <a:spLocks noChangeArrowheads="1"/>
        </xdr:cNvSpPr>
      </xdr:nvSpPr>
      <xdr:spPr bwMode="gray">
        <a:xfrm>
          <a:off x="11008179" y="26319916"/>
          <a:ext cx="10014857" cy="21077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 algn="ctr">
          <a:solidFill>
            <a:schemeClr val="tx1"/>
          </a:solidFill>
          <a:miter lim="800000"/>
          <a:headEnd/>
          <a:tailEnd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txBody>
        <a:bodyPr wrap="square" lIns="72000" tIns="72000" rIns="72000" bIns="72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6000"/>
            </a:lnSpc>
            <a:defRPr/>
          </a:pPr>
          <a:r>
            <a:rPr lang="en-US" sz="20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LOSS OF AVAILABILITY</a:t>
          </a:r>
          <a:endParaRPr lang="pl-PL" sz="20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  <a:p>
          <a:pPr algn="ctr">
            <a:lnSpc>
              <a:spcPct val="106000"/>
            </a:lnSpc>
            <a:defRPr/>
          </a:pP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(</a:t>
          </a:r>
          <a:r>
            <a:rPr lang="en-US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CHANGEOVERS</a:t>
          </a: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, STARTUP, WEEKLY MAINTENANCE, TECHNICAL DOWNTIME, WEEKLY CLEANING, CLEANING OVENS)</a:t>
          </a:r>
          <a:endParaRPr lang="en-US" sz="16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652463</xdr:colOff>
      <xdr:row>43</xdr:row>
      <xdr:rowOff>4115904</xdr:rowOff>
    </xdr:from>
    <xdr:to>
      <xdr:col>3</xdr:col>
      <xdr:colOff>921503</xdr:colOff>
      <xdr:row>43</xdr:row>
      <xdr:rowOff>4562387</xdr:rowOff>
    </xdr:to>
    <xdr:sp macro="" textlink="">
      <xdr:nvSpPr>
        <xdr:cNvPr id="83" name="AutoShape 12">
          <a:extLst>
            <a:ext uri="{FF2B5EF4-FFF2-40B4-BE49-F238E27FC236}">
              <a16:creationId xmlns:a16="http://schemas.microsoft.com/office/drawing/2014/main" id="{436E0D41-AC6A-9493-612F-B350F2663732}"/>
            </a:ext>
          </a:extLst>
        </xdr:cNvPr>
        <xdr:cNvSpPr>
          <a:spLocks noChangeArrowheads="1"/>
        </xdr:cNvSpPr>
      </xdr:nvSpPr>
      <xdr:spPr bwMode="auto">
        <a:xfrm rot="16200000">
          <a:off x="3033438" y="25465786"/>
          <a:ext cx="446483" cy="1235147"/>
        </a:xfrm>
        <a:prstGeom prst="rightArrow">
          <a:avLst>
            <a:gd name="adj1" fmla="val 50000"/>
            <a:gd name="adj2" fmla="val 52278"/>
          </a:avLst>
        </a:prstGeom>
        <a:solidFill>
          <a:schemeClr val="accent2">
            <a:lumMod val="60000"/>
            <a:lumOff val="40000"/>
          </a:schemeClr>
        </a:solidFill>
        <a:ln w="38100" algn="ctr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rot="10800000" vert="eaVert" wrap="square" tIns="91440" bIns="9144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endParaRPr lang="en-US"/>
        </a:p>
      </xdr:txBody>
    </xdr:sp>
    <xdr:clientData/>
  </xdr:twoCellAnchor>
  <xdr:twoCellAnchor>
    <xdr:from>
      <xdr:col>5</xdr:col>
      <xdr:colOff>1288852</xdr:colOff>
      <xdr:row>43</xdr:row>
      <xdr:rowOff>4076614</xdr:rowOff>
    </xdr:from>
    <xdr:to>
      <xdr:col>6</xdr:col>
      <xdr:colOff>657781</xdr:colOff>
      <xdr:row>43</xdr:row>
      <xdr:rowOff>4537981</xdr:rowOff>
    </xdr:to>
    <xdr:sp macro="" textlink="">
      <xdr:nvSpPr>
        <xdr:cNvPr id="84" name="AutoShape 12">
          <a:extLst>
            <a:ext uri="{FF2B5EF4-FFF2-40B4-BE49-F238E27FC236}">
              <a16:creationId xmlns:a16="http://schemas.microsoft.com/office/drawing/2014/main" id="{6CA9D380-EAE8-453F-83AC-7EB723F25A0D}"/>
            </a:ext>
          </a:extLst>
        </xdr:cNvPr>
        <xdr:cNvSpPr>
          <a:spLocks noChangeArrowheads="1"/>
        </xdr:cNvSpPr>
      </xdr:nvSpPr>
      <xdr:spPr bwMode="auto">
        <a:xfrm rot="16200000">
          <a:off x="7287668" y="25278476"/>
          <a:ext cx="461367" cy="1546072"/>
        </a:xfrm>
        <a:prstGeom prst="rightArrow">
          <a:avLst>
            <a:gd name="adj1" fmla="val 50000"/>
            <a:gd name="adj2" fmla="val 52278"/>
          </a:avLst>
        </a:prstGeom>
        <a:solidFill>
          <a:schemeClr val="accent2">
            <a:lumMod val="20000"/>
            <a:lumOff val="80000"/>
          </a:schemeClr>
        </a:solidFill>
        <a:ln w="38100" algn="ctr">
          <a:solidFill>
            <a:schemeClr val="accent2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rot="10800000" vert="eaVert" wrap="square" tIns="91440" bIns="9144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endParaRPr lang="en-US"/>
        </a:p>
      </xdr:txBody>
    </xdr:sp>
    <xdr:clientData/>
  </xdr:twoCellAnchor>
  <xdr:twoCellAnchor>
    <xdr:from>
      <xdr:col>12</xdr:col>
      <xdr:colOff>354807</xdr:colOff>
      <xdr:row>43</xdr:row>
      <xdr:rowOff>4031964</xdr:rowOff>
    </xdr:from>
    <xdr:to>
      <xdr:col>13</xdr:col>
      <xdr:colOff>676391</xdr:colOff>
      <xdr:row>43</xdr:row>
      <xdr:rowOff>4526669</xdr:rowOff>
    </xdr:to>
    <xdr:sp macro="" textlink="">
      <xdr:nvSpPr>
        <xdr:cNvPr id="86" name="AutoShape 12">
          <a:extLst>
            <a:ext uri="{FF2B5EF4-FFF2-40B4-BE49-F238E27FC236}">
              <a16:creationId xmlns:a16="http://schemas.microsoft.com/office/drawing/2014/main" id="{DFA78D83-7B3B-4032-BEF5-4E4EA36AC1D7}"/>
            </a:ext>
          </a:extLst>
        </xdr:cNvPr>
        <xdr:cNvSpPr>
          <a:spLocks noChangeArrowheads="1"/>
        </xdr:cNvSpPr>
      </xdr:nvSpPr>
      <xdr:spPr bwMode="auto">
        <a:xfrm rot="16200000">
          <a:off x="15222496" y="25236810"/>
          <a:ext cx="494705" cy="1573442"/>
        </a:xfrm>
        <a:prstGeom prst="rightArrow">
          <a:avLst>
            <a:gd name="adj1" fmla="val 50000"/>
            <a:gd name="adj2" fmla="val 52278"/>
          </a:avLst>
        </a:prstGeom>
        <a:solidFill>
          <a:schemeClr val="accent4">
            <a:lumMod val="20000"/>
            <a:lumOff val="80000"/>
          </a:schemeClr>
        </a:solidFill>
        <a:ln w="38100" algn="ctr">
          <a:solidFill>
            <a:schemeClr val="accent4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rot="10800000" vert="eaVert" wrap="square" tIns="91440" bIns="9144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endParaRPr lang="en-US"/>
        </a:p>
      </xdr:txBody>
    </xdr:sp>
    <xdr:clientData/>
  </xdr:twoCellAnchor>
  <xdr:twoCellAnchor>
    <xdr:from>
      <xdr:col>4</xdr:col>
      <xdr:colOff>1170214</xdr:colOff>
      <xdr:row>41</xdr:row>
      <xdr:rowOff>790916</xdr:rowOff>
    </xdr:from>
    <xdr:to>
      <xdr:col>17</xdr:col>
      <xdr:colOff>421820</xdr:colOff>
      <xdr:row>41</xdr:row>
      <xdr:rowOff>1123440</xdr:rowOff>
    </xdr:to>
    <xdr:sp macro="" textlink="$G$80">
      <xdr:nvSpPr>
        <xdr:cNvPr id="22" name="Arrow: Pentagon 364">
          <a:extLst>
            <a:ext uri="{FF2B5EF4-FFF2-40B4-BE49-F238E27FC236}">
              <a16:creationId xmlns:a16="http://schemas.microsoft.com/office/drawing/2014/main" id="{39873E02-5A68-4EE2-9B30-28B5485EE929}"/>
            </a:ext>
          </a:extLst>
        </xdr:cNvPr>
        <xdr:cNvSpPr/>
      </xdr:nvSpPr>
      <xdr:spPr bwMode="auto">
        <a:xfrm>
          <a:off x="5429250" y="16166987"/>
          <a:ext cx="15552963" cy="332524"/>
        </a:xfrm>
        <a:prstGeom prst="homePlate">
          <a:avLst>
            <a:gd name="adj" fmla="val 17919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90488" rIns="0" numCol="1" spcCol="0" rtlCol="0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Bef>
              <a:spcPct val="0"/>
            </a:spcBef>
            <a:spcAft>
              <a:spcPct val="0"/>
            </a:spcAft>
          </a:pPr>
          <a:fld id="{0747A0B7-83F6-44FA-8B18-EC4DC38266B5}" type="TxLink">
            <a:rPr lang="en-US" sz="1800" b="1" i="0" u="none" strike="noStrike">
              <a:solidFill>
                <a:srgbClr val="0070C0"/>
              </a:solidFill>
              <a:latin typeface="Calibri"/>
              <a:ea typeface="Calibri"/>
              <a:cs typeface="Calibri"/>
              <a:sym typeface="+mn-lt"/>
            </a:rPr>
            <a:pPr algn="ctr">
              <a:spcBef>
                <a:spcPct val="0"/>
              </a:spcBef>
              <a:spcAft>
                <a:spcPct val="0"/>
              </a:spcAft>
            </a:pPr>
            <a:t>OAE FACTOR  70,9</a:t>
          </a:fld>
          <a:endParaRPr lang="en-US" sz="1800" b="1">
            <a:solidFill>
              <a:srgbClr val="0070C0"/>
            </a:solidFill>
            <a:sym typeface="+mn-lt"/>
          </a:endParaRPr>
        </a:p>
      </xdr:txBody>
    </xdr:sp>
    <xdr:clientData/>
  </xdr:twoCellAnchor>
  <xdr:twoCellAnchor>
    <xdr:from>
      <xdr:col>5</xdr:col>
      <xdr:colOff>2167790</xdr:colOff>
      <xdr:row>38</xdr:row>
      <xdr:rowOff>1076238</xdr:rowOff>
    </xdr:from>
    <xdr:to>
      <xdr:col>11</xdr:col>
      <xdr:colOff>143302</xdr:colOff>
      <xdr:row>38</xdr:row>
      <xdr:rowOff>1408763</xdr:rowOff>
    </xdr:to>
    <xdr:sp macro="" textlink="$G$79">
      <xdr:nvSpPr>
        <xdr:cNvPr id="8" name="Arrow: Pentagon 364">
          <a:extLst>
            <a:ext uri="{FF2B5EF4-FFF2-40B4-BE49-F238E27FC236}">
              <a16:creationId xmlns:a16="http://schemas.microsoft.com/office/drawing/2014/main" id="{FEB4FD24-BAB6-461A-AA29-D00E23468DA4}"/>
            </a:ext>
          </a:extLst>
        </xdr:cNvPr>
        <xdr:cNvSpPr/>
      </xdr:nvSpPr>
      <xdr:spPr bwMode="auto">
        <a:xfrm>
          <a:off x="7629782" y="9901746"/>
          <a:ext cx="6339653" cy="332525"/>
        </a:xfrm>
        <a:prstGeom prst="homePlate">
          <a:avLst>
            <a:gd name="adj" fmla="val 17919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90488" rIns="0" numCol="1" spcCol="0" rtlCol="0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Bef>
              <a:spcPct val="0"/>
            </a:spcBef>
            <a:spcAft>
              <a:spcPct val="0"/>
            </a:spcAft>
          </a:pPr>
          <a:fld id="{F1A96EB0-AC25-438D-8DA3-60B9541E8151}" type="TxLink">
            <a:rPr lang="en-US" sz="18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+mn-lt"/>
            </a:rPr>
            <a:pPr algn="ctr">
              <a:spcBef>
                <a:spcPct val="0"/>
              </a:spcBef>
              <a:spcAft>
                <a:spcPct val="0"/>
              </a:spcAft>
            </a:pPr>
            <a:t>OEE FACTOR  83,3</a:t>
          </a:fld>
          <a:endParaRPr lang="en-US" sz="1800" b="1">
            <a:solidFill>
              <a:srgbClr val="FF0000"/>
            </a:solidFill>
            <a:sym typeface="+mn-lt"/>
          </a:endParaRPr>
        </a:p>
      </xdr:txBody>
    </xdr:sp>
    <xdr:clientData/>
  </xdr:twoCellAnchor>
  <xdr:twoCellAnchor>
    <xdr:from>
      <xdr:col>3</xdr:col>
      <xdr:colOff>1276095</xdr:colOff>
      <xdr:row>38</xdr:row>
      <xdr:rowOff>675679</xdr:rowOff>
    </xdr:from>
    <xdr:to>
      <xdr:col>11</xdr:col>
      <xdr:colOff>143302</xdr:colOff>
      <xdr:row>38</xdr:row>
      <xdr:rowOff>1008204</xdr:rowOff>
    </xdr:to>
    <xdr:sp macro="" textlink="$G$80">
      <xdr:nvSpPr>
        <xdr:cNvPr id="9" name="Arrow: Pentagon 364">
          <a:extLst>
            <a:ext uri="{FF2B5EF4-FFF2-40B4-BE49-F238E27FC236}">
              <a16:creationId xmlns:a16="http://schemas.microsoft.com/office/drawing/2014/main" id="{3B4DFC13-B6BD-4082-960B-83F3FC716DDF}"/>
            </a:ext>
          </a:extLst>
        </xdr:cNvPr>
        <xdr:cNvSpPr/>
      </xdr:nvSpPr>
      <xdr:spPr bwMode="auto">
        <a:xfrm>
          <a:off x="4237775" y="9501187"/>
          <a:ext cx="9731660" cy="332525"/>
        </a:xfrm>
        <a:prstGeom prst="homePlate">
          <a:avLst>
            <a:gd name="adj" fmla="val 17919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90488" rIns="0" numCol="1" spcCol="0" rtlCol="0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Bef>
              <a:spcPct val="0"/>
            </a:spcBef>
            <a:spcAft>
              <a:spcPct val="0"/>
            </a:spcAft>
          </a:pPr>
          <a:fld id="{0747A0B7-83F6-44FA-8B18-EC4DC38266B5}" type="TxLink">
            <a:rPr lang="en-US" sz="1800" b="1" i="0" u="none" strike="noStrike">
              <a:solidFill>
                <a:srgbClr val="0070C0"/>
              </a:solidFill>
              <a:latin typeface="Calibri"/>
              <a:ea typeface="Calibri"/>
              <a:cs typeface="Calibri"/>
              <a:sym typeface="+mn-lt"/>
            </a:rPr>
            <a:pPr algn="ctr">
              <a:spcBef>
                <a:spcPct val="0"/>
              </a:spcBef>
              <a:spcAft>
                <a:spcPct val="0"/>
              </a:spcAft>
            </a:pPr>
            <a:t>OAE FACTOR  70,9</a:t>
          </a:fld>
          <a:endParaRPr lang="en-US" sz="1800" b="1">
            <a:solidFill>
              <a:srgbClr val="0070C0"/>
            </a:solidFill>
            <a:sym typeface="+mn-lt"/>
          </a:endParaRPr>
        </a:p>
      </xdr:txBody>
    </xdr:sp>
    <xdr:clientData/>
  </xdr:twoCellAnchor>
  <xdr:twoCellAnchor>
    <xdr:from>
      <xdr:col>1</xdr:col>
      <xdr:colOff>74410</xdr:colOff>
      <xdr:row>43</xdr:row>
      <xdr:rowOff>60126</xdr:rowOff>
    </xdr:from>
    <xdr:to>
      <xdr:col>17</xdr:col>
      <xdr:colOff>666749</xdr:colOff>
      <xdr:row>44</xdr:row>
      <xdr:rowOff>3378398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8" name="Wykres 12">
              <a:extLst>
                <a:ext uri="{FF2B5EF4-FFF2-40B4-BE49-F238E27FC236}">
                  <a16:creationId xmlns:a16="http://schemas.microsoft.com/office/drawing/2014/main" id="{D4A8C699-294B-2B59-ADC5-DE5D551318AE}"/>
                </a:ext>
                <a:ext uri="{147F2762-F138-4A5C-976F-8EAC2B608ADB}">
                  <a16:predDERef xmlns:a16="http://schemas.microsoft.com/office/drawing/2014/main" pred="{3B4DFC13-B6BD-4082-960B-83F3FC716D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060" y="21796176"/>
              <a:ext cx="20871064" cy="85093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11</xdr:col>
      <xdr:colOff>258535</xdr:colOff>
      <xdr:row>41</xdr:row>
      <xdr:rowOff>1177868</xdr:rowOff>
    </xdr:from>
    <xdr:to>
      <xdr:col>17</xdr:col>
      <xdr:colOff>408213</xdr:colOff>
      <xdr:row>41</xdr:row>
      <xdr:rowOff>1510393</xdr:rowOff>
    </xdr:to>
    <xdr:sp macro="" textlink="$G$79">
      <xdr:nvSpPr>
        <xdr:cNvPr id="80" name="Arrow: Pentagon 364">
          <a:extLst>
            <a:ext uri="{FF2B5EF4-FFF2-40B4-BE49-F238E27FC236}">
              <a16:creationId xmlns:a16="http://schemas.microsoft.com/office/drawing/2014/main" id="{3C872E05-A90C-42A2-8DDE-8D489EC7C10E}"/>
            </a:ext>
          </a:extLst>
        </xdr:cNvPr>
        <xdr:cNvSpPr/>
      </xdr:nvSpPr>
      <xdr:spPr bwMode="auto">
        <a:xfrm>
          <a:off x="13334999" y="16553939"/>
          <a:ext cx="7633607" cy="332525"/>
        </a:xfrm>
        <a:prstGeom prst="homePlate">
          <a:avLst>
            <a:gd name="adj" fmla="val 17919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90488" rIns="0" numCol="1" spcCol="0" rtlCol="0" anchor="ctr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Bef>
              <a:spcPct val="0"/>
            </a:spcBef>
            <a:spcAft>
              <a:spcPct val="0"/>
            </a:spcAft>
          </a:pPr>
          <a:fld id="{F1A96EB0-AC25-438D-8DA3-60B9541E8151}" type="TxLink">
            <a:rPr lang="en-US" sz="18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+mn-lt"/>
            </a:rPr>
            <a:pPr algn="ctr">
              <a:spcBef>
                <a:spcPct val="0"/>
              </a:spcBef>
              <a:spcAft>
                <a:spcPct val="0"/>
              </a:spcAft>
            </a:pPr>
            <a:t>OEE FACTOR  83,3</a:t>
          </a:fld>
          <a:endParaRPr lang="en-US" sz="1800" b="1">
            <a:solidFill>
              <a:srgbClr val="FF0000"/>
            </a:solidFill>
            <a:sym typeface="+mn-lt"/>
          </a:endParaRPr>
        </a:p>
      </xdr:txBody>
    </xdr:sp>
    <xdr:clientData/>
  </xdr:twoCellAnchor>
  <xdr:twoCellAnchor>
    <xdr:from>
      <xdr:col>2</xdr:col>
      <xdr:colOff>530679</xdr:colOff>
      <xdr:row>43</xdr:row>
      <xdr:rowOff>4772706</xdr:rowOff>
    </xdr:from>
    <xdr:to>
      <xdr:col>3</xdr:col>
      <xdr:colOff>1197429</xdr:colOff>
      <xdr:row>44</xdr:row>
      <xdr:rowOff>1621704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F9F3F39E-086C-47C7-AACE-2B1E3306C7B6}"/>
            </a:ext>
          </a:extLst>
        </xdr:cNvPr>
        <xdr:cNvSpPr>
          <a:spLocks noChangeArrowheads="1"/>
        </xdr:cNvSpPr>
      </xdr:nvSpPr>
      <xdr:spPr bwMode="gray">
        <a:xfrm>
          <a:off x="2517322" y="26516920"/>
          <a:ext cx="1632857" cy="204692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3175" algn="ctr">
          <a:solidFill>
            <a:schemeClr val="tx1"/>
          </a:solidFill>
          <a:miter lim="800000"/>
          <a:headEnd/>
          <a:tailEnd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txBody>
        <a:bodyPr wrap="square" lIns="72000" tIns="72000" rIns="72000" bIns="72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6000"/>
            </a:lnSpc>
            <a:defRPr/>
          </a:pPr>
          <a:r>
            <a:rPr lang="en-US" sz="20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LOSS OF QUALITY</a:t>
          </a:r>
          <a:endParaRPr lang="pl-PL" sz="20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  <a:p>
          <a:pPr algn="ctr">
            <a:lnSpc>
              <a:spcPct val="106000"/>
            </a:lnSpc>
            <a:defRPr/>
          </a:pP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(</a:t>
          </a:r>
          <a:r>
            <a:rPr lang="en-US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DEFECTIVE OR REJECTED PRODUCTS</a:t>
          </a: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)</a:t>
          </a:r>
          <a:endParaRPr lang="en-US" sz="16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40822</xdr:colOff>
      <xdr:row>43</xdr:row>
      <xdr:rowOff>4754360</xdr:rowOff>
    </xdr:from>
    <xdr:to>
      <xdr:col>9</xdr:col>
      <xdr:colOff>122464</xdr:colOff>
      <xdr:row>44</xdr:row>
      <xdr:rowOff>1620151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5365C670-8991-468B-9ED8-143C7CE9BA69}"/>
            </a:ext>
            <a:ext uri="{147F2762-F138-4A5C-976F-8EAC2B608ADB}">
              <a16:predDERef xmlns:a16="http://schemas.microsoft.com/office/drawing/2014/main" pred="{EA2D9466-B851-ABAD-3CE6-0ADE2FFD374A}"/>
            </a:ext>
          </a:extLst>
        </xdr:cNvPr>
        <xdr:cNvSpPr>
          <a:spLocks noChangeArrowheads="1"/>
        </xdr:cNvSpPr>
      </xdr:nvSpPr>
      <xdr:spPr bwMode="gray">
        <a:xfrm>
          <a:off x="4299858" y="26498574"/>
          <a:ext cx="6599463" cy="20637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 algn="ctr">
          <a:solidFill>
            <a:schemeClr val="tx1"/>
          </a:solidFill>
          <a:miter lim="800000"/>
          <a:headEnd/>
          <a:tailEnd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txBody>
        <a:bodyPr wrap="square" lIns="72000" tIns="72000" rIns="72000" bIns="72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6000"/>
            </a:lnSpc>
            <a:defRPr/>
          </a:pPr>
          <a:r>
            <a:rPr lang="en-US" sz="20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LOSS OF PERFORMANCE</a:t>
          </a:r>
          <a:endParaRPr lang="pl-PL" sz="20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  <a:p>
          <a:pPr algn="ctr">
            <a:lnSpc>
              <a:spcPct val="106000"/>
            </a:lnSpc>
            <a:defRPr/>
          </a:pPr>
          <a:r>
            <a:rPr lang="pl-PL" sz="20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(</a:t>
          </a:r>
          <a:r>
            <a:rPr lang="en-US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LACK OF PRODUCT</a:t>
          </a: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, LINE SPEED REDUCTION, SHUT DOWN, DAILY CLEANING)</a:t>
          </a:r>
          <a:endParaRPr lang="en-US" sz="20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272144</xdr:colOff>
      <xdr:row>43</xdr:row>
      <xdr:rowOff>4721130</xdr:rowOff>
    </xdr:from>
    <xdr:to>
      <xdr:col>17</xdr:col>
      <xdr:colOff>489858</xdr:colOff>
      <xdr:row>44</xdr:row>
      <xdr:rowOff>1630953</xdr:rowOff>
    </xdr:to>
    <xdr:sp macro="" textlink="">
      <xdr:nvSpPr>
        <xdr:cNvPr id="23" name="Rectangle 10">
          <a:extLst>
            <a:ext uri="{FF2B5EF4-FFF2-40B4-BE49-F238E27FC236}">
              <a16:creationId xmlns:a16="http://schemas.microsoft.com/office/drawing/2014/main" id="{9F12B78D-8C77-4D94-8B8B-619D7DAC4B8E}"/>
            </a:ext>
          </a:extLst>
        </xdr:cNvPr>
        <xdr:cNvSpPr>
          <a:spLocks noChangeArrowheads="1"/>
        </xdr:cNvSpPr>
      </xdr:nvSpPr>
      <xdr:spPr bwMode="gray">
        <a:xfrm>
          <a:off x="11049001" y="26465344"/>
          <a:ext cx="10001250" cy="21077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 algn="ctr">
          <a:solidFill>
            <a:schemeClr val="tx1"/>
          </a:solidFill>
          <a:miter lim="800000"/>
          <a:headEnd/>
          <a:tailEnd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txBody>
        <a:bodyPr wrap="square" lIns="72000" tIns="72000" rIns="72000" bIns="72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06000"/>
            </a:lnSpc>
            <a:defRPr/>
          </a:pPr>
          <a:r>
            <a:rPr lang="en-US" sz="20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LOSS OF AVAILABILITY</a:t>
          </a:r>
          <a:endParaRPr lang="pl-PL" sz="20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  <a:p>
          <a:pPr algn="ctr">
            <a:lnSpc>
              <a:spcPct val="106000"/>
            </a:lnSpc>
            <a:defRPr/>
          </a:pP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(</a:t>
          </a:r>
          <a:r>
            <a:rPr lang="en-US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CHANGEOVERS</a:t>
          </a:r>
          <a:r>
            <a:rPr lang="pl-PL" sz="1600" b="1">
              <a:ln>
                <a:solidFill>
                  <a:schemeClr val="tx1"/>
                </a:solidFill>
              </a:ln>
              <a:solidFill>
                <a:schemeClr val="accent2">
                  <a:lumMod val="50000"/>
                </a:schemeClr>
              </a:solidFill>
            </a:rPr>
            <a:t>, STARTUP, WEEKLY MAINTENANCE, TECHNICAL DOWNTIME, WEEKLY CLEANING, CLEANING OVENS)</a:t>
          </a:r>
          <a:endParaRPr lang="en-US" sz="1600" b="1">
            <a:ln>
              <a:solidFill>
                <a:schemeClr val="tx1"/>
              </a:solidFill>
            </a:ln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788112</xdr:colOff>
      <xdr:row>43</xdr:row>
      <xdr:rowOff>4247725</xdr:rowOff>
    </xdr:from>
    <xdr:to>
      <xdr:col>3</xdr:col>
      <xdr:colOff>952258</xdr:colOff>
      <xdr:row>43</xdr:row>
      <xdr:rowOff>4694208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C91AD21F-0C14-48A6-8FC9-E55669A91191}"/>
            </a:ext>
          </a:extLst>
        </xdr:cNvPr>
        <xdr:cNvSpPr>
          <a:spLocks noChangeArrowheads="1"/>
        </xdr:cNvSpPr>
      </xdr:nvSpPr>
      <xdr:spPr bwMode="auto">
        <a:xfrm rot="16200000">
          <a:off x="3116640" y="25650054"/>
          <a:ext cx="446483" cy="1130253"/>
        </a:xfrm>
        <a:prstGeom prst="rightArrow">
          <a:avLst>
            <a:gd name="adj1" fmla="val 50000"/>
            <a:gd name="adj2" fmla="val 52278"/>
          </a:avLst>
        </a:prstGeom>
        <a:solidFill>
          <a:schemeClr val="accent2">
            <a:lumMod val="60000"/>
            <a:lumOff val="40000"/>
          </a:schemeClr>
        </a:solidFill>
        <a:ln w="38100" algn="ctr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rot="10800000" vert="eaVert" wrap="square" tIns="91440" bIns="9144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endParaRPr lang="en-US"/>
        </a:p>
      </xdr:txBody>
    </xdr:sp>
    <xdr:clientData/>
  </xdr:twoCellAnchor>
  <xdr:twoCellAnchor>
    <xdr:from>
      <xdr:col>5</xdr:col>
      <xdr:colOff>1478929</xdr:colOff>
      <xdr:row>43</xdr:row>
      <xdr:rowOff>4208435</xdr:rowOff>
    </xdr:from>
    <xdr:to>
      <xdr:col>6</xdr:col>
      <xdr:colOff>716559</xdr:colOff>
      <xdr:row>43</xdr:row>
      <xdr:rowOff>4669802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4760EF4-D1F4-4E85-8D31-2D01A7641070}"/>
            </a:ext>
          </a:extLst>
        </xdr:cNvPr>
        <xdr:cNvSpPr>
          <a:spLocks noChangeArrowheads="1"/>
        </xdr:cNvSpPr>
      </xdr:nvSpPr>
      <xdr:spPr bwMode="auto">
        <a:xfrm rot="16200000">
          <a:off x="7412096" y="25475946"/>
          <a:ext cx="461367" cy="1414773"/>
        </a:xfrm>
        <a:prstGeom prst="rightArrow">
          <a:avLst>
            <a:gd name="adj1" fmla="val 50000"/>
            <a:gd name="adj2" fmla="val 52278"/>
          </a:avLst>
        </a:prstGeom>
        <a:solidFill>
          <a:schemeClr val="accent2">
            <a:lumMod val="20000"/>
            <a:lumOff val="80000"/>
          </a:schemeClr>
        </a:solidFill>
        <a:ln w="38100" algn="ctr">
          <a:solidFill>
            <a:schemeClr val="accent2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rot="10800000" vert="eaVert" wrap="square" tIns="91440" bIns="9144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endParaRPr lang="en-US"/>
        </a:p>
      </xdr:txBody>
    </xdr:sp>
    <xdr:clientData/>
  </xdr:twoCellAnchor>
  <xdr:twoCellAnchor>
    <xdr:from>
      <xdr:col>12</xdr:col>
      <xdr:colOff>748991</xdr:colOff>
      <xdr:row>43</xdr:row>
      <xdr:rowOff>4122964</xdr:rowOff>
    </xdr:from>
    <xdr:to>
      <xdr:col>13</xdr:col>
      <xdr:colOff>936952</xdr:colOff>
      <xdr:row>43</xdr:row>
      <xdr:rowOff>4617669</xdr:rowOff>
    </xdr:to>
    <xdr:sp macro="" textlink="">
      <xdr:nvSpPr>
        <xdr:cNvPr id="26" name="AutoShape 12">
          <a:extLst>
            <a:ext uri="{FF2B5EF4-FFF2-40B4-BE49-F238E27FC236}">
              <a16:creationId xmlns:a16="http://schemas.microsoft.com/office/drawing/2014/main" id="{F3904B29-A0E1-4269-A6DC-78A40A6F7BF4}"/>
            </a:ext>
          </a:extLst>
        </xdr:cNvPr>
        <xdr:cNvSpPr>
          <a:spLocks noChangeArrowheads="1"/>
        </xdr:cNvSpPr>
      </xdr:nvSpPr>
      <xdr:spPr bwMode="auto">
        <a:xfrm rot="16200000">
          <a:off x="15549869" y="25394621"/>
          <a:ext cx="494705" cy="1439819"/>
        </a:xfrm>
        <a:prstGeom prst="rightArrow">
          <a:avLst>
            <a:gd name="adj1" fmla="val 50000"/>
            <a:gd name="adj2" fmla="val 52278"/>
          </a:avLst>
        </a:prstGeom>
        <a:solidFill>
          <a:schemeClr val="accent4">
            <a:lumMod val="20000"/>
            <a:lumOff val="80000"/>
          </a:schemeClr>
        </a:solidFill>
        <a:ln w="38100" algn="ctr">
          <a:solidFill>
            <a:schemeClr val="accent4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rot="10800000" vert="eaVert" wrap="square" tIns="91440" bIns="9144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7</xdr:row>
      <xdr:rowOff>19051</xdr:rowOff>
    </xdr:from>
    <xdr:to>
      <xdr:col>22</xdr:col>
      <xdr:colOff>561975</xdr:colOff>
      <xdr:row>35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C7F71E-E127-0813-3983-641B3DDEE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B62F-9D2D-4FD3-8363-EDE1655F9B67}">
  <dimension ref="A1:AD102"/>
  <sheetViews>
    <sheetView zoomScale="80" zoomScaleNormal="80" workbookViewId="0">
      <pane ySplit="2" topLeftCell="A65" activePane="bottomLeft" state="frozen"/>
      <selection pane="bottomLeft" activeCell="Q96" sqref="Q96"/>
    </sheetView>
  </sheetViews>
  <sheetFormatPr defaultRowHeight="15" x14ac:dyDescent="0.25"/>
  <cols>
    <col min="1" max="1" width="12.28515625" customWidth="1"/>
    <col min="2" max="2" width="3.5703125" style="2" customWidth="1"/>
    <col min="3" max="3" width="8" style="2" customWidth="1"/>
    <col min="4" max="4" width="8.140625" style="2" customWidth="1"/>
    <col min="5" max="5" width="10.5703125" style="2" customWidth="1"/>
    <col min="6" max="6" width="14.85546875" style="2" customWidth="1"/>
    <col min="7" max="9" width="14.5703125" style="2" customWidth="1"/>
    <col min="10" max="10" width="3.140625" customWidth="1"/>
    <col min="11" max="11" width="13.140625" customWidth="1"/>
    <col min="12" max="12" width="10.5703125" customWidth="1"/>
    <col min="13" max="13" width="14.5703125" customWidth="1"/>
    <col min="14" max="14" width="11.7109375" customWidth="1"/>
    <col min="15" max="15" width="12.7109375" customWidth="1"/>
    <col min="16" max="16" width="11.28515625" customWidth="1"/>
    <col min="17" max="17" width="10" customWidth="1"/>
    <col min="18" max="18" width="8.42578125" customWidth="1"/>
    <col min="19" max="19" width="13.85546875" customWidth="1"/>
    <col min="20" max="21" width="11.7109375" customWidth="1"/>
    <col min="22" max="22" width="12" customWidth="1"/>
    <col min="23" max="23" width="8.42578125" customWidth="1"/>
    <col min="24" max="24" width="16.5703125" customWidth="1"/>
    <col min="25" max="25" width="12.140625" customWidth="1"/>
    <col min="26" max="26" width="9" customWidth="1"/>
    <col min="27" max="27" width="9.5703125" customWidth="1"/>
    <col min="28" max="28" width="9.85546875" customWidth="1"/>
    <col min="29" max="29" width="14.7109375" customWidth="1"/>
    <col min="30" max="30" width="85.5703125" customWidth="1"/>
  </cols>
  <sheetData>
    <row r="1" spans="1:30" x14ac:dyDescent="0.25">
      <c r="B1" s="330" t="s">
        <v>0</v>
      </c>
      <c r="C1" s="330"/>
      <c r="D1" s="330"/>
      <c r="E1" s="330"/>
      <c r="F1" s="330"/>
      <c r="G1" s="330"/>
      <c r="H1" s="330"/>
      <c r="I1" s="330"/>
      <c r="K1" s="144" t="s">
        <v>1</v>
      </c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6"/>
      <c r="AA1" s="15"/>
      <c r="AB1" s="15"/>
      <c r="AC1" s="2"/>
      <c r="AD1" s="2"/>
    </row>
    <row r="2" spans="1:30" ht="45" x14ac:dyDescent="0.25">
      <c r="C2" s="20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20" t="s">
        <v>8</v>
      </c>
      <c r="K2" s="64" t="s">
        <v>9</v>
      </c>
      <c r="L2" s="50" t="s">
        <v>8</v>
      </c>
      <c r="M2" s="75" t="s">
        <v>10</v>
      </c>
      <c r="N2" s="75" t="s">
        <v>11</v>
      </c>
      <c r="O2" s="75" t="s">
        <v>12</v>
      </c>
      <c r="P2" s="75" t="s">
        <v>13</v>
      </c>
      <c r="Q2" s="46" t="s">
        <v>14</v>
      </c>
      <c r="R2" s="47" t="s">
        <v>15</v>
      </c>
      <c r="S2" s="46" t="s">
        <v>16</v>
      </c>
      <c r="T2" s="46" t="s">
        <v>17</v>
      </c>
      <c r="U2" s="46" t="s">
        <v>18</v>
      </c>
      <c r="V2" s="46" t="s">
        <v>19</v>
      </c>
      <c r="W2" s="70" t="s">
        <v>20</v>
      </c>
      <c r="X2" s="71" t="s">
        <v>21</v>
      </c>
      <c r="Y2" s="72" t="s">
        <v>22</v>
      </c>
      <c r="Z2" s="43" t="s">
        <v>23</v>
      </c>
      <c r="AA2" s="13" t="s">
        <v>24</v>
      </c>
      <c r="AB2" s="13" t="s">
        <v>25</v>
      </c>
      <c r="AC2" s="14" t="s">
        <v>26</v>
      </c>
      <c r="AD2" s="16" t="s">
        <v>27</v>
      </c>
    </row>
    <row r="3" spans="1:30" ht="15" customHeight="1" x14ac:dyDescent="0.25">
      <c r="A3" s="26"/>
      <c r="B3" s="331" t="s">
        <v>28</v>
      </c>
      <c r="C3" s="20" t="s">
        <v>29</v>
      </c>
      <c r="D3" s="20"/>
      <c r="E3" s="20">
        <v>663</v>
      </c>
      <c r="F3" s="10">
        <f>E3/240</f>
        <v>2.7625000000000002</v>
      </c>
      <c r="G3" s="56">
        <v>2.9140000000000001</v>
      </c>
      <c r="H3" s="55">
        <v>227.76</v>
      </c>
      <c r="I3" s="20"/>
      <c r="J3" t="s">
        <v>30</v>
      </c>
      <c r="K3" s="98">
        <f>E3/271.4</f>
        <v>2.4428887251289613</v>
      </c>
      <c r="L3" s="23">
        <f>(E3*1.91/100)/271.4</f>
        <v>4.6659174649963157E-2</v>
      </c>
      <c r="M3" s="97">
        <f>((44/4*0.0102*480*K3)/100)/271.4</f>
        <v>4.8476129395926808E-3</v>
      </c>
      <c r="N3" s="99"/>
      <c r="O3" s="99">
        <f>Z3-(K3+L3+M3+N3+P3+Q3+U3+R3+S3+W3+V3+Y3+T3+X3)</f>
        <v>0.50560448728148311</v>
      </c>
      <c r="P3" s="99"/>
      <c r="Q3" s="53">
        <v>0</v>
      </c>
      <c r="R3" s="53"/>
      <c r="S3" s="53">
        <v>0</v>
      </c>
      <c r="T3" s="22"/>
      <c r="U3" s="53">
        <v>0</v>
      </c>
      <c r="V3" s="53"/>
      <c r="W3" s="100"/>
      <c r="X3" s="101"/>
      <c r="Y3" s="100"/>
      <c r="Z3" s="44">
        <v>3</v>
      </c>
      <c r="AA3" s="37"/>
      <c r="AB3" s="37"/>
      <c r="AC3" s="38"/>
      <c r="AD3" s="17"/>
    </row>
    <row r="4" spans="1:30" ht="17.25" customHeight="1" x14ac:dyDescent="0.3">
      <c r="A4" s="28"/>
      <c r="B4" s="332"/>
      <c r="C4" s="20" t="s">
        <v>31</v>
      </c>
      <c r="D4" s="20"/>
      <c r="E4" s="20">
        <v>4468</v>
      </c>
      <c r="F4" s="10">
        <f>E4/240</f>
        <v>18.616666666666667</v>
      </c>
      <c r="G4" s="55">
        <v>17.712</v>
      </c>
      <c r="H4" s="55">
        <v>238.79</v>
      </c>
      <c r="I4" s="20"/>
      <c r="J4" t="s">
        <v>30</v>
      </c>
      <c r="K4" s="98">
        <f t="shared" ref="K4:K25" si="0">E4/271.4</f>
        <v>16.462785556374357</v>
      </c>
      <c r="L4" s="23">
        <f t="shared" ref="L4:L14" si="1">(E4*1.91/100)/271.4</f>
        <v>0.31443920412675019</v>
      </c>
      <c r="M4" s="97">
        <f t="shared" ref="M4:M22" si="2">((44/4*0.0102*480*K4)/100)/271.4</f>
        <v>3.2668378000150974E-2</v>
      </c>
      <c r="N4" s="99"/>
      <c r="O4" s="99">
        <f t="shared" ref="O4:O8" si="3">Z4-(K4+L4+M4+N4+P4+Q4+U4+R4+S4+W4+V4+Y4+T4+X4)</f>
        <v>2.6901068614987445</v>
      </c>
      <c r="P4" s="99"/>
      <c r="Q4" s="53">
        <v>0</v>
      </c>
      <c r="R4" s="53"/>
      <c r="S4" s="53">
        <v>0</v>
      </c>
      <c r="T4" s="22"/>
      <c r="U4" s="53">
        <v>1.5</v>
      </c>
      <c r="V4" s="53"/>
      <c r="W4" s="100"/>
      <c r="X4" s="101"/>
      <c r="Y4" s="100"/>
      <c r="Z4" s="44">
        <v>21</v>
      </c>
      <c r="AA4" s="34"/>
      <c r="AB4" s="34"/>
      <c r="AC4" s="39"/>
      <c r="AD4" s="17"/>
    </row>
    <row r="5" spans="1:30" ht="17.25" customHeight="1" x14ac:dyDescent="0.3">
      <c r="A5" s="28"/>
      <c r="B5" s="332"/>
      <c r="C5" s="20" t="s">
        <v>32</v>
      </c>
      <c r="D5" s="20"/>
      <c r="E5" s="20">
        <v>4628</v>
      </c>
      <c r="F5" s="10">
        <f>E5/240</f>
        <v>19.283333333333335</v>
      </c>
      <c r="G5" s="55">
        <v>19.285</v>
      </c>
      <c r="H5" s="55">
        <v>240.02</v>
      </c>
      <c r="I5" s="20"/>
      <c r="J5" t="s">
        <v>30</v>
      </c>
      <c r="K5" s="98">
        <f t="shared" si="0"/>
        <v>17.052321296978629</v>
      </c>
      <c r="L5" s="23">
        <f>(E5*1.91/100)/271.4</f>
        <v>0.32569933677229179</v>
      </c>
      <c r="M5" s="97">
        <f t="shared" si="2"/>
        <v>3.3838239343039096E-2</v>
      </c>
      <c r="N5" s="99"/>
      <c r="O5" s="99">
        <f t="shared" si="3"/>
        <v>2.0881411269060379</v>
      </c>
      <c r="P5" s="99"/>
      <c r="Q5" s="53">
        <v>0</v>
      </c>
      <c r="R5" s="53"/>
      <c r="S5" s="53">
        <v>0</v>
      </c>
      <c r="T5" s="22"/>
      <c r="U5" s="53">
        <v>1.5</v>
      </c>
      <c r="V5" s="53"/>
      <c r="W5" s="100"/>
      <c r="X5" s="101"/>
      <c r="Y5" s="100"/>
      <c r="Z5" s="44">
        <v>21</v>
      </c>
      <c r="AA5" s="34"/>
      <c r="AB5" s="34"/>
      <c r="AC5" s="39"/>
      <c r="AD5" s="17"/>
    </row>
    <row r="6" spans="1:30" ht="17.25" customHeight="1" x14ac:dyDescent="0.3">
      <c r="A6" s="28"/>
      <c r="B6" s="332"/>
      <c r="C6" s="20" t="s">
        <v>33</v>
      </c>
      <c r="D6" s="20"/>
      <c r="E6" s="20">
        <v>4520</v>
      </c>
      <c r="F6" s="10">
        <f t="shared" ref="F6:F80" si="4">E6/240</f>
        <v>18.833333333333332</v>
      </c>
      <c r="G6" s="55">
        <v>18.788</v>
      </c>
      <c r="H6" s="55">
        <v>240.602</v>
      </c>
      <c r="I6" s="20"/>
      <c r="J6" t="s">
        <v>30</v>
      </c>
      <c r="K6" s="98">
        <f t="shared" si="0"/>
        <v>16.654384672070744</v>
      </c>
      <c r="L6" s="23">
        <f t="shared" si="1"/>
        <v>0.31809874723655124</v>
      </c>
      <c r="M6" s="97">
        <f t="shared" si="2"/>
        <v>3.3048582936589611E-2</v>
      </c>
      <c r="N6" s="99"/>
      <c r="O6" s="99">
        <f t="shared" si="3"/>
        <v>2.4944679977561144</v>
      </c>
      <c r="P6" s="99"/>
      <c r="Q6" s="53">
        <v>0</v>
      </c>
      <c r="R6" s="53"/>
      <c r="S6" s="53">
        <v>0</v>
      </c>
      <c r="T6" s="22"/>
      <c r="U6" s="53">
        <v>1.5</v>
      </c>
      <c r="V6" s="53"/>
      <c r="W6" s="100"/>
      <c r="X6" s="101"/>
      <c r="Y6" s="100"/>
      <c r="Z6" s="44">
        <v>21</v>
      </c>
      <c r="AA6" s="34"/>
      <c r="AB6" s="34"/>
      <c r="AC6" s="39"/>
      <c r="AD6" s="17"/>
    </row>
    <row r="7" spans="1:30" ht="17.25" customHeight="1" x14ac:dyDescent="0.3">
      <c r="A7" s="28"/>
      <c r="B7" s="332"/>
      <c r="C7" s="20" t="s">
        <v>34</v>
      </c>
      <c r="D7" s="20"/>
      <c r="E7" s="20">
        <v>4543</v>
      </c>
      <c r="F7" s="10">
        <f t="shared" si="4"/>
        <v>18.929166666666667</v>
      </c>
      <c r="G7" s="55">
        <v>18.931999999999999</v>
      </c>
      <c r="H7" s="55">
        <v>240</v>
      </c>
      <c r="I7" s="20"/>
      <c r="J7" t="s">
        <v>30</v>
      </c>
      <c r="K7" s="98">
        <f t="shared" si="0"/>
        <v>16.739130434782609</v>
      </c>
      <c r="L7" s="23">
        <f t="shared" si="1"/>
        <v>0.31971739130434784</v>
      </c>
      <c r="M7" s="97">
        <f t="shared" si="2"/>
        <v>3.3216750504629786E-2</v>
      </c>
      <c r="N7" s="99"/>
      <c r="O7" s="99">
        <f t="shared" si="3"/>
        <v>2.4079354234084143</v>
      </c>
      <c r="P7" s="99"/>
      <c r="Q7" s="53">
        <v>0</v>
      </c>
      <c r="R7" s="53"/>
      <c r="S7" s="53">
        <v>0</v>
      </c>
      <c r="T7" s="22"/>
      <c r="U7" s="53"/>
      <c r="V7" s="53">
        <v>1.5</v>
      </c>
      <c r="W7" s="100"/>
      <c r="X7" s="101"/>
      <c r="Y7" s="100"/>
      <c r="Z7" s="44">
        <v>21</v>
      </c>
      <c r="AA7" s="34"/>
      <c r="AB7" s="34"/>
      <c r="AC7" s="39"/>
      <c r="AD7" s="17" t="s">
        <v>35</v>
      </c>
    </row>
    <row r="8" spans="1:30" ht="17.25" customHeight="1" x14ac:dyDescent="0.3">
      <c r="A8" s="28"/>
      <c r="B8" s="332"/>
      <c r="C8" s="20" t="s">
        <v>36</v>
      </c>
      <c r="D8" s="20"/>
      <c r="E8" s="20">
        <v>35</v>
      </c>
      <c r="F8" s="10">
        <f t="shared" si="4"/>
        <v>0.14583333333333334</v>
      </c>
      <c r="G8" s="55"/>
      <c r="H8" s="55"/>
      <c r="I8" s="20"/>
      <c r="J8" t="s">
        <v>30</v>
      </c>
      <c r="K8" s="98">
        <f t="shared" si="0"/>
        <v>0.12896094325718499</v>
      </c>
      <c r="L8" s="23">
        <f t="shared" si="1"/>
        <v>2.4631540162122329E-3</v>
      </c>
      <c r="M8" s="97">
        <f t="shared" si="2"/>
        <v>2.5590716875677802E-4</v>
      </c>
      <c r="N8" s="99"/>
      <c r="O8" s="99">
        <f t="shared" si="3"/>
        <v>-0.131680004442154</v>
      </c>
      <c r="P8" s="99"/>
      <c r="Q8" s="53">
        <v>0</v>
      </c>
      <c r="R8" s="53"/>
      <c r="S8" s="53">
        <v>0</v>
      </c>
      <c r="T8" s="22"/>
      <c r="U8" s="53"/>
      <c r="V8" s="53">
        <v>3</v>
      </c>
      <c r="W8" s="100"/>
      <c r="X8" s="101"/>
      <c r="Y8" s="100"/>
      <c r="Z8" s="44">
        <v>3</v>
      </c>
      <c r="AA8" s="34"/>
      <c r="AB8" s="34"/>
      <c r="AC8" s="39"/>
      <c r="AD8" s="17" t="s">
        <v>35</v>
      </c>
    </row>
    <row r="9" spans="1:30" s="8" customFormat="1" ht="15.75" customHeight="1" x14ac:dyDescent="0.3">
      <c r="A9" s="79">
        <v>45536</v>
      </c>
      <c r="B9" s="332"/>
      <c r="C9" s="321" t="s">
        <v>37</v>
      </c>
      <c r="D9" s="322"/>
      <c r="E9" s="322"/>
      <c r="F9" s="323"/>
      <c r="G9" s="327" t="s">
        <v>38</v>
      </c>
      <c r="H9" s="328"/>
      <c r="I9" s="329"/>
      <c r="J9" s="65"/>
      <c r="K9" s="66">
        <f>SUM(K3:K8)</f>
        <v>69.480471628592483</v>
      </c>
      <c r="L9" s="66">
        <f t="shared" ref="L9:Y9" si="5">SUM(L3:L8)</f>
        <v>1.3270770081061165</v>
      </c>
      <c r="M9" s="66">
        <f t="shared" si="5"/>
        <v>0.13787547089275892</v>
      </c>
      <c r="N9" s="66">
        <f t="shared" si="5"/>
        <v>0</v>
      </c>
      <c r="O9" s="66">
        <f t="shared" si="5"/>
        <v>10.054575892408639</v>
      </c>
      <c r="P9" s="66">
        <f t="shared" si="5"/>
        <v>0</v>
      </c>
      <c r="Q9" s="66">
        <f t="shared" si="5"/>
        <v>0</v>
      </c>
      <c r="R9" s="66">
        <f t="shared" si="5"/>
        <v>0</v>
      </c>
      <c r="S9" s="66">
        <f t="shared" si="5"/>
        <v>0</v>
      </c>
      <c r="T9" s="66">
        <f>SUM(T3:T8)</f>
        <v>0</v>
      </c>
      <c r="U9" s="66">
        <f t="shared" si="5"/>
        <v>4.5</v>
      </c>
      <c r="V9" s="66">
        <f t="shared" si="5"/>
        <v>4.5</v>
      </c>
      <c r="W9" s="66">
        <f t="shared" si="5"/>
        <v>0</v>
      </c>
      <c r="X9" s="66">
        <f t="shared" si="5"/>
        <v>0</v>
      </c>
      <c r="Y9" s="66">
        <f t="shared" si="5"/>
        <v>0</v>
      </c>
      <c r="Z9" s="66">
        <f t="shared" ref="Z9" si="6">SUM(Z3:Z8)</f>
        <v>90</v>
      </c>
      <c r="AA9" s="67">
        <f>(K9/(K9+L9+M9+N9+O9+P9))*100</f>
        <v>85.778360035299357</v>
      </c>
      <c r="AB9" s="67">
        <f>(K9/(K9+L9+M9+N9+O9+P9+U9+Q9+R9+V9+S9+T9))*100</f>
        <v>77.200524031769419</v>
      </c>
      <c r="AC9" s="68" t="s">
        <v>28</v>
      </c>
      <c r="AD9" s="18"/>
    </row>
    <row r="10" spans="1:30" s="8" customFormat="1" ht="15.75" customHeight="1" x14ac:dyDescent="0.3">
      <c r="A10" s="80" t="s">
        <v>39</v>
      </c>
      <c r="B10" s="333"/>
      <c r="C10" s="324"/>
      <c r="D10" s="325"/>
      <c r="E10" s="325"/>
      <c r="F10" s="326"/>
      <c r="G10" s="318" t="s">
        <v>40</v>
      </c>
      <c r="H10" s="319"/>
      <c r="I10" s="320"/>
      <c r="J10" s="76"/>
      <c r="K10" s="77">
        <f t="shared" ref="K10:Y10" si="7">(K9/$Z9)*100</f>
        <v>77.200524031769419</v>
      </c>
      <c r="L10" s="77">
        <f t="shared" si="7"/>
        <v>1.4745300090067961</v>
      </c>
      <c r="M10" s="77">
        <f t="shared" si="7"/>
        <v>0.15319496765862103</v>
      </c>
      <c r="N10" s="77">
        <f t="shared" si="7"/>
        <v>0</v>
      </c>
      <c r="O10" s="77">
        <f t="shared" si="7"/>
        <v>11.171750991565155</v>
      </c>
      <c r="P10" s="77">
        <f t="shared" si="7"/>
        <v>0</v>
      </c>
      <c r="Q10" s="77">
        <f t="shared" si="7"/>
        <v>0</v>
      </c>
      <c r="R10" s="77">
        <f t="shared" si="7"/>
        <v>0</v>
      </c>
      <c r="S10" s="77">
        <f t="shared" si="7"/>
        <v>0</v>
      </c>
      <c r="T10" s="77">
        <f t="shared" si="7"/>
        <v>0</v>
      </c>
      <c r="U10" s="77">
        <f t="shared" si="7"/>
        <v>5</v>
      </c>
      <c r="V10" s="77">
        <f t="shared" si="7"/>
        <v>5</v>
      </c>
      <c r="W10" s="77">
        <f t="shared" si="7"/>
        <v>0</v>
      </c>
      <c r="X10" s="77">
        <f t="shared" si="7"/>
        <v>0</v>
      </c>
      <c r="Y10" s="77">
        <f t="shared" si="7"/>
        <v>0</v>
      </c>
      <c r="Z10" s="77">
        <f>SUM(K10:Y10)</f>
        <v>100</v>
      </c>
      <c r="AA10" s="81" t="s">
        <v>41</v>
      </c>
      <c r="AB10" s="58"/>
      <c r="AC10" s="59"/>
      <c r="AD10" s="18"/>
    </row>
    <row r="11" spans="1:30" ht="15" customHeight="1" x14ac:dyDescent="0.25">
      <c r="A11" s="1"/>
      <c r="B11" s="306" t="s">
        <v>42</v>
      </c>
      <c r="C11" s="20" t="s">
        <v>36</v>
      </c>
      <c r="D11" s="20"/>
      <c r="E11" s="20">
        <v>3590</v>
      </c>
      <c r="F11" s="10">
        <f t="shared" si="4"/>
        <v>14.958333333333334</v>
      </c>
      <c r="G11" s="55">
        <v>14.938000000000001</v>
      </c>
      <c r="H11" s="55">
        <v>240.03809999999999</v>
      </c>
      <c r="I11" s="20"/>
      <c r="J11" t="s">
        <v>30</v>
      </c>
      <c r="K11" s="98">
        <f t="shared" si="0"/>
        <v>13.227708179808403</v>
      </c>
      <c r="L11" s="23">
        <f t="shared" si="1"/>
        <v>0.2526492262343405</v>
      </c>
      <c r="M11" s="97">
        <f t="shared" si="2"/>
        <v>2.6248763881052371E-2</v>
      </c>
      <c r="N11" s="99"/>
      <c r="O11" s="99">
        <f>Z11-(K11+L11+M11+N11+P11+Q11+U11+R11+S11+W11+V11+Y11+T11+X11)</f>
        <v>1.493393830076208</v>
      </c>
      <c r="P11" s="99"/>
      <c r="Q11" s="53">
        <v>0</v>
      </c>
      <c r="R11" s="53">
        <v>0.5</v>
      </c>
      <c r="S11" s="53">
        <v>0</v>
      </c>
      <c r="T11" s="22"/>
      <c r="U11" s="53"/>
      <c r="V11" s="53">
        <v>2.5</v>
      </c>
      <c r="W11" s="100"/>
      <c r="X11" s="101"/>
      <c r="Y11" s="100"/>
      <c r="Z11" s="44">
        <v>18</v>
      </c>
      <c r="AA11" s="37"/>
      <c r="AB11" s="38"/>
      <c r="AC11" s="38"/>
      <c r="AD11" s="17" t="s">
        <v>35</v>
      </c>
    </row>
    <row r="12" spans="1:30" ht="17.25" customHeight="1" x14ac:dyDescent="0.3">
      <c r="A12" s="1"/>
      <c r="B12" s="307"/>
      <c r="C12" s="20" t="s">
        <v>43</v>
      </c>
      <c r="D12" s="20"/>
      <c r="E12" s="20">
        <v>4626</v>
      </c>
      <c r="F12" s="10">
        <f t="shared" si="4"/>
        <v>19.274999999999999</v>
      </c>
      <c r="G12" s="55">
        <v>19.274999999999999</v>
      </c>
      <c r="H12" s="55">
        <v>240.03299999999999</v>
      </c>
      <c r="I12" s="20"/>
      <c r="J12" t="s">
        <v>30</v>
      </c>
      <c r="K12" s="98">
        <f t="shared" si="0"/>
        <v>17.044952100221078</v>
      </c>
      <c r="L12" s="23">
        <f>(E12*1.91/100)/271.4</f>
        <v>0.32555858511422259</v>
      </c>
      <c r="M12" s="97">
        <f t="shared" si="2"/>
        <v>3.3823616076252998E-2</v>
      </c>
      <c r="N12" s="99"/>
      <c r="O12" s="99">
        <f>Z12-(K12+L12+M12+N12+P12+Q12+U12+R12+S12+W12+V12+Y12+T12+X12)</f>
        <v>2.0956656985884479</v>
      </c>
      <c r="P12" s="99"/>
      <c r="Q12" s="53">
        <v>0</v>
      </c>
      <c r="R12" s="53"/>
      <c r="S12" s="53">
        <v>0</v>
      </c>
      <c r="T12" s="22"/>
      <c r="U12" s="53">
        <v>1.5</v>
      </c>
      <c r="V12" s="53"/>
      <c r="W12" s="100"/>
      <c r="X12" s="101"/>
      <c r="Y12" s="100"/>
      <c r="Z12" s="44">
        <v>21</v>
      </c>
      <c r="AA12" s="34"/>
      <c r="AB12" s="36"/>
      <c r="AC12" s="39"/>
      <c r="AD12" s="17"/>
    </row>
    <row r="13" spans="1:30" ht="17.25" customHeight="1" x14ac:dyDescent="0.3">
      <c r="A13" s="1"/>
      <c r="B13" s="307"/>
      <c r="C13" s="20" t="s">
        <v>44</v>
      </c>
      <c r="D13" s="20"/>
      <c r="E13" s="20">
        <v>4621</v>
      </c>
      <c r="F13" s="10">
        <f t="shared" si="4"/>
        <v>19.254166666666666</v>
      </c>
      <c r="G13" s="55">
        <v>19.254999999999999</v>
      </c>
      <c r="H13" s="55">
        <v>240.005</v>
      </c>
      <c r="I13" s="20"/>
      <c r="J13" t="s">
        <v>30</v>
      </c>
      <c r="K13" s="98">
        <f t="shared" si="0"/>
        <v>17.026529108327193</v>
      </c>
      <c r="L13" s="23">
        <f t="shared" si="1"/>
        <v>0.32520670596904933</v>
      </c>
      <c r="M13" s="97">
        <f t="shared" si="2"/>
        <v>3.3787057909287745E-2</v>
      </c>
      <c r="N13" s="99"/>
      <c r="O13" s="99">
        <f>Z13-(K13+L13+M13+N13+P13+Q13+U13+R13+S13+W13+V13+Y13+T13+X13)</f>
        <v>2.1144771277944727</v>
      </c>
      <c r="P13" s="99"/>
      <c r="Q13" s="53">
        <v>0</v>
      </c>
      <c r="R13" s="53"/>
      <c r="S13" s="53">
        <v>0</v>
      </c>
      <c r="T13" s="22"/>
      <c r="U13" s="53">
        <v>1.5</v>
      </c>
      <c r="V13" s="53"/>
      <c r="W13" s="100"/>
      <c r="X13" s="101"/>
      <c r="Y13" s="100"/>
      <c r="Z13" s="44">
        <v>21</v>
      </c>
      <c r="AA13" s="34"/>
      <c r="AB13" s="36"/>
      <c r="AC13" s="39"/>
      <c r="AD13" s="17"/>
    </row>
    <row r="14" spans="1:30" ht="17.25" customHeight="1" x14ac:dyDescent="0.3">
      <c r="A14" s="1"/>
      <c r="B14" s="307"/>
      <c r="C14" s="20" t="s">
        <v>45</v>
      </c>
      <c r="D14" s="20"/>
      <c r="E14" s="20">
        <v>4527</v>
      </c>
      <c r="F14" s="10">
        <f t="shared" si="4"/>
        <v>18.862500000000001</v>
      </c>
      <c r="G14" s="55">
        <v>18.870999999999999</v>
      </c>
      <c r="H14" s="55">
        <v>239.93899999999999</v>
      </c>
      <c r="I14" s="20"/>
      <c r="J14" t="s">
        <v>30</v>
      </c>
      <c r="K14" s="98">
        <f t="shared" si="0"/>
        <v>16.680176860722181</v>
      </c>
      <c r="L14" s="23">
        <f t="shared" si="1"/>
        <v>0.3185913780397937</v>
      </c>
      <c r="M14" s="97">
        <f t="shared" si="2"/>
        <v>3.309976437034097E-2</v>
      </c>
      <c r="N14" s="99"/>
      <c r="O14" s="99">
        <f>Z14-(K14+L14+M14+N14+P14+Q14+U14+R14+S14+W14+V14+Y14+T14+X14)</f>
        <v>2.4681319968676831</v>
      </c>
      <c r="P14" s="99"/>
      <c r="Q14" s="53">
        <v>0</v>
      </c>
      <c r="R14" s="53"/>
      <c r="S14" s="53">
        <v>0</v>
      </c>
      <c r="T14" s="22"/>
      <c r="U14" s="53">
        <v>1.5</v>
      </c>
      <c r="V14" s="53"/>
      <c r="W14" s="100"/>
      <c r="X14" s="101"/>
      <c r="Y14" s="100"/>
      <c r="Z14" s="44">
        <v>21</v>
      </c>
      <c r="AA14" s="34"/>
      <c r="AB14" s="36"/>
      <c r="AC14" s="39"/>
      <c r="AD14" s="17"/>
    </row>
    <row r="15" spans="1:30" ht="17.25" customHeight="1" x14ac:dyDescent="0.3">
      <c r="A15" s="1"/>
      <c r="B15" s="307"/>
      <c r="C15" s="20" t="s">
        <v>46</v>
      </c>
      <c r="D15" s="20"/>
      <c r="E15" s="20">
        <v>2394</v>
      </c>
      <c r="F15" s="10">
        <f>E15/240</f>
        <v>9.9749999999999996</v>
      </c>
      <c r="G15" s="55">
        <v>9.9779999999999998</v>
      </c>
      <c r="H15" s="55">
        <v>240.00299999999999</v>
      </c>
      <c r="I15" s="20">
        <v>1.913</v>
      </c>
      <c r="J15" t="s">
        <v>30</v>
      </c>
      <c r="K15" s="98">
        <f t="shared" si="0"/>
        <v>8.8209285187914528</v>
      </c>
      <c r="L15" s="23">
        <f t="shared" ref="L15:L22" si="8">(E15*I15/100)/271.4</f>
        <v>0.16874436256448047</v>
      </c>
      <c r="M15" s="97">
        <f t="shared" si="2"/>
        <v>1.7504050342963616E-2</v>
      </c>
      <c r="N15" s="99"/>
      <c r="O15" s="99">
        <f>Z15-(K15+L15+M15+N15+P15+Q15+U15+R15+S15+W15+V15+Y15+T15+X15)</f>
        <v>1.492823068301103</v>
      </c>
      <c r="P15" s="99"/>
      <c r="Q15" s="53">
        <v>0</v>
      </c>
      <c r="R15" s="53"/>
      <c r="S15" s="53">
        <v>0</v>
      </c>
      <c r="T15" s="22"/>
      <c r="U15" s="53">
        <v>1.5</v>
      </c>
      <c r="V15" s="53"/>
      <c r="W15" s="100"/>
      <c r="X15" s="101"/>
      <c r="Y15" s="100"/>
      <c r="Z15" s="44">
        <v>12</v>
      </c>
      <c r="AA15" s="34"/>
      <c r="AB15" s="36"/>
      <c r="AC15" s="39"/>
      <c r="AD15" s="17"/>
    </row>
    <row r="16" spans="1:30" s="9" customFormat="1" ht="15.75" customHeight="1" x14ac:dyDescent="0.3">
      <c r="A16" s="86">
        <v>45566</v>
      </c>
      <c r="B16" s="307"/>
      <c r="C16" s="309" t="s">
        <v>47</v>
      </c>
      <c r="D16" s="310"/>
      <c r="E16" s="310"/>
      <c r="F16" s="311"/>
      <c r="G16" s="315" t="s">
        <v>38</v>
      </c>
      <c r="H16" s="316"/>
      <c r="I16" s="317"/>
      <c r="J16" s="60"/>
      <c r="K16" s="137">
        <f>SUM(K11:K15)</f>
        <v>72.800294767870298</v>
      </c>
      <c r="L16" s="137">
        <f t="shared" ref="L16:Y16" si="9">SUM(L11:L15)</f>
        <v>1.3907502579218867</v>
      </c>
      <c r="M16" s="137">
        <f t="shared" si="9"/>
        <v>0.1444632525798977</v>
      </c>
      <c r="N16" s="137">
        <f t="shared" si="9"/>
        <v>0</v>
      </c>
      <c r="O16" s="137">
        <f t="shared" si="9"/>
        <v>9.6644917216279147</v>
      </c>
      <c r="P16" s="137">
        <f t="shared" si="9"/>
        <v>0</v>
      </c>
      <c r="Q16" s="137">
        <f t="shared" si="9"/>
        <v>0</v>
      </c>
      <c r="R16" s="137">
        <f t="shared" si="9"/>
        <v>0.5</v>
      </c>
      <c r="S16" s="137">
        <f t="shared" si="9"/>
        <v>0</v>
      </c>
      <c r="T16" s="137">
        <f>SUM(T11:T15)</f>
        <v>0</v>
      </c>
      <c r="U16" s="137">
        <f t="shared" si="9"/>
        <v>6</v>
      </c>
      <c r="V16" s="137">
        <f t="shared" si="9"/>
        <v>2.5</v>
      </c>
      <c r="W16" s="137">
        <f t="shared" si="9"/>
        <v>0</v>
      </c>
      <c r="X16" s="137">
        <f t="shared" si="9"/>
        <v>0</v>
      </c>
      <c r="Y16" s="137">
        <f t="shared" si="9"/>
        <v>0</v>
      </c>
      <c r="Z16" s="137">
        <f t="shared" ref="Z16" si="10">SUM(Z11:Z15)</f>
        <v>93</v>
      </c>
      <c r="AA16" s="83">
        <f>(K16/(K16+L16+M16+N16+O16+P16))*100</f>
        <v>86.667017580797989</v>
      </c>
      <c r="AB16" s="83">
        <f>(K16/(K16+L16+M16+N16+O16+P16+U16+Q16+R16+V16+S16+T16))*100</f>
        <v>78.279886847172378</v>
      </c>
      <c r="AC16" s="84" t="s">
        <v>42</v>
      </c>
      <c r="AD16" s="18"/>
    </row>
    <row r="17" spans="1:30" s="9" customFormat="1" ht="15.75" customHeight="1" x14ac:dyDescent="0.3">
      <c r="A17" s="86" t="s">
        <v>48</v>
      </c>
      <c r="B17" s="308"/>
      <c r="C17" s="312"/>
      <c r="D17" s="313"/>
      <c r="E17" s="313"/>
      <c r="F17" s="314"/>
      <c r="G17" s="318" t="s">
        <v>40</v>
      </c>
      <c r="H17" s="319"/>
      <c r="I17" s="320"/>
      <c r="J17" s="76"/>
      <c r="K17" s="77">
        <f t="shared" ref="K17:Y17" si="11">(K16/$Z16)*100</f>
        <v>78.279886847172364</v>
      </c>
      <c r="L17" s="77">
        <f t="shared" si="11"/>
        <v>1.4954303848622437</v>
      </c>
      <c r="M17" s="77">
        <f t="shared" si="11"/>
        <v>0.15533683073107279</v>
      </c>
      <c r="N17" s="77">
        <f t="shared" si="11"/>
        <v>0</v>
      </c>
      <c r="O17" s="77">
        <f t="shared" si="11"/>
        <v>10.391926582395607</v>
      </c>
      <c r="P17" s="77">
        <f t="shared" si="11"/>
        <v>0</v>
      </c>
      <c r="Q17" s="77">
        <f t="shared" si="11"/>
        <v>0</v>
      </c>
      <c r="R17" s="77">
        <f t="shared" si="11"/>
        <v>0.53763440860215062</v>
      </c>
      <c r="S17" s="77">
        <f t="shared" si="11"/>
        <v>0</v>
      </c>
      <c r="T17" s="77">
        <f t="shared" si="11"/>
        <v>0</v>
      </c>
      <c r="U17" s="77">
        <f t="shared" si="11"/>
        <v>6.4516129032258061</v>
      </c>
      <c r="V17" s="77">
        <f t="shared" si="11"/>
        <v>2.6881720430107525</v>
      </c>
      <c r="W17" s="77">
        <f t="shared" si="11"/>
        <v>0</v>
      </c>
      <c r="X17" s="77">
        <f t="shared" si="11"/>
        <v>0</v>
      </c>
      <c r="Y17" s="77">
        <f t="shared" si="11"/>
        <v>0</v>
      </c>
      <c r="Z17" s="77">
        <f>SUM(K17:Y17)</f>
        <v>100</v>
      </c>
      <c r="AA17" s="81" t="s">
        <v>41</v>
      </c>
      <c r="AB17" s="57"/>
      <c r="AC17" s="59"/>
      <c r="AD17" s="18"/>
    </row>
    <row r="18" spans="1:30" ht="15" customHeight="1" x14ac:dyDescent="0.25">
      <c r="A18" s="87"/>
      <c r="B18" s="331" t="s">
        <v>49</v>
      </c>
      <c r="C18" s="20" t="s">
        <v>46</v>
      </c>
      <c r="D18" s="20"/>
      <c r="E18" s="20">
        <v>1050</v>
      </c>
      <c r="F18" s="10">
        <f t="shared" si="4"/>
        <v>4.375</v>
      </c>
      <c r="G18" s="55">
        <v>4.3760000000000003</v>
      </c>
      <c r="H18" s="55">
        <v>239.95</v>
      </c>
      <c r="I18" s="20">
        <v>1.8560000000000001</v>
      </c>
      <c r="J18" t="s">
        <v>30</v>
      </c>
      <c r="K18" s="98">
        <f>E18/271.4</f>
        <v>3.8688282977155493</v>
      </c>
      <c r="L18" s="23">
        <f t="shared" si="8"/>
        <v>7.1805453205600611E-2</v>
      </c>
      <c r="M18" s="97">
        <f t="shared" si="2"/>
        <v>7.6772150627033402E-3</v>
      </c>
      <c r="N18" s="99"/>
      <c r="O18" s="99">
        <f>Z18-(K18+L18+M18+N18+P18+Q18+U18+R18+S18+W18+V18+Y18+T18+X18)</f>
        <v>0.551689034016146</v>
      </c>
      <c r="P18" s="99"/>
      <c r="Q18" s="53">
        <v>0</v>
      </c>
      <c r="R18" s="53">
        <v>1.5</v>
      </c>
      <c r="S18" s="53">
        <v>0</v>
      </c>
      <c r="T18" s="22"/>
      <c r="U18" s="53"/>
      <c r="V18" s="53"/>
      <c r="W18" s="100"/>
      <c r="X18" s="101"/>
      <c r="Y18" s="100">
        <v>3</v>
      </c>
      <c r="Z18" s="44">
        <v>9</v>
      </c>
      <c r="AA18" s="37"/>
      <c r="AB18" s="37"/>
      <c r="AC18" s="38"/>
      <c r="AD18" s="17"/>
    </row>
    <row r="19" spans="1:30" ht="17.25" customHeight="1" x14ac:dyDescent="0.3">
      <c r="A19" s="88"/>
      <c r="B19" s="332"/>
      <c r="C19" s="20" t="s">
        <v>50</v>
      </c>
      <c r="D19" s="20"/>
      <c r="E19" s="20">
        <v>4493</v>
      </c>
      <c r="F19" s="10">
        <f t="shared" si="4"/>
        <v>18.720833333333335</v>
      </c>
      <c r="G19" s="55">
        <v>18.687000000000001</v>
      </c>
      <c r="H19" s="55">
        <v>240.459</v>
      </c>
      <c r="I19" s="20">
        <v>1.907</v>
      </c>
      <c r="J19" t="s">
        <v>30</v>
      </c>
      <c r="K19" s="98">
        <f t="shared" si="0"/>
        <v>16.554900515843773</v>
      </c>
      <c r="L19" s="23">
        <f t="shared" si="8"/>
        <v>0.31570195283714081</v>
      </c>
      <c r="M19" s="97">
        <f t="shared" si="2"/>
        <v>3.285116883497724E-2</v>
      </c>
      <c r="N19" s="99"/>
      <c r="O19" s="99">
        <f>Z19-(K19+L19+M19+N19+P19+Q19+U19+R19+S19+W19+V19+Y19+T19+X19)</f>
        <v>2.0965463624841085</v>
      </c>
      <c r="P19" s="99"/>
      <c r="Q19" s="53">
        <v>0</v>
      </c>
      <c r="R19" s="53"/>
      <c r="S19" s="53">
        <v>0</v>
      </c>
      <c r="T19" s="22"/>
      <c r="U19" s="53"/>
      <c r="V19" s="53">
        <v>2</v>
      </c>
      <c r="W19" s="100"/>
      <c r="X19" s="101"/>
      <c r="Y19" s="100"/>
      <c r="Z19" s="44">
        <v>21</v>
      </c>
      <c r="AA19" s="34"/>
      <c r="AB19" s="34"/>
      <c r="AC19" s="39"/>
      <c r="AD19" s="17"/>
    </row>
    <row r="20" spans="1:30" ht="17.25" customHeight="1" x14ac:dyDescent="0.3">
      <c r="A20" s="88"/>
      <c r="B20" s="332"/>
      <c r="C20" s="20" t="s">
        <v>51</v>
      </c>
      <c r="D20" s="20"/>
      <c r="E20" s="20">
        <v>2780</v>
      </c>
      <c r="F20" s="10">
        <f t="shared" si="4"/>
        <v>11.583333333333334</v>
      </c>
      <c r="G20" s="55">
        <v>11.56</v>
      </c>
      <c r="H20" s="55">
        <v>240.565</v>
      </c>
      <c r="I20" s="20">
        <v>1.86</v>
      </c>
      <c r="J20" t="s">
        <v>30</v>
      </c>
      <c r="K20" s="98">
        <f t="shared" si="0"/>
        <v>10.243183492999265</v>
      </c>
      <c r="L20" s="23">
        <f t="shared" si="8"/>
        <v>0.1905232129697863</v>
      </c>
      <c r="M20" s="97">
        <f t="shared" si="2"/>
        <v>2.0326340832681224E-2</v>
      </c>
      <c r="N20" s="99"/>
      <c r="O20" s="99">
        <f>Z20-(K20+L20+M20+N20+P20+Q20+U20+R20+S20+W20+V20+Y20+T20+X20)</f>
        <v>1.5459669531982669</v>
      </c>
      <c r="P20" s="99"/>
      <c r="Q20" s="53">
        <v>0</v>
      </c>
      <c r="R20" s="53">
        <v>1</v>
      </c>
      <c r="S20" s="53">
        <v>0</v>
      </c>
      <c r="T20" s="22"/>
      <c r="U20" s="53"/>
      <c r="V20" s="53">
        <v>5</v>
      </c>
      <c r="W20" s="100"/>
      <c r="X20" s="101"/>
      <c r="Y20" s="100">
        <v>3</v>
      </c>
      <c r="Z20" s="44">
        <v>21</v>
      </c>
      <c r="AA20" s="34"/>
      <c r="AB20" s="34"/>
      <c r="AC20" s="39"/>
      <c r="AD20" s="17" t="s">
        <v>35</v>
      </c>
    </row>
    <row r="21" spans="1:30" ht="17.25" customHeight="1" x14ac:dyDescent="0.3">
      <c r="A21" s="88"/>
      <c r="B21" s="332"/>
      <c r="C21" s="20" t="s">
        <v>52</v>
      </c>
      <c r="D21" s="20"/>
      <c r="E21" s="20">
        <v>4342</v>
      </c>
      <c r="F21" s="10">
        <f t="shared" si="4"/>
        <v>18.091666666666665</v>
      </c>
      <c r="G21" s="55">
        <v>18.5</v>
      </c>
      <c r="H21" s="55">
        <v>234.75200000000001</v>
      </c>
      <c r="I21" s="20">
        <v>1.9159999999999999</v>
      </c>
      <c r="J21" t="s">
        <v>30</v>
      </c>
      <c r="K21" s="98">
        <f t="shared" si="0"/>
        <v>15.99852616064849</v>
      </c>
      <c r="L21" s="23">
        <f t="shared" si="8"/>
        <v>0.30653176123802506</v>
      </c>
      <c r="M21" s="97">
        <f t="shared" si="2"/>
        <v>3.1747112192626575E-2</v>
      </c>
      <c r="N21" s="99"/>
      <c r="O21" s="99">
        <f>Z21-(K21+L21+M21+N21+P21+Q21+U21+R21+S21+W21+V21+Y21+T21+X21)</f>
        <v>3.1631949659208587</v>
      </c>
      <c r="P21" s="99"/>
      <c r="Q21" s="53">
        <v>0</v>
      </c>
      <c r="R21" s="53"/>
      <c r="S21" s="53">
        <v>0</v>
      </c>
      <c r="T21" s="22"/>
      <c r="U21" s="53">
        <v>1.5</v>
      </c>
      <c r="V21" s="53"/>
      <c r="W21" s="100"/>
      <c r="X21" s="101"/>
      <c r="Y21" s="100"/>
      <c r="Z21" s="44">
        <v>21</v>
      </c>
      <c r="AA21" s="34"/>
      <c r="AB21" s="34"/>
      <c r="AC21" s="39"/>
      <c r="AD21" s="17"/>
    </row>
    <row r="22" spans="1:30" ht="17.25" customHeight="1" x14ac:dyDescent="0.3">
      <c r="A22" s="88"/>
      <c r="B22" s="332"/>
      <c r="C22" s="20" t="s">
        <v>53</v>
      </c>
      <c r="D22" s="20"/>
      <c r="E22" s="20">
        <v>2587</v>
      </c>
      <c r="F22" s="10">
        <f t="shared" si="4"/>
        <v>10.779166666666667</v>
      </c>
      <c r="G22" s="55">
        <v>13.5</v>
      </c>
      <c r="H22" s="55">
        <v>191.637</v>
      </c>
      <c r="I22" s="20">
        <v>2.4750000000000001</v>
      </c>
      <c r="J22" t="s">
        <v>30</v>
      </c>
      <c r="K22" s="98">
        <f t="shared" si="0"/>
        <v>9.5320560058953578</v>
      </c>
      <c r="L22" s="23">
        <f t="shared" si="8"/>
        <v>0.23591838614591013</v>
      </c>
      <c r="M22" s="97">
        <f t="shared" si="2"/>
        <v>1.8915195587822422E-2</v>
      </c>
      <c r="N22" s="99"/>
      <c r="O22" s="99">
        <f>Z22-(K22+L22+M22+N22+P22+Q22+U22+R22+S22+W22+V22+Y22+T22+X22)</f>
        <v>6.7131104123709093</v>
      </c>
      <c r="P22" s="99"/>
      <c r="Q22" s="53">
        <v>0</v>
      </c>
      <c r="R22" s="53"/>
      <c r="S22" s="53">
        <v>0</v>
      </c>
      <c r="T22" s="22"/>
      <c r="U22" s="53">
        <v>1.5</v>
      </c>
      <c r="V22" s="53"/>
      <c r="W22" s="100"/>
      <c r="X22" s="101"/>
      <c r="Y22" s="100"/>
      <c r="Z22" s="44">
        <v>18</v>
      </c>
      <c r="AA22" s="35"/>
      <c r="AB22" s="35"/>
      <c r="AC22" s="39"/>
      <c r="AD22" s="17"/>
    </row>
    <row r="23" spans="1:30" s="8" customFormat="1" ht="15.75" customHeight="1" x14ac:dyDescent="0.3">
      <c r="A23" s="80">
        <v>45597</v>
      </c>
      <c r="B23" s="333"/>
      <c r="C23" s="321" t="s">
        <v>54</v>
      </c>
      <c r="D23" s="322"/>
      <c r="E23" s="322"/>
      <c r="F23" s="323"/>
      <c r="G23" s="327" t="s">
        <v>38</v>
      </c>
      <c r="H23" s="328"/>
      <c r="I23" s="329"/>
      <c r="J23" s="69"/>
      <c r="K23" s="66">
        <f>SUM(K18:K22)</f>
        <v>56.197494473102431</v>
      </c>
      <c r="L23" s="66">
        <f t="shared" ref="L23:Y23" si="12">SUM(L18:L22)</f>
        <v>1.1204807663964629</v>
      </c>
      <c r="M23" s="66">
        <f t="shared" si="12"/>
        <v>0.11151703251081081</v>
      </c>
      <c r="N23" s="66">
        <f t="shared" si="12"/>
        <v>0</v>
      </c>
      <c r="O23" s="66">
        <f t="shared" si="12"/>
        <v>14.070507727990289</v>
      </c>
      <c r="P23" s="66">
        <f t="shared" si="12"/>
        <v>0</v>
      </c>
      <c r="Q23" s="66">
        <f t="shared" si="12"/>
        <v>0</v>
      </c>
      <c r="R23" s="66">
        <f t="shared" si="12"/>
        <v>2.5</v>
      </c>
      <c r="S23" s="66">
        <f t="shared" si="12"/>
        <v>0</v>
      </c>
      <c r="T23" s="66">
        <f>SUM(T18:T22)</f>
        <v>0</v>
      </c>
      <c r="U23" s="66">
        <f t="shared" si="12"/>
        <v>3</v>
      </c>
      <c r="V23" s="66">
        <f t="shared" si="12"/>
        <v>7</v>
      </c>
      <c r="W23" s="66">
        <f t="shared" si="12"/>
        <v>0</v>
      </c>
      <c r="X23" s="66">
        <f t="shared" si="12"/>
        <v>0</v>
      </c>
      <c r="Y23" s="66">
        <f t="shared" si="12"/>
        <v>6</v>
      </c>
      <c r="Z23" s="66">
        <f t="shared" ref="Z23" si="13">SUM(Z18:Z22)</f>
        <v>90</v>
      </c>
      <c r="AA23" s="67">
        <f>(K23/(K23+L23+M23+N23+O23+P23))*100</f>
        <v>78.597894367975428</v>
      </c>
      <c r="AB23" s="67">
        <f>(K23/(K23+L23+M23+N23+O23+P23+U23+Q23+R23+V23+S23+T23))*100</f>
        <v>66.90177913464575</v>
      </c>
      <c r="AC23" s="68" t="s">
        <v>49</v>
      </c>
      <c r="AD23" s="19"/>
    </row>
    <row r="24" spans="1:30" s="8" customFormat="1" ht="15.75" customHeight="1" x14ac:dyDescent="0.3">
      <c r="A24" s="80" t="s">
        <v>55</v>
      </c>
      <c r="B24" s="78"/>
      <c r="C24" s="324"/>
      <c r="D24" s="325"/>
      <c r="E24" s="325"/>
      <c r="F24" s="326"/>
      <c r="G24" s="318" t="s">
        <v>40</v>
      </c>
      <c r="H24" s="319"/>
      <c r="I24" s="320"/>
      <c r="J24" s="76"/>
      <c r="K24" s="77">
        <f t="shared" ref="K24:Y24" si="14">(K23/$Z23)*100</f>
        <v>62.441660525669363</v>
      </c>
      <c r="L24" s="77">
        <f t="shared" si="14"/>
        <v>1.2449786293294032</v>
      </c>
      <c r="M24" s="77">
        <f t="shared" si="14"/>
        <v>0.1239078139009009</v>
      </c>
      <c r="N24" s="77">
        <f t="shared" si="14"/>
        <v>0</v>
      </c>
      <c r="O24" s="77">
        <f t="shared" si="14"/>
        <v>15.633897475544767</v>
      </c>
      <c r="P24" s="77">
        <f t="shared" si="14"/>
        <v>0</v>
      </c>
      <c r="Q24" s="77">
        <f t="shared" si="14"/>
        <v>0</v>
      </c>
      <c r="R24" s="77">
        <f t="shared" si="14"/>
        <v>2.7777777777777777</v>
      </c>
      <c r="S24" s="77">
        <f t="shared" si="14"/>
        <v>0</v>
      </c>
      <c r="T24" s="77">
        <f t="shared" si="14"/>
        <v>0</v>
      </c>
      <c r="U24" s="77">
        <f t="shared" si="14"/>
        <v>3.3333333333333335</v>
      </c>
      <c r="V24" s="77">
        <f t="shared" si="14"/>
        <v>7.7777777777777777</v>
      </c>
      <c r="W24" s="77">
        <f t="shared" si="14"/>
        <v>0</v>
      </c>
      <c r="X24" s="77">
        <f t="shared" si="14"/>
        <v>0</v>
      </c>
      <c r="Y24" s="77">
        <f t="shared" si="14"/>
        <v>6.666666666666667</v>
      </c>
      <c r="Z24" s="77">
        <f>SUM(K24:Y24)</f>
        <v>99.999999999999972</v>
      </c>
      <c r="AA24" s="81" t="s">
        <v>41</v>
      </c>
      <c r="AB24" s="57"/>
      <c r="AC24" s="59"/>
      <c r="AD24" s="19"/>
    </row>
    <row r="25" spans="1:30" ht="15" customHeight="1" x14ac:dyDescent="0.25">
      <c r="A25" s="87"/>
      <c r="B25" s="306" t="s">
        <v>56</v>
      </c>
      <c r="C25" s="20" t="s">
        <v>53</v>
      </c>
      <c r="D25" s="20"/>
      <c r="E25" s="20">
        <v>344</v>
      </c>
      <c r="F25" s="10">
        <f t="shared" si="4"/>
        <v>1.4333333333333333</v>
      </c>
      <c r="G25" s="55">
        <v>1.5</v>
      </c>
      <c r="H25" s="55">
        <v>229.7</v>
      </c>
      <c r="I25" s="20">
        <v>2.0920000000000001</v>
      </c>
      <c r="J25" t="s">
        <v>30</v>
      </c>
      <c r="K25" s="98">
        <f t="shared" si="0"/>
        <v>1.2675018422991895</v>
      </c>
      <c r="L25" s="23">
        <f t="shared" ref="L25:L51" si="15">(E25*I25/100)/271.4</f>
        <v>2.6516138540899046E-2</v>
      </c>
      <c r="M25" s="97">
        <f>((44/4*0.0102*480*K25)/100)/271.4</f>
        <v>2.5152018872094755E-3</v>
      </c>
      <c r="N25" s="99"/>
      <c r="O25" s="99">
        <f t="shared" ref="O25:O30" si="16">Z25-(K25+L25+M25+N25+P25+Q25+U25+R25+S25+W25+V25+Y25+T25+X25)</f>
        <v>1.7034668172727021</v>
      </c>
      <c r="P25" s="99"/>
      <c r="Q25" s="22">
        <v>0</v>
      </c>
      <c r="R25" s="22"/>
      <c r="S25" s="22">
        <v>0</v>
      </c>
      <c r="T25" s="22"/>
      <c r="U25" s="22"/>
      <c r="V25" s="22"/>
      <c r="W25" s="101"/>
      <c r="X25" s="101"/>
      <c r="Y25" s="101"/>
      <c r="Z25" s="45">
        <v>3</v>
      </c>
      <c r="AA25" s="37"/>
      <c r="AB25" s="37"/>
      <c r="AC25" s="38"/>
      <c r="AD25" s="17" t="s">
        <v>57</v>
      </c>
    </row>
    <row r="26" spans="1:30" ht="17.25" customHeight="1" x14ac:dyDescent="0.3">
      <c r="A26" s="88"/>
      <c r="B26" s="307"/>
      <c r="C26" s="20" t="s">
        <v>58</v>
      </c>
      <c r="D26" s="20"/>
      <c r="E26" s="20">
        <v>3685</v>
      </c>
      <c r="F26" s="10">
        <f t="shared" si="4"/>
        <v>15.354166666666666</v>
      </c>
      <c r="G26" s="55">
        <v>16</v>
      </c>
      <c r="H26" s="55">
        <v>230.35900000000001</v>
      </c>
      <c r="I26" s="20">
        <v>1.89</v>
      </c>
      <c r="J26" t="s">
        <v>30</v>
      </c>
      <c r="K26" s="98">
        <f t="shared" ref="K26:K44" si="17">E26/271.4</f>
        <v>13.57774502579219</v>
      </c>
      <c r="L26" s="23">
        <f>(E26*I26/100)/271.4</f>
        <v>0.25661938098747239</v>
      </c>
      <c r="M26" s="97">
        <f t="shared" ref="M26:M52" si="18">((44/4*0.0102*480*K26)/100)/271.4</f>
        <v>2.6943369053392199E-2</v>
      </c>
      <c r="N26" s="99"/>
      <c r="O26" s="99">
        <f t="shared" si="16"/>
        <v>5.6386922241669453</v>
      </c>
      <c r="P26" s="99"/>
      <c r="Q26" s="22">
        <v>0</v>
      </c>
      <c r="R26" s="22"/>
      <c r="S26" s="22">
        <v>0</v>
      </c>
      <c r="T26" s="22"/>
      <c r="U26" s="22">
        <v>1.5</v>
      </c>
      <c r="V26" s="22"/>
      <c r="W26" s="101"/>
      <c r="X26" s="101"/>
      <c r="Y26" s="101"/>
      <c r="Z26" s="45">
        <v>21</v>
      </c>
      <c r="AA26" s="34"/>
      <c r="AB26" s="34"/>
      <c r="AC26" s="39"/>
      <c r="AD26" s="17"/>
    </row>
    <row r="27" spans="1:30" ht="17.25" customHeight="1" x14ac:dyDescent="0.3">
      <c r="A27" s="88"/>
      <c r="B27" s="307"/>
      <c r="C27" s="20" t="s">
        <v>59</v>
      </c>
      <c r="D27" s="20"/>
      <c r="E27" s="20">
        <v>4236</v>
      </c>
      <c r="F27" s="10">
        <f t="shared" si="4"/>
        <v>17.649999999999999</v>
      </c>
      <c r="G27" s="55">
        <v>19.25</v>
      </c>
      <c r="H27" s="55">
        <v>220.05</v>
      </c>
      <c r="I27" s="20">
        <v>2.371</v>
      </c>
      <c r="J27" t="s">
        <v>30</v>
      </c>
      <c r="K27" s="98">
        <f t="shared" si="17"/>
        <v>15.607958732498158</v>
      </c>
      <c r="L27" s="23">
        <f>(E27*I27/100)/271.4</f>
        <v>0.37006470154753141</v>
      </c>
      <c r="M27" s="97">
        <f t="shared" si="18"/>
        <v>3.0972079052963186E-2</v>
      </c>
      <c r="N27" s="99"/>
      <c r="O27" s="99">
        <f t="shared" si="16"/>
        <v>3.4910044869013461</v>
      </c>
      <c r="P27" s="99"/>
      <c r="Q27" s="22">
        <v>0</v>
      </c>
      <c r="R27" s="22"/>
      <c r="S27" s="22">
        <v>0</v>
      </c>
      <c r="T27" s="22"/>
      <c r="U27" s="22">
        <v>1.5</v>
      </c>
      <c r="V27" s="22"/>
      <c r="W27" s="101"/>
      <c r="X27" s="101"/>
      <c r="Y27" s="101"/>
      <c r="Z27" s="45">
        <v>21</v>
      </c>
      <c r="AA27" s="34"/>
      <c r="AB27" s="34"/>
      <c r="AC27" s="39"/>
      <c r="AD27" s="17"/>
    </row>
    <row r="28" spans="1:30" ht="17.25" customHeight="1" x14ac:dyDescent="0.3">
      <c r="A28" s="88"/>
      <c r="B28" s="307"/>
      <c r="C28" s="20" t="s">
        <v>60</v>
      </c>
      <c r="D28" s="20"/>
      <c r="E28" s="20">
        <v>3987</v>
      </c>
      <c r="F28" s="10">
        <f t="shared" si="4"/>
        <v>16.612500000000001</v>
      </c>
      <c r="G28" s="55">
        <v>16.588000000000001</v>
      </c>
      <c r="H28" s="55">
        <v>240.375</v>
      </c>
      <c r="I28" s="20">
        <v>2.2490000000000001</v>
      </c>
      <c r="J28" t="s">
        <v>30</v>
      </c>
      <c r="K28" s="98">
        <f t="shared" si="17"/>
        <v>14.690493736182757</v>
      </c>
      <c r="L28" s="23">
        <f>(E28*I28/100)/271.4</f>
        <v>0.33038920412675021</v>
      </c>
      <c r="M28" s="97">
        <f t="shared" si="18"/>
        <v>2.9151482338093539E-2</v>
      </c>
      <c r="N28" s="99"/>
      <c r="O28" s="99">
        <f t="shared" si="16"/>
        <v>1.9499655773524012</v>
      </c>
      <c r="P28" s="99"/>
      <c r="Q28" s="22">
        <v>0</v>
      </c>
      <c r="R28" s="22"/>
      <c r="S28" s="22">
        <v>0</v>
      </c>
      <c r="T28" s="22"/>
      <c r="U28" s="22">
        <v>1.5</v>
      </c>
      <c r="V28" s="22"/>
      <c r="W28" s="101">
        <v>2.5</v>
      </c>
      <c r="X28" s="101"/>
      <c r="Y28" s="101"/>
      <c r="Z28" s="45">
        <v>21</v>
      </c>
      <c r="AA28" s="34"/>
      <c r="AB28" s="34"/>
      <c r="AC28" s="39"/>
      <c r="AD28" s="17"/>
    </row>
    <row r="29" spans="1:30" ht="17.25" customHeight="1" x14ac:dyDescent="0.3">
      <c r="A29" s="88"/>
      <c r="B29" s="307"/>
      <c r="C29" s="20" t="s">
        <v>61</v>
      </c>
      <c r="D29" s="20"/>
      <c r="E29" s="20">
        <v>0</v>
      </c>
      <c r="F29" s="10">
        <f t="shared" si="4"/>
        <v>0</v>
      </c>
      <c r="G29" s="20"/>
      <c r="H29" s="20"/>
      <c r="I29" s="20"/>
      <c r="J29" t="s">
        <v>30</v>
      </c>
      <c r="K29" s="98">
        <f t="shared" si="17"/>
        <v>0</v>
      </c>
      <c r="L29" s="23">
        <f t="shared" si="15"/>
        <v>0</v>
      </c>
      <c r="M29" s="97">
        <f t="shared" si="18"/>
        <v>0</v>
      </c>
      <c r="N29" s="99"/>
      <c r="O29" s="99">
        <f t="shared" si="16"/>
        <v>0</v>
      </c>
      <c r="P29" s="99"/>
      <c r="Q29" s="22">
        <v>0</v>
      </c>
      <c r="R29" s="22"/>
      <c r="S29" s="22">
        <v>0</v>
      </c>
      <c r="T29" s="22"/>
      <c r="U29" s="22"/>
      <c r="V29" s="22"/>
      <c r="W29" s="101">
        <v>6</v>
      </c>
      <c r="X29" s="101">
        <v>9</v>
      </c>
      <c r="Y29" s="101">
        <v>6</v>
      </c>
      <c r="Z29" s="45">
        <v>21</v>
      </c>
      <c r="AA29" s="34"/>
      <c r="AB29" s="34"/>
      <c r="AC29" s="39"/>
      <c r="AD29" s="17"/>
    </row>
    <row r="30" spans="1:30" ht="17.25" customHeight="1" x14ac:dyDescent="0.3">
      <c r="A30" s="88"/>
      <c r="B30" s="307"/>
      <c r="C30" s="20" t="s">
        <v>62</v>
      </c>
      <c r="D30" s="20"/>
      <c r="E30" s="20">
        <v>0</v>
      </c>
      <c r="F30" s="10">
        <f t="shared" si="4"/>
        <v>0</v>
      </c>
      <c r="G30" s="20"/>
      <c r="H30" s="20"/>
      <c r="I30" s="20"/>
      <c r="J30" t="s">
        <v>30</v>
      </c>
      <c r="K30" s="98">
        <f t="shared" si="17"/>
        <v>0</v>
      </c>
      <c r="L30" s="23">
        <f t="shared" si="15"/>
        <v>0</v>
      </c>
      <c r="M30" s="97">
        <f t="shared" si="18"/>
        <v>0</v>
      </c>
      <c r="N30" s="99"/>
      <c r="O30" s="99">
        <f t="shared" si="16"/>
        <v>0</v>
      </c>
      <c r="P30" s="99"/>
      <c r="Q30" s="22">
        <v>0</v>
      </c>
      <c r="R30" s="22"/>
      <c r="S30" s="22">
        <v>0</v>
      </c>
      <c r="T30" s="22"/>
      <c r="U30" s="22"/>
      <c r="V30" s="22"/>
      <c r="W30" s="101"/>
      <c r="X30" s="101">
        <v>6</v>
      </c>
      <c r="Y30" s="101"/>
      <c r="Z30" s="45">
        <v>6</v>
      </c>
      <c r="AA30" s="34"/>
      <c r="AB30" s="34"/>
      <c r="AC30" s="39"/>
      <c r="AD30" s="17"/>
    </row>
    <row r="31" spans="1:30" s="9" customFormat="1" ht="15.75" customHeight="1" x14ac:dyDescent="0.3">
      <c r="A31" s="92">
        <v>45627</v>
      </c>
      <c r="B31" s="307"/>
      <c r="C31" s="309" t="s">
        <v>63</v>
      </c>
      <c r="D31" s="310"/>
      <c r="E31" s="310"/>
      <c r="F31" s="311"/>
      <c r="G31" s="315" t="s">
        <v>38</v>
      </c>
      <c r="H31" s="316"/>
      <c r="I31" s="317"/>
      <c r="J31" s="60"/>
      <c r="K31" s="137">
        <f>SUM(K25:K30)</f>
        <v>45.143699336772293</v>
      </c>
      <c r="L31" s="137">
        <f t="shared" ref="L31:Y31" si="19">SUM(L25:L30)</f>
        <v>0.98358942520265313</v>
      </c>
      <c r="M31" s="137">
        <f t="shared" si="19"/>
        <v>8.9582132331658404E-2</v>
      </c>
      <c r="N31" s="137">
        <f t="shared" si="19"/>
        <v>0</v>
      </c>
      <c r="O31" s="137">
        <f t="shared" si="19"/>
        <v>12.783129105693394</v>
      </c>
      <c r="P31" s="137">
        <f t="shared" si="19"/>
        <v>0</v>
      </c>
      <c r="Q31" s="137">
        <f t="shared" si="19"/>
        <v>0</v>
      </c>
      <c r="R31" s="137">
        <f t="shared" si="19"/>
        <v>0</v>
      </c>
      <c r="S31" s="137">
        <f t="shared" si="19"/>
        <v>0</v>
      </c>
      <c r="T31" s="137">
        <f>SUM(T25:T30)</f>
        <v>0</v>
      </c>
      <c r="U31" s="137">
        <f t="shared" si="19"/>
        <v>4.5</v>
      </c>
      <c r="V31" s="137">
        <f t="shared" si="19"/>
        <v>0</v>
      </c>
      <c r="W31" s="137">
        <f t="shared" si="19"/>
        <v>8.5</v>
      </c>
      <c r="X31" s="137">
        <f t="shared" si="19"/>
        <v>15</v>
      </c>
      <c r="Y31" s="137">
        <f t="shared" si="19"/>
        <v>6</v>
      </c>
      <c r="Z31" s="137">
        <f t="shared" ref="Z31" si="20">SUM(Z25:Z30)</f>
        <v>93</v>
      </c>
      <c r="AA31" s="83">
        <f>(K31/(K31+L31+M31+N31+O31+P31))*100</f>
        <v>76.514744638597108</v>
      </c>
      <c r="AB31" s="83">
        <f>(K31/(K31+L31+M31+N31+O31+P31+U31+Q31+R31+V31+S31+T31))*100</f>
        <v>71.092439900428801</v>
      </c>
      <c r="AC31" s="84" t="s">
        <v>56</v>
      </c>
      <c r="AD31" s="19"/>
    </row>
    <row r="32" spans="1:30" s="9" customFormat="1" ht="15.75" customHeight="1" x14ac:dyDescent="0.3">
      <c r="A32" s="93" t="s">
        <v>64</v>
      </c>
      <c r="B32" s="307"/>
      <c r="C32" s="312"/>
      <c r="D32" s="313"/>
      <c r="E32" s="313"/>
      <c r="F32" s="314"/>
      <c r="G32" s="318" t="s">
        <v>40</v>
      </c>
      <c r="H32" s="319"/>
      <c r="I32" s="320"/>
      <c r="J32" s="76"/>
      <c r="K32" s="77">
        <f t="shared" ref="K32:Y32" si="21">(K31/$Z31)*100</f>
        <v>48.541612190077736</v>
      </c>
      <c r="L32" s="77">
        <f t="shared" si="21"/>
        <v>1.0576230378523153</v>
      </c>
      <c r="M32" s="77">
        <f t="shared" si="21"/>
        <v>9.6324873474901512E-2</v>
      </c>
      <c r="N32" s="77">
        <f t="shared" si="21"/>
        <v>0</v>
      </c>
      <c r="O32" s="77">
        <f t="shared" si="21"/>
        <v>13.745300113648812</v>
      </c>
      <c r="P32" s="77">
        <f t="shared" si="21"/>
        <v>0</v>
      </c>
      <c r="Q32" s="77">
        <f t="shared" si="21"/>
        <v>0</v>
      </c>
      <c r="R32" s="77">
        <f t="shared" si="21"/>
        <v>0</v>
      </c>
      <c r="S32" s="77">
        <f t="shared" si="21"/>
        <v>0</v>
      </c>
      <c r="T32" s="77">
        <f t="shared" si="21"/>
        <v>0</v>
      </c>
      <c r="U32" s="77">
        <f t="shared" si="21"/>
        <v>4.838709677419355</v>
      </c>
      <c r="V32" s="77">
        <f t="shared" si="21"/>
        <v>0</v>
      </c>
      <c r="W32" s="77">
        <f t="shared" si="21"/>
        <v>9.1397849462365599</v>
      </c>
      <c r="X32" s="77">
        <f t="shared" si="21"/>
        <v>16.129032258064516</v>
      </c>
      <c r="Y32" s="77">
        <f t="shared" si="21"/>
        <v>6.4516129032258061</v>
      </c>
      <c r="Z32" s="77">
        <f>SUM(K32:Y32)</f>
        <v>100</v>
      </c>
      <c r="AA32" s="81" t="s">
        <v>41</v>
      </c>
      <c r="AB32" s="57"/>
      <c r="AC32" s="59"/>
      <c r="AD32" s="19"/>
    </row>
    <row r="33" spans="1:30" ht="15" customHeight="1" x14ac:dyDescent="0.25">
      <c r="A33" s="1"/>
      <c r="B33" s="332" t="s">
        <v>65</v>
      </c>
      <c r="C33" s="20" t="s">
        <v>62</v>
      </c>
      <c r="D33" s="20"/>
      <c r="E33" s="20">
        <v>1337</v>
      </c>
      <c r="F33" s="10">
        <f t="shared" si="4"/>
        <v>5.5708333333333337</v>
      </c>
      <c r="G33" s="55">
        <v>5.5629999999999997</v>
      </c>
      <c r="H33" s="55">
        <v>240.423</v>
      </c>
      <c r="I33" s="10">
        <v>1.9510000000000001</v>
      </c>
      <c r="J33" t="s">
        <v>30</v>
      </c>
      <c r="K33" s="98">
        <f t="shared" si="17"/>
        <v>4.9263080324244664</v>
      </c>
      <c r="L33" s="23">
        <f>(E33*I33/100)/271.4</f>
        <v>9.6112269712601339E-2</v>
      </c>
      <c r="M33" s="97">
        <f t="shared" si="18"/>
        <v>9.775653846508919E-3</v>
      </c>
      <c r="N33" s="99"/>
      <c r="O33" s="99">
        <f>Z33-(K33+L33+M33+N33+P33+Q33+U33+R33+S33+W33+V33+Y33+T33+X33)</f>
        <v>0.9678040440164235</v>
      </c>
      <c r="P33" s="99"/>
      <c r="Q33" s="22">
        <v>0</v>
      </c>
      <c r="R33" s="22">
        <v>1.5</v>
      </c>
      <c r="S33" s="22">
        <v>0</v>
      </c>
      <c r="T33" s="22"/>
      <c r="U33" s="22"/>
      <c r="V33" s="22"/>
      <c r="W33" s="101">
        <v>1.5</v>
      </c>
      <c r="X33" s="101">
        <v>3</v>
      </c>
      <c r="Y33" s="101">
        <v>3</v>
      </c>
      <c r="Z33" s="45">
        <v>15</v>
      </c>
      <c r="AA33" s="37"/>
      <c r="AB33" s="37"/>
      <c r="AC33" s="38"/>
      <c r="AD33" s="17"/>
    </row>
    <row r="34" spans="1:30" ht="17.25" customHeight="1" x14ac:dyDescent="0.3">
      <c r="A34" s="1"/>
      <c r="B34" s="332"/>
      <c r="C34" s="20" t="s">
        <v>66</v>
      </c>
      <c r="D34" s="20"/>
      <c r="E34" s="20">
        <v>4272</v>
      </c>
      <c r="F34" s="10">
        <f>E34/240</f>
        <v>17.8</v>
      </c>
      <c r="G34" s="55">
        <v>19</v>
      </c>
      <c r="H34" s="55">
        <v>224.87100000000001</v>
      </c>
      <c r="I34" s="20">
        <v>1.873</v>
      </c>
      <c r="J34" t="s">
        <v>30</v>
      </c>
      <c r="K34" s="98">
        <f t="shared" si="17"/>
        <v>15.740604274134121</v>
      </c>
      <c r="L34" s="23">
        <f>(E34*I34/100)/271.4</f>
        <v>0.29482151805453211</v>
      </c>
      <c r="M34" s="97">
        <f t="shared" si="18"/>
        <v>3.1235297855113021E-2</v>
      </c>
      <c r="N34" s="99"/>
      <c r="O34" s="99">
        <f>Z34-(K34+L34+M34+N34+P34+Q34+U34+R34+S34+W34+V34+Y34+T34+X34)</f>
        <v>2.9333389099562339</v>
      </c>
      <c r="P34" s="99"/>
      <c r="Q34" s="22">
        <v>0</v>
      </c>
      <c r="R34" s="22"/>
      <c r="S34" s="22">
        <v>0.5</v>
      </c>
      <c r="T34" s="22"/>
      <c r="U34" s="22">
        <v>1.5</v>
      </c>
      <c r="V34" s="22"/>
      <c r="W34" s="101"/>
      <c r="X34" s="101"/>
      <c r="Y34" s="101"/>
      <c r="Z34" s="45">
        <v>21</v>
      </c>
      <c r="AA34" s="34"/>
      <c r="AB34" s="34"/>
      <c r="AC34" s="39"/>
      <c r="AD34" s="17" t="s">
        <v>67</v>
      </c>
    </row>
    <row r="35" spans="1:30" ht="17.25" customHeight="1" x14ac:dyDescent="0.3">
      <c r="A35" s="1"/>
      <c r="B35" s="332"/>
      <c r="C35" s="20" t="s">
        <v>68</v>
      </c>
      <c r="D35" s="20"/>
      <c r="E35" s="20">
        <v>3718</v>
      </c>
      <c r="F35" s="10">
        <f t="shared" si="4"/>
        <v>15.491666666666667</v>
      </c>
      <c r="G35" s="55">
        <v>18</v>
      </c>
      <c r="H35" s="55">
        <v>206.56299999999999</v>
      </c>
      <c r="I35" s="20">
        <v>2.0449999999999999</v>
      </c>
      <c r="J35" t="s">
        <v>30</v>
      </c>
      <c r="K35" s="98">
        <f t="shared" si="17"/>
        <v>13.69933677229182</v>
      </c>
      <c r="L35" s="23">
        <f>(E35*I35/100)/271.4</f>
        <v>0.2801514369933677</v>
      </c>
      <c r="M35" s="97">
        <f t="shared" si="18"/>
        <v>2.7184652955362869E-2</v>
      </c>
      <c r="N35" s="99"/>
      <c r="O35" s="99">
        <f>Z35-(K35+L35+M35+N35+P35+Q35+U35+R35+S35+W35+V35+Y35+T35+X35)</f>
        <v>5.493327137759449</v>
      </c>
      <c r="P35" s="99"/>
      <c r="Q35" s="22">
        <v>0</v>
      </c>
      <c r="R35" s="22"/>
      <c r="S35" s="22">
        <v>0</v>
      </c>
      <c r="T35" s="22"/>
      <c r="U35" s="22">
        <v>1.5</v>
      </c>
      <c r="V35" s="22"/>
      <c r="W35" s="101"/>
      <c r="X35" s="101"/>
      <c r="Y35" s="101"/>
      <c r="Z35" s="45">
        <v>21</v>
      </c>
      <c r="AA35" s="34"/>
      <c r="AB35" s="34"/>
      <c r="AC35" s="39"/>
      <c r="AD35" s="17"/>
    </row>
    <row r="36" spans="1:30" ht="17.25" customHeight="1" x14ac:dyDescent="0.3">
      <c r="A36" s="1"/>
      <c r="B36" s="332"/>
      <c r="C36" s="20" t="s">
        <v>69</v>
      </c>
      <c r="D36" s="20"/>
      <c r="E36" s="20">
        <v>4477</v>
      </c>
      <c r="F36" s="10">
        <f t="shared" si="4"/>
        <v>18.654166666666665</v>
      </c>
      <c r="G36" s="55">
        <v>18.649999999999999</v>
      </c>
      <c r="H36" s="55">
        <v>240.08699999999999</v>
      </c>
      <c r="I36" s="20">
        <v>1.839</v>
      </c>
      <c r="J36" t="s">
        <v>30</v>
      </c>
      <c r="K36" s="98">
        <f t="shared" si="17"/>
        <v>16.495946941783348</v>
      </c>
      <c r="L36" s="23">
        <f t="shared" si="15"/>
        <v>0.30336046425939572</v>
      </c>
      <c r="M36" s="97">
        <f t="shared" si="18"/>
        <v>3.2734182700688431E-2</v>
      </c>
      <c r="N36" s="99"/>
      <c r="O36" s="99">
        <f>Z36-(K36+L36+M36+N36+P36+Q36+U36+R36+S36+W36+V36+Y36+T36+X36)</f>
        <v>2.6679584112565671</v>
      </c>
      <c r="P36" s="99"/>
      <c r="Q36" s="22">
        <v>0</v>
      </c>
      <c r="R36" s="22"/>
      <c r="S36" s="22">
        <v>0</v>
      </c>
      <c r="T36" s="22"/>
      <c r="U36" s="22">
        <v>1.5</v>
      </c>
      <c r="V36" s="22"/>
      <c r="W36" s="101"/>
      <c r="X36" s="101"/>
      <c r="Y36" s="101"/>
      <c r="Z36" s="45">
        <v>21</v>
      </c>
      <c r="AA36" s="34"/>
      <c r="AB36" s="34"/>
      <c r="AC36" s="39"/>
      <c r="AD36" s="17"/>
    </row>
    <row r="37" spans="1:30" ht="17.25" customHeight="1" x14ac:dyDescent="0.3">
      <c r="A37" s="1"/>
      <c r="B37" s="332"/>
      <c r="C37" s="20" t="s">
        <v>70</v>
      </c>
      <c r="D37" s="20"/>
      <c r="E37" s="20">
        <v>3350</v>
      </c>
      <c r="F37" s="10">
        <f t="shared" si="4"/>
        <v>13.958333333333334</v>
      </c>
      <c r="G37" s="55">
        <v>14</v>
      </c>
      <c r="H37" s="55">
        <v>239.32499999999999</v>
      </c>
      <c r="I37" s="20">
        <v>1.867</v>
      </c>
      <c r="J37" t="s">
        <v>30</v>
      </c>
      <c r="K37" s="98">
        <f t="shared" ref="K37" si="22">E37/271.4</f>
        <v>12.34340456890199</v>
      </c>
      <c r="L37" s="23">
        <f t="shared" ref="L37" si="23">(E37*I37/100)/271.4</f>
        <v>0.23045136330140017</v>
      </c>
      <c r="M37" s="97">
        <f t="shared" ref="M37" si="24">((44/4*0.0102*480*K37)/100)/271.4</f>
        <v>2.4493971866720178E-2</v>
      </c>
      <c r="N37" s="99"/>
      <c r="O37" s="99">
        <f>Z37-(K37+L37+M37+N37+P37+Q37+U37+R37+S37+W37+V37+Y37+T37+X37)</f>
        <v>2.4016500959298899</v>
      </c>
      <c r="P37" s="99"/>
      <c r="Q37" s="22">
        <v>0</v>
      </c>
      <c r="R37" s="22"/>
      <c r="S37" s="22">
        <v>0</v>
      </c>
      <c r="T37" s="22"/>
      <c r="U37" s="22"/>
      <c r="V37" s="22"/>
      <c r="W37" s="101"/>
      <c r="X37" s="101"/>
      <c r="Y37" s="101"/>
      <c r="Z37" s="45">
        <v>15</v>
      </c>
      <c r="AA37" s="34"/>
      <c r="AB37" s="34"/>
      <c r="AC37" s="39"/>
      <c r="AD37" s="17"/>
    </row>
    <row r="38" spans="1:30" s="8" customFormat="1" ht="15.75" customHeight="1" x14ac:dyDescent="0.3">
      <c r="A38" s="90">
        <v>45658</v>
      </c>
      <c r="B38" s="332"/>
      <c r="C38" s="321" t="s">
        <v>71</v>
      </c>
      <c r="D38" s="322"/>
      <c r="E38" s="322"/>
      <c r="F38" s="323"/>
      <c r="G38" s="327" t="s">
        <v>38</v>
      </c>
      <c r="H38" s="328"/>
      <c r="I38" s="329"/>
      <c r="J38" s="69"/>
      <c r="K38" s="138">
        <f>SUM(K33:K37)</f>
        <v>63.205600589535749</v>
      </c>
      <c r="L38" s="138">
        <f t="shared" ref="L38:Y38" si="25">SUM(L33:L37)</f>
        <v>1.2048970523212972</v>
      </c>
      <c r="M38" s="138">
        <f t="shared" si="25"/>
        <v>0.12542375922439342</v>
      </c>
      <c r="N38" s="138">
        <f t="shared" si="25"/>
        <v>0</v>
      </c>
      <c r="O38" s="138">
        <f t="shared" si="25"/>
        <v>14.464078598918563</v>
      </c>
      <c r="P38" s="138">
        <f t="shared" si="25"/>
        <v>0</v>
      </c>
      <c r="Q38" s="138">
        <f t="shared" si="25"/>
        <v>0</v>
      </c>
      <c r="R38" s="138">
        <f t="shared" si="25"/>
        <v>1.5</v>
      </c>
      <c r="S38" s="138">
        <f t="shared" si="25"/>
        <v>0.5</v>
      </c>
      <c r="T38" s="138">
        <f>SUM(T33:T37)</f>
        <v>0</v>
      </c>
      <c r="U38" s="138">
        <f t="shared" si="25"/>
        <v>4.5</v>
      </c>
      <c r="V38" s="138">
        <f t="shared" si="25"/>
        <v>0</v>
      </c>
      <c r="W38" s="138">
        <f t="shared" si="25"/>
        <v>1.5</v>
      </c>
      <c r="X38" s="138">
        <f t="shared" si="25"/>
        <v>3</v>
      </c>
      <c r="Y38" s="138">
        <f t="shared" si="25"/>
        <v>3</v>
      </c>
      <c r="Z38" s="66">
        <f t="shared" ref="Z38" si="26">SUM(Z33:Z37)</f>
        <v>93</v>
      </c>
      <c r="AA38" s="67">
        <f>(K38/(K38+L38+M38+N38+O38+P38))*100</f>
        <v>80.007089353842716</v>
      </c>
      <c r="AB38" s="67">
        <f>(K38/(K38+L38+M38+N38+O38+P38+U38+Q38+R38+V38+S38+T38))*100</f>
        <v>73.924679052088592</v>
      </c>
      <c r="AC38" s="68" t="s">
        <v>65</v>
      </c>
      <c r="AD38" s="19"/>
    </row>
    <row r="39" spans="1:30" s="8" customFormat="1" ht="15.75" customHeight="1" x14ac:dyDescent="0.3">
      <c r="A39" s="80" t="s">
        <v>72</v>
      </c>
      <c r="B39" s="78"/>
      <c r="C39" s="324"/>
      <c r="D39" s="325"/>
      <c r="E39" s="325"/>
      <c r="F39" s="326"/>
      <c r="G39" s="318" t="s">
        <v>40</v>
      </c>
      <c r="H39" s="319"/>
      <c r="I39" s="320"/>
      <c r="J39" s="76"/>
      <c r="K39" s="77">
        <f t="shared" ref="K39:Y39" si="27">(K38/$Z38)*100</f>
        <v>67.963011386597586</v>
      </c>
      <c r="L39" s="77">
        <f t="shared" si="27"/>
        <v>1.29558822830247</v>
      </c>
      <c r="M39" s="77">
        <f t="shared" si="27"/>
        <v>0.13486425723053055</v>
      </c>
      <c r="N39" s="77">
        <f t="shared" si="27"/>
        <v>0</v>
      </c>
      <c r="O39" s="77">
        <f t="shared" si="27"/>
        <v>15.55277268700921</v>
      </c>
      <c r="P39" s="77">
        <f t="shared" si="27"/>
        <v>0</v>
      </c>
      <c r="Q39" s="77">
        <f t="shared" si="27"/>
        <v>0</v>
      </c>
      <c r="R39" s="77">
        <f t="shared" si="27"/>
        <v>1.6129032258064515</v>
      </c>
      <c r="S39" s="77">
        <f t="shared" si="27"/>
        <v>0.53763440860215062</v>
      </c>
      <c r="T39" s="77">
        <f t="shared" si="27"/>
        <v>0</v>
      </c>
      <c r="U39" s="77">
        <f t="shared" si="27"/>
        <v>4.838709677419355</v>
      </c>
      <c r="V39" s="77">
        <f t="shared" si="27"/>
        <v>0</v>
      </c>
      <c r="W39" s="77">
        <f t="shared" si="27"/>
        <v>1.6129032258064515</v>
      </c>
      <c r="X39" s="77">
        <f t="shared" si="27"/>
        <v>3.225806451612903</v>
      </c>
      <c r="Y39" s="77">
        <f t="shared" si="27"/>
        <v>3.225806451612903</v>
      </c>
      <c r="Z39" s="77">
        <f>SUM(K39:Y39)</f>
        <v>99.999999999999986</v>
      </c>
      <c r="AA39" s="81" t="s">
        <v>41</v>
      </c>
      <c r="AB39" s="57"/>
      <c r="AC39" s="59"/>
      <c r="AD39" s="19"/>
    </row>
    <row r="40" spans="1:30" ht="17.25" customHeight="1" x14ac:dyDescent="0.25">
      <c r="A40" s="87"/>
      <c r="B40" s="306" t="s">
        <v>73</v>
      </c>
      <c r="C40" s="20" t="s">
        <v>70</v>
      </c>
      <c r="D40" s="20"/>
      <c r="E40" s="20">
        <v>1164</v>
      </c>
      <c r="F40" s="10">
        <v>6.0259999999999998</v>
      </c>
      <c r="G40" s="55">
        <v>4.8499999999999996</v>
      </c>
      <c r="H40" s="55">
        <v>240.01599999999999</v>
      </c>
      <c r="I40" s="20">
        <v>2.1059999999999999</v>
      </c>
      <c r="J40" s="27" t="s">
        <v>30</v>
      </c>
      <c r="K40" s="98">
        <f t="shared" si="17"/>
        <v>4.2888725128960949</v>
      </c>
      <c r="L40" s="23">
        <f t="shared" si="15"/>
        <v>9.0323655121591767E-2</v>
      </c>
      <c r="M40" s="97">
        <f t="shared" si="18"/>
        <v>8.5107412695111309E-3</v>
      </c>
      <c r="N40" s="99"/>
      <c r="O40" s="99">
        <f>Z40-(K40+L40+M40+N40+P40+Q40+U40+R40+S40+W40+V40+Y40+T40+X40)</f>
        <v>0.1122930907128028</v>
      </c>
      <c r="P40" s="99"/>
      <c r="Q40" s="22">
        <v>0</v>
      </c>
      <c r="R40" s="22"/>
      <c r="S40" s="22">
        <v>0</v>
      </c>
      <c r="T40" s="22"/>
      <c r="U40" s="22"/>
      <c r="V40" s="22">
        <v>1.5</v>
      </c>
      <c r="W40" s="101"/>
      <c r="X40" s="101"/>
      <c r="Y40" s="101"/>
      <c r="Z40" s="45">
        <v>6</v>
      </c>
      <c r="AA40" s="37"/>
      <c r="AB40" s="37"/>
      <c r="AC40" s="38"/>
      <c r="AD40" s="17"/>
    </row>
    <row r="41" spans="1:30" ht="17.25" customHeight="1" x14ac:dyDescent="0.3">
      <c r="A41" s="88"/>
      <c r="B41" s="307"/>
      <c r="C41" s="20" t="s">
        <v>74</v>
      </c>
      <c r="D41" s="20"/>
      <c r="E41" s="20">
        <v>3480</v>
      </c>
      <c r="F41" s="10">
        <v>14.452999999999999</v>
      </c>
      <c r="G41" s="55">
        <v>14.465</v>
      </c>
      <c r="H41" s="55">
        <v>240.643</v>
      </c>
      <c r="I41" s="20">
        <v>1.8340000000000001</v>
      </c>
      <c r="J41" t="s">
        <v>30</v>
      </c>
      <c r="K41" s="98">
        <f t="shared" si="17"/>
        <v>12.822402358142963</v>
      </c>
      <c r="L41" s="23">
        <f t="shared" si="15"/>
        <v>0.23516285924834199</v>
      </c>
      <c r="M41" s="97">
        <f t="shared" si="18"/>
        <v>2.5444484207816784E-2</v>
      </c>
      <c r="N41" s="99"/>
      <c r="O41" s="99">
        <f>Z41-(K41+L41+M41+N41+P41+Q41+U41+R41+S41+W41+V41+Y41+T41+X41)</f>
        <v>1.9169902984008758</v>
      </c>
      <c r="P41" s="99"/>
      <c r="Q41" s="22">
        <v>0</v>
      </c>
      <c r="R41" s="22">
        <v>0.5</v>
      </c>
      <c r="S41" s="22">
        <v>0</v>
      </c>
      <c r="T41" s="22"/>
      <c r="U41" s="22"/>
      <c r="V41" s="22">
        <v>5.5</v>
      </c>
      <c r="W41" s="101"/>
      <c r="X41" s="101"/>
      <c r="Y41" s="101"/>
      <c r="Z41" s="45">
        <v>21</v>
      </c>
      <c r="AA41" s="34"/>
      <c r="AB41" s="34"/>
      <c r="AC41" s="39"/>
      <c r="AD41" s="17" t="s">
        <v>19</v>
      </c>
    </row>
    <row r="42" spans="1:30" ht="17.25" customHeight="1" x14ac:dyDescent="0.3">
      <c r="A42" s="88"/>
      <c r="B42" s="307"/>
      <c r="C42" s="20" t="s">
        <v>75</v>
      </c>
      <c r="D42" s="20"/>
      <c r="E42" s="20">
        <v>4432</v>
      </c>
      <c r="F42" s="21">
        <v>18.111000000000001</v>
      </c>
      <c r="G42" s="55">
        <v>18.425000000000001</v>
      </c>
      <c r="H42" s="55">
        <v>240.55799999999999</v>
      </c>
      <c r="I42" s="20">
        <v>1.7909999999999999</v>
      </c>
      <c r="J42" t="s">
        <v>30</v>
      </c>
      <c r="K42" s="98">
        <f t="shared" si="17"/>
        <v>16.330140014738394</v>
      </c>
      <c r="L42" s="23">
        <f t="shared" si="15"/>
        <v>0.29247280766396461</v>
      </c>
      <c r="M42" s="97">
        <f t="shared" si="18"/>
        <v>3.2405159198001139E-2</v>
      </c>
      <c r="N42" s="99"/>
      <c r="O42" s="99">
        <f>Z42-(K42+L42+M42+N42+P42+Q42+U42+R42+S42+W42+V42+Y42+T42+X42)</f>
        <v>2.8449820183996408</v>
      </c>
      <c r="P42" s="99"/>
      <c r="Q42" s="22">
        <v>0</v>
      </c>
      <c r="R42" s="22"/>
      <c r="S42" s="22">
        <v>0</v>
      </c>
      <c r="T42" s="22"/>
      <c r="U42" s="22">
        <v>1.5</v>
      </c>
      <c r="V42" s="22"/>
      <c r="W42" s="101"/>
      <c r="X42" s="101"/>
      <c r="Y42" s="101"/>
      <c r="Z42" s="45">
        <v>21</v>
      </c>
      <c r="AA42" s="34"/>
      <c r="AB42" s="34"/>
      <c r="AC42" s="39"/>
      <c r="AD42" s="17"/>
    </row>
    <row r="43" spans="1:30" ht="17.25" customHeight="1" x14ac:dyDescent="0.3">
      <c r="A43" s="88"/>
      <c r="B43" s="307"/>
      <c r="C43" s="20" t="s">
        <v>76</v>
      </c>
      <c r="D43" s="20"/>
      <c r="E43" s="20">
        <v>4899</v>
      </c>
      <c r="F43" s="10">
        <f t="shared" si="4"/>
        <v>20.412500000000001</v>
      </c>
      <c r="G43" s="55">
        <v>20.259</v>
      </c>
      <c r="H43" s="55">
        <v>241.84700000000001</v>
      </c>
      <c r="I43" s="20">
        <v>1.744</v>
      </c>
      <c r="J43" t="s">
        <v>30</v>
      </c>
      <c r="K43" s="98">
        <f t="shared" si="17"/>
        <v>18.050847457627121</v>
      </c>
      <c r="L43" s="23">
        <f t="shared" si="15"/>
        <v>0.31480677966101694</v>
      </c>
      <c r="M43" s="97">
        <f t="shared" si="18"/>
        <v>3.5819691992555865E-2</v>
      </c>
      <c r="N43" s="99"/>
      <c r="O43" s="99">
        <f>Z43-(K43+L43+M43+N43+P43+Q43+U43+R43+S43+W43+V43+Y43+T43+X43)</f>
        <v>0.75052607071930666</v>
      </c>
      <c r="P43" s="99">
        <v>0.34799999999999998</v>
      </c>
      <c r="Q43" s="22">
        <v>0</v>
      </c>
      <c r="R43" s="22"/>
      <c r="S43" s="22">
        <v>0</v>
      </c>
      <c r="T43" s="22"/>
      <c r="U43" s="22">
        <v>1.5</v>
      </c>
      <c r="V43" s="22"/>
      <c r="W43" s="101"/>
      <c r="X43" s="101"/>
      <c r="Y43" s="101"/>
      <c r="Z43" s="45">
        <v>21</v>
      </c>
      <c r="AA43" s="34"/>
      <c r="AB43" s="34"/>
      <c r="AC43" s="39"/>
      <c r="AD43" s="17"/>
    </row>
    <row r="44" spans="1:30" ht="17.25" customHeight="1" x14ac:dyDescent="0.3">
      <c r="A44" s="88"/>
      <c r="B44" s="307"/>
      <c r="C44" s="20" t="s">
        <v>77</v>
      </c>
      <c r="D44" s="20"/>
      <c r="E44" s="20">
        <v>3251</v>
      </c>
      <c r="F44" s="10">
        <f t="shared" si="4"/>
        <v>13.545833333333333</v>
      </c>
      <c r="G44" s="55">
        <v>13.499000000000001</v>
      </c>
      <c r="H44" s="55">
        <v>240.86</v>
      </c>
      <c r="I44" s="20">
        <v>1.804</v>
      </c>
      <c r="J44" t="s">
        <v>30</v>
      </c>
      <c r="K44" s="98">
        <f t="shared" si="17"/>
        <v>11.978629329403097</v>
      </c>
      <c r="L44" s="23">
        <f t="shared" si="15"/>
        <v>0.21609447310243185</v>
      </c>
      <c r="M44" s="97">
        <f t="shared" si="18"/>
        <v>2.3770120160808154E-2</v>
      </c>
      <c r="N44" s="99"/>
      <c r="O44" s="99">
        <f>Z44-(K44+L44+M44+N44+P44+Q44+U44+R44+S44+W44+V44+Y44+T44+X44)</f>
        <v>1.1015060773336636</v>
      </c>
      <c r="P44" s="99">
        <v>0.18</v>
      </c>
      <c r="Q44" s="22"/>
      <c r="R44" s="22"/>
      <c r="S44" s="22">
        <v>0</v>
      </c>
      <c r="T44" s="22"/>
      <c r="U44" s="22">
        <v>1.5</v>
      </c>
      <c r="V44" s="22"/>
      <c r="W44" s="101"/>
      <c r="X44" s="101"/>
      <c r="Y44" s="101"/>
      <c r="Z44" s="45">
        <v>15</v>
      </c>
      <c r="AA44" s="34"/>
      <c r="AB44" s="34"/>
      <c r="AC44" s="39"/>
      <c r="AD44" s="17"/>
    </row>
    <row r="45" spans="1:30" ht="17.25" customHeight="1" x14ac:dyDescent="0.3">
      <c r="A45" s="91">
        <v>45689</v>
      </c>
      <c r="B45" s="307"/>
      <c r="C45" s="309" t="s">
        <v>78</v>
      </c>
      <c r="D45" s="310"/>
      <c r="E45" s="310"/>
      <c r="F45" s="311"/>
      <c r="G45" s="315" t="s">
        <v>38</v>
      </c>
      <c r="H45" s="316"/>
      <c r="I45" s="317"/>
      <c r="J45" s="85"/>
      <c r="K45" s="137">
        <f>SUM(K40:K44)</f>
        <v>63.470891672807667</v>
      </c>
      <c r="L45" s="137">
        <f t="shared" ref="L45:Y45" si="28">SUM(L40:L44)</f>
        <v>1.1488605747973473</v>
      </c>
      <c r="M45" s="137">
        <f t="shared" si="28"/>
        <v>0.12595019682869307</v>
      </c>
      <c r="N45" s="137">
        <f t="shared" si="28"/>
        <v>0</v>
      </c>
      <c r="O45" s="137">
        <f t="shared" si="28"/>
        <v>6.7262975555662896</v>
      </c>
      <c r="P45" s="137">
        <f t="shared" si="28"/>
        <v>0.52800000000000002</v>
      </c>
      <c r="Q45" s="137">
        <f t="shared" si="28"/>
        <v>0</v>
      </c>
      <c r="R45" s="137">
        <f t="shared" si="28"/>
        <v>0.5</v>
      </c>
      <c r="S45" s="137">
        <f t="shared" si="28"/>
        <v>0</v>
      </c>
      <c r="T45" s="137">
        <f>SUM(T40:T44)</f>
        <v>0</v>
      </c>
      <c r="U45" s="137">
        <f t="shared" si="28"/>
        <v>4.5</v>
      </c>
      <c r="V45" s="137">
        <f t="shared" si="28"/>
        <v>7</v>
      </c>
      <c r="W45" s="137">
        <f t="shared" si="28"/>
        <v>0</v>
      </c>
      <c r="X45" s="137">
        <f t="shared" si="28"/>
        <v>0</v>
      </c>
      <c r="Y45" s="137">
        <f t="shared" si="28"/>
        <v>0</v>
      </c>
      <c r="Z45" s="137">
        <f>SUM(Z40:Z44)</f>
        <v>84</v>
      </c>
      <c r="AA45" s="83">
        <f>(K45/(K45+L45+M45+N45+O45+P45))*100</f>
        <v>88.154016212232861</v>
      </c>
      <c r="AB45" s="83">
        <f>(K45/(K45+L45+M45+N45+O45+P45+U45+Q45+R45+V45+S45+T45))*100</f>
        <v>75.560585324771026</v>
      </c>
      <c r="AC45" s="84" t="s">
        <v>73</v>
      </c>
      <c r="AD45" s="17"/>
    </row>
    <row r="46" spans="1:30" ht="17.25" x14ac:dyDescent="0.3">
      <c r="A46" s="89" t="s">
        <v>79</v>
      </c>
      <c r="B46" s="308"/>
      <c r="C46" s="312"/>
      <c r="D46" s="313"/>
      <c r="E46" s="313"/>
      <c r="F46" s="314"/>
      <c r="G46" s="318" t="s">
        <v>40</v>
      </c>
      <c r="H46" s="319"/>
      <c r="I46" s="320"/>
      <c r="J46" s="82"/>
      <c r="K46" s="77">
        <f t="shared" ref="K46:Y46" si="29">(K45/$Z45)*100</f>
        <v>75.56058532477104</v>
      </c>
      <c r="L46" s="77">
        <f t="shared" si="29"/>
        <v>1.3676911604730324</v>
      </c>
      <c r="M46" s="77">
        <f t="shared" si="29"/>
        <v>0.14994071051034891</v>
      </c>
      <c r="N46" s="77">
        <f t="shared" si="29"/>
        <v>0</v>
      </c>
      <c r="O46" s="77">
        <f t="shared" si="29"/>
        <v>8.0074970899598679</v>
      </c>
      <c r="P46" s="77">
        <f t="shared" si="29"/>
        <v>0.62857142857142856</v>
      </c>
      <c r="Q46" s="77">
        <f t="shared" si="29"/>
        <v>0</v>
      </c>
      <c r="R46" s="77">
        <f t="shared" si="29"/>
        <v>0.59523809523809523</v>
      </c>
      <c r="S46" s="77">
        <f t="shared" si="29"/>
        <v>0</v>
      </c>
      <c r="T46" s="77">
        <f t="shared" si="29"/>
        <v>0</v>
      </c>
      <c r="U46" s="77">
        <f t="shared" si="29"/>
        <v>5.3571428571428568</v>
      </c>
      <c r="V46" s="77">
        <f t="shared" si="29"/>
        <v>8.3333333333333321</v>
      </c>
      <c r="W46" s="77">
        <f t="shared" si="29"/>
        <v>0</v>
      </c>
      <c r="X46" s="77">
        <f t="shared" si="29"/>
        <v>0</v>
      </c>
      <c r="Y46" s="77">
        <f t="shared" si="29"/>
        <v>0</v>
      </c>
      <c r="Z46" s="77">
        <f>SUM(K46:Y46)</f>
        <v>100.00000000000001</v>
      </c>
      <c r="AA46" s="81" t="s">
        <v>41</v>
      </c>
      <c r="AB46" s="35"/>
      <c r="AC46" s="63"/>
      <c r="AD46" s="17"/>
    </row>
    <row r="47" spans="1:30" ht="15" customHeight="1" x14ac:dyDescent="0.3">
      <c r="A47" s="87"/>
      <c r="B47" s="331" t="s">
        <v>80</v>
      </c>
      <c r="C47" s="24" t="s">
        <v>81</v>
      </c>
      <c r="D47" s="24"/>
      <c r="E47" s="24">
        <v>1443</v>
      </c>
      <c r="F47" s="25">
        <f t="shared" si="4"/>
        <v>6.0125000000000002</v>
      </c>
      <c r="G47" s="140">
        <v>6.0119999999999996</v>
      </c>
      <c r="H47" s="140">
        <v>240</v>
      </c>
      <c r="I47" s="24">
        <v>1.829</v>
      </c>
      <c r="J47" t="s">
        <v>30</v>
      </c>
      <c r="K47" s="98">
        <f>E47/271.4</f>
        <v>5.3168754605747974</v>
      </c>
      <c r="L47" s="23">
        <f t="shared" si="15"/>
        <v>9.7245652173913052E-2</v>
      </c>
      <c r="M47" s="97">
        <f t="shared" si="18"/>
        <v>1.0550686986172304E-2</v>
      </c>
      <c r="N47" s="99"/>
      <c r="O47" s="99">
        <f t="shared" ref="O47:O52" si="30">Z47-(K47+L47+M47+N47+P47+Q47+U47+R47+S47+W47+V47+Y47+T47+X47)</f>
        <v>0.49532820026511715</v>
      </c>
      <c r="P47" s="99">
        <v>0.08</v>
      </c>
      <c r="Q47" s="22"/>
      <c r="R47" s="22"/>
      <c r="S47" s="22">
        <v>0</v>
      </c>
      <c r="T47" s="22"/>
      <c r="U47" s="22"/>
      <c r="V47" s="22"/>
      <c r="W47" s="101"/>
      <c r="X47" s="101"/>
      <c r="Y47" s="101"/>
      <c r="Z47" s="45">
        <v>6</v>
      </c>
      <c r="AA47" s="40"/>
      <c r="AB47" s="40"/>
      <c r="AC47" s="11"/>
      <c r="AD47" s="17"/>
    </row>
    <row r="48" spans="1:30" ht="17.25" x14ac:dyDescent="0.3">
      <c r="A48" s="104"/>
      <c r="B48" s="332"/>
      <c r="C48" s="24" t="s">
        <v>82</v>
      </c>
      <c r="D48" s="20">
        <v>4744</v>
      </c>
      <c r="E48" s="20">
        <v>4715</v>
      </c>
      <c r="F48" s="10">
        <f t="shared" si="4"/>
        <v>19.645833333333332</v>
      </c>
      <c r="G48" s="55">
        <v>19.5</v>
      </c>
      <c r="H48" s="55">
        <v>241.83500000000001</v>
      </c>
      <c r="I48" s="20">
        <v>1.92</v>
      </c>
      <c r="J48" t="s">
        <v>30</v>
      </c>
      <c r="K48" s="98">
        <f>E48/271.4</f>
        <v>17.372881355932204</v>
      </c>
      <c r="L48" s="23">
        <f t="shared" si="15"/>
        <v>0.33355932203389832</v>
      </c>
      <c r="M48" s="97">
        <f t="shared" si="18"/>
        <v>3.4474351448234526E-2</v>
      </c>
      <c r="N48" s="99"/>
      <c r="O48" s="99">
        <f t="shared" si="30"/>
        <v>1.2590849705856613</v>
      </c>
      <c r="P48" s="99">
        <v>0.5</v>
      </c>
      <c r="Q48" s="22"/>
      <c r="R48" s="22"/>
      <c r="S48" s="22">
        <v>0</v>
      </c>
      <c r="T48" s="22"/>
      <c r="U48" s="22">
        <v>1.5</v>
      </c>
      <c r="V48" s="22"/>
      <c r="W48" s="101"/>
      <c r="X48" s="101"/>
      <c r="Y48" s="101"/>
      <c r="Z48" s="45">
        <v>21</v>
      </c>
      <c r="AA48" s="12"/>
      <c r="AB48" s="12"/>
      <c r="AC48" s="11"/>
      <c r="AD48" s="17" t="s">
        <v>83</v>
      </c>
    </row>
    <row r="49" spans="1:30" ht="17.25" x14ac:dyDescent="0.3">
      <c r="A49" s="88"/>
      <c r="B49" s="332"/>
      <c r="C49" s="24" t="s">
        <v>84</v>
      </c>
      <c r="D49" s="136">
        <v>4599.2700000000004</v>
      </c>
      <c r="E49" s="136">
        <v>4605.8050000000003</v>
      </c>
      <c r="F49" s="10">
        <f t="shared" si="4"/>
        <v>19.190854166666668</v>
      </c>
      <c r="G49" s="55">
        <v>19.187999999999999</v>
      </c>
      <c r="H49" s="55">
        <v>240.042</v>
      </c>
      <c r="I49" s="20">
        <v>1.875</v>
      </c>
      <c r="J49" t="s">
        <v>30</v>
      </c>
      <c r="K49" s="98">
        <f t="shared" ref="K49:K52" si="31">E49/271.4</f>
        <v>16.970541635961684</v>
      </c>
      <c r="L49" s="23">
        <f t="shared" si="15"/>
        <v>0.3181976556742816</v>
      </c>
      <c r="M49" s="97">
        <f t="shared" si="18"/>
        <v>3.3675957639880343E-2</v>
      </c>
      <c r="N49" s="99"/>
      <c r="O49" s="99">
        <f t="shared" si="30"/>
        <v>1.3275847507241529</v>
      </c>
      <c r="P49" s="99">
        <v>0.6</v>
      </c>
      <c r="Q49" s="22"/>
      <c r="R49" s="22"/>
      <c r="S49" s="22">
        <v>0</v>
      </c>
      <c r="T49" s="22"/>
      <c r="U49" s="22">
        <v>1.75</v>
      </c>
      <c r="V49" s="22"/>
      <c r="W49" s="101"/>
      <c r="X49" s="101"/>
      <c r="Y49" s="101"/>
      <c r="Z49" s="45">
        <v>21</v>
      </c>
      <c r="AA49" s="12"/>
      <c r="AB49" s="12"/>
      <c r="AC49" s="11"/>
      <c r="AD49" s="17" t="s">
        <v>85</v>
      </c>
    </row>
    <row r="50" spans="1:30" ht="17.25" x14ac:dyDescent="0.3">
      <c r="A50" s="104"/>
      <c r="B50" s="332"/>
      <c r="C50" s="24" t="s">
        <v>86</v>
      </c>
      <c r="D50" s="136">
        <v>4570.0690000000004</v>
      </c>
      <c r="E50" s="136">
        <v>4580.1090000000004</v>
      </c>
      <c r="F50" s="10">
        <f t="shared" si="4"/>
        <v>19.083787500000003</v>
      </c>
      <c r="G50" s="55">
        <v>19</v>
      </c>
      <c r="H50" s="55">
        <v>241.05799999999999</v>
      </c>
      <c r="I50" s="20">
        <v>1.9</v>
      </c>
      <c r="J50" t="s">
        <v>30</v>
      </c>
      <c r="K50" s="98">
        <f t="shared" si="31"/>
        <v>16.875862196020638</v>
      </c>
      <c r="L50" s="23">
        <f t="shared" si="15"/>
        <v>0.32064138172439205</v>
      </c>
      <c r="M50" s="97">
        <f t="shared" si="18"/>
        <v>3.348807790821251E-2</v>
      </c>
      <c r="N50" s="99"/>
      <c r="O50" s="99">
        <f t="shared" si="30"/>
        <v>1.8700083443467577</v>
      </c>
      <c r="P50" s="99">
        <v>0.4</v>
      </c>
      <c r="Q50" s="102"/>
      <c r="R50" s="102"/>
      <c r="S50" s="22">
        <v>0</v>
      </c>
      <c r="T50" s="102"/>
      <c r="U50" s="22">
        <v>1.5</v>
      </c>
      <c r="V50" s="102"/>
      <c r="W50" s="103"/>
      <c r="X50" s="101"/>
      <c r="Y50" s="103"/>
      <c r="Z50" s="45">
        <v>21</v>
      </c>
      <c r="AA50" s="12"/>
      <c r="AB50" s="12"/>
      <c r="AC50" s="11"/>
      <c r="AD50" s="17"/>
    </row>
    <row r="51" spans="1:30" ht="17.25" x14ac:dyDescent="0.3">
      <c r="A51" s="104"/>
      <c r="B51" s="332"/>
      <c r="C51" s="24" t="s">
        <v>87</v>
      </c>
      <c r="D51" s="136">
        <v>4847.9459999999999</v>
      </c>
      <c r="E51" s="136">
        <v>4848.3680000000004</v>
      </c>
      <c r="F51" s="10">
        <f t="shared" si="4"/>
        <v>20.201533333333334</v>
      </c>
      <c r="G51" s="55">
        <v>20.145</v>
      </c>
      <c r="H51" s="55">
        <v>240.678</v>
      </c>
      <c r="I51" s="10">
        <v>1.865</v>
      </c>
      <c r="J51" t="s">
        <v>30</v>
      </c>
      <c r="K51" s="98">
        <f t="shared" si="31"/>
        <v>17.864288872512898</v>
      </c>
      <c r="L51" s="23">
        <f t="shared" si="15"/>
        <v>0.33316898747236556</v>
      </c>
      <c r="M51" s="97">
        <f t="shared" si="18"/>
        <v>3.5449489370598927E-2</v>
      </c>
      <c r="N51" s="99"/>
      <c r="O51" s="99">
        <f t="shared" si="30"/>
        <v>1.5170926506441376</v>
      </c>
      <c r="P51" s="99">
        <v>0.25</v>
      </c>
      <c r="Q51" s="22"/>
      <c r="R51" s="22"/>
      <c r="S51" s="22">
        <v>0</v>
      </c>
      <c r="T51" s="22"/>
      <c r="U51" s="22"/>
      <c r="V51" s="22">
        <v>1</v>
      </c>
      <c r="W51" s="101"/>
      <c r="X51" s="101"/>
      <c r="Y51" s="101"/>
      <c r="Z51" s="45">
        <v>21</v>
      </c>
      <c r="AA51" s="12"/>
      <c r="AB51" s="12"/>
      <c r="AC51" s="11"/>
      <c r="AD51" s="17"/>
    </row>
    <row r="52" spans="1:30" ht="17.25" x14ac:dyDescent="0.3">
      <c r="A52" s="88"/>
      <c r="B52" s="332"/>
      <c r="C52" s="24" t="s">
        <v>88</v>
      </c>
      <c r="D52" s="136">
        <v>59</v>
      </c>
      <c r="E52" s="136">
        <v>59.411999999999999</v>
      </c>
      <c r="F52" s="10">
        <f t="shared" si="4"/>
        <v>0.24754999999999999</v>
      </c>
      <c r="G52" s="10"/>
      <c r="H52" s="55"/>
      <c r="I52" s="10"/>
      <c r="J52" t="s">
        <v>30</v>
      </c>
      <c r="K52" s="98">
        <f t="shared" si="31"/>
        <v>0.21890935887988211</v>
      </c>
      <c r="L52" s="23"/>
      <c r="M52" s="99">
        <f t="shared" si="18"/>
        <v>4.3439876314793413E-4</v>
      </c>
      <c r="N52" s="99"/>
      <c r="O52" s="99">
        <f t="shared" si="30"/>
        <v>-0.21934375764302994</v>
      </c>
      <c r="P52" s="99"/>
      <c r="Q52" s="22"/>
      <c r="R52" s="22"/>
      <c r="S52" s="22">
        <v>0</v>
      </c>
      <c r="T52" s="22"/>
      <c r="U52" s="22"/>
      <c r="V52" s="22">
        <v>3</v>
      </c>
      <c r="W52" s="101"/>
      <c r="X52" s="101"/>
      <c r="Y52" s="101"/>
      <c r="Z52" s="45">
        <v>3</v>
      </c>
      <c r="AA52" s="12"/>
      <c r="AB52" s="12"/>
      <c r="AC52" s="11"/>
      <c r="AD52" s="17" t="s">
        <v>89</v>
      </c>
    </row>
    <row r="53" spans="1:30" ht="17.25" x14ac:dyDescent="0.3">
      <c r="A53" s="105">
        <v>45717</v>
      </c>
      <c r="B53" s="332"/>
      <c r="C53" s="321" t="s">
        <v>90</v>
      </c>
      <c r="D53" s="322"/>
      <c r="E53" s="322"/>
      <c r="F53" s="323"/>
      <c r="G53" s="327" t="s">
        <v>38</v>
      </c>
      <c r="H53" s="328"/>
      <c r="I53" s="329"/>
      <c r="J53" s="42"/>
      <c r="K53" s="139">
        <f>SUM(K47:K52)</f>
        <v>74.6193588798821</v>
      </c>
      <c r="L53" s="139">
        <f t="shared" ref="L53:Y53" si="32">SUM(L47:L52)</f>
        <v>1.4028129990788505</v>
      </c>
      <c r="M53" s="139">
        <f t="shared" si="32"/>
        <v>0.14807296211624654</v>
      </c>
      <c r="N53" s="139">
        <f t="shared" si="32"/>
        <v>0</v>
      </c>
      <c r="O53" s="139">
        <f t="shared" si="32"/>
        <v>6.2497551589227971</v>
      </c>
      <c r="P53" s="139">
        <f t="shared" si="32"/>
        <v>1.83</v>
      </c>
      <c r="Q53" s="139">
        <f t="shared" si="32"/>
        <v>0</v>
      </c>
      <c r="R53" s="139">
        <f t="shared" si="32"/>
        <v>0</v>
      </c>
      <c r="S53" s="139">
        <f t="shared" si="32"/>
        <v>0</v>
      </c>
      <c r="T53" s="139">
        <f>SUM(T47:T52)</f>
        <v>0</v>
      </c>
      <c r="U53" s="139">
        <f t="shared" si="32"/>
        <v>4.75</v>
      </c>
      <c r="V53" s="139">
        <f t="shared" si="32"/>
        <v>4</v>
      </c>
      <c r="W53" s="139">
        <f t="shared" si="32"/>
        <v>0</v>
      </c>
      <c r="X53" s="139">
        <f t="shared" si="32"/>
        <v>0</v>
      </c>
      <c r="Y53" s="139">
        <f t="shared" si="32"/>
        <v>0</v>
      </c>
      <c r="Z53" s="139">
        <f t="shared" ref="Z53" si="33">SUM(Z47:Z52)</f>
        <v>93</v>
      </c>
      <c r="AA53" s="51">
        <f>(K53/(K53+L53+M53+N53+O53+P53))*100</f>
        <v>88.568971964251759</v>
      </c>
      <c r="AB53" s="67">
        <f>(K53/(K53+L53+M53+N53+O53+P53+U53+Q53+R53+V53+S53+T53))*100</f>
        <v>80.235869763314099</v>
      </c>
      <c r="AC53" s="52" t="s">
        <v>80</v>
      </c>
      <c r="AD53" s="17"/>
    </row>
    <row r="54" spans="1:30" ht="17.25" x14ac:dyDescent="0.3">
      <c r="A54" s="143" t="s">
        <v>91</v>
      </c>
      <c r="B54" s="333"/>
      <c r="C54" s="324"/>
      <c r="D54" s="325"/>
      <c r="E54" s="325"/>
      <c r="F54" s="326"/>
      <c r="G54" s="318" t="s">
        <v>40</v>
      </c>
      <c r="H54" s="319"/>
      <c r="I54" s="320"/>
      <c r="J54" s="82"/>
      <c r="K54" s="77">
        <f t="shared" ref="K54:Y54" si="34">(K53/$Z53)*100</f>
        <v>80.235869763314085</v>
      </c>
      <c r="L54" s="77">
        <f t="shared" si="34"/>
        <v>1.5084010742783338</v>
      </c>
      <c r="M54" s="77">
        <f t="shared" si="34"/>
        <v>0.1592182388346737</v>
      </c>
      <c r="N54" s="77">
        <f t="shared" si="34"/>
        <v>0</v>
      </c>
      <c r="O54" s="77">
        <f t="shared" si="34"/>
        <v>6.7201668375513943</v>
      </c>
      <c r="P54" s="77">
        <f t="shared" si="34"/>
        <v>1.9677419354838712</v>
      </c>
      <c r="Q54" s="77">
        <f t="shared" si="34"/>
        <v>0</v>
      </c>
      <c r="R54" s="77">
        <f t="shared" si="34"/>
        <v>0</v>
      </c>
      <c r="S54" s="77">
        <f t="shared" si="34"/>
        <v>0</v>
      </c>
      <c r="T54" s="77">
        <f t="shared" si="34"/>
        <v>0</v>
      </c>
      <c r="U54" s="77">
        <f t="shared" si="34"/>
        <v>5.10752688172043</v>
      </c>
      <c r="V54" s="77">
        <f t="shared" si="34"/>
        <v>4.3010752688172049</v>
      </c>
      <c r="W54" s="77">
        <f t="shared" si="34"/>
        <v>0</v>
      </c>
      <c r="X54" s="77">
        <f t="shared" si="34"/>
        <v>0</v>
      </c>
      <c r="Y54" s="77">
        <f t="shared" si="34"/>
        <v>0</v>
      </c>
      <c r="Z54" s="77">
        <f>SUM(K54:Y54)</f>
        <v>99.999999999999986</v>
      </c>
      <c r="AA54" s="81" t="s">
        <v>41</v>
      </c>
      <c r="AB54" s="61"/>
      <c r="AC54" s="62"/>
      <c r="AD54" s="17"/>
    </row>
    <row r="55" spans="1:30" ht="17.25" x14ac:dyDescent="0.3">
      <c r="A55" s="87"/>
      <c r="B55" s="306" t="s">
        <v>92</v>
      </c>
      <c r="C55" s="24" t="s">
        <v>88</v>
      </c>
      <c r="D55" s="136">
        <v>3326.76</v>
      </c>
      <c r="E55" s="136">
        <v>3328.5329999999999</v>
      </c>
      <c r="F55" s="10">
        <f t="shared" si="4"/>
        <v>13.8688875</v>
      </c>
      <c r="G55" s="55">
        <v>14.086</v>
      </c>
      <c r="H55" s="55">
        <v>236.303</v>
      </c>
      <c r="I55" s="10">
        <v>1.778</v>
      </c>
      <c r="J55" t="s">
        <v>30</v>
      </c>
      <c r="K55" s="98">
        <f>E55/271.4</f>
        <v>12.264307295504791</v>
      </c>
      <c r="L55" s="23">
        <f t="shared" ref="L55:L59" si="35">(E55*I55/100)/271.4</f>
        <v>0.21805938371407518</v>
      </c>
      <c r="M55" s="99">
        <f t="shared" ref="M55:M59" si="36">((44/4*0.0102*480*K55)/100)/271.4</f>
        <v>2.4337013032671558E-2</v>
      </c>
      <c r="N55" s="99"/>
      <c r="O55" s="99">
        <f>Z55-(K55+L55+M55+N55+P55+Q55+U55+R55+S55+W55+V55+Y55+T55+X55)</f>
        <v>1.3057963077484622</v>
      </c>
      <c r="P55" s="99">
        <v>0.1875</v>
      </c>
      <c r="Q55" s="151"/>
      <c r="R55" s="22">
        <v>1</v>
      </c>
      <c r="S55" s="151"/>
      <c r="T55" s="151"/>
      <c r="U55" s="151"/>
      <c r="V55" s="22">
        <v>3</v>
      </c>
      <c r="W55" s="152"/>
      <c r="X55" s="101"/>
      <c r="Y55" s="152"/>
      <c r="Z55" s="45">
        <v>18</v>
      </c>
      <c r="AA55" s="12"/>
      <c r="AB55" s="12"/>
      <c r="AC55" s="11"/>
      <c r="AD55" s="17"/>
    </row>
    <row r="56" spans="1:30" ht="17.25" x14ac:dyDescent="0.3">
      <c r="A56" s="104"/>
      <c r="B56" s="307"/>
      <c r="C56" s="24" t="s">
        <v>93</v>
      </c>
      <c r="D56" s="136">
        <v>4677.4759999999997</v>
      </c>
      <c r="E56" s="136">
        <v>4689.0969999999998</v>
      </c>
      <c r="F56" s="10">
        <f t="shared" si="4"/>
        <v>19.537904166666667</v>
      </c>
      <c r="G56" s="55">
        <v>19.5</v>
      </c>
      <c r="H56" s="55">
        <v>240.46700000000001</v>
      </c>
      <c r="I56" s="10">
        <v>1.8460000000000001</v>
      </c>
      <c r="J56" t="s">
        <v>30</v>
      </c>
      <c r="K56" s="98">
        <f>E56/271.4</f>
        <v>17.27743920412675</v>
      </c>
      <c r="L56" s="23">
        <f t="shared" si="35"/>
        <v>0.31894152770817985</v>
      </c>
      <c r="M56" s="99">
        <f t="shared" si="36"/>
        <v>3.4284958208454328E-2</v>
      </c>
      <c r="N56" s="99"/>
      <c r="O56" s="99">
        <f t="shared" ref="O56:O59" si="37">Z56-(K56+L56+M56+N56+P56+Q56+U56+R56+S56+W56+V56+Y56+T56+X56)</f>
        <v>1.6293343099566187</v>
      </c>
      <c r="P56" s="99">
        <v>0.24</v>
      </c>
      <c r="Q56" s="22"/>
      <c r="R56" s="22"/>
      <c r="S56" s="22"/>
      <c r="T56" s="22"/>
      <c r="U56" s="22">
        <v>1.5</v>
      </c>
      <c r="V56" s="22"/>
      <c r="W56" s="101"/>
      <c r="X56" s="101"/>
      <c r="Y56" s="101"/>
      <c r="Z56" s="45">
        <v>21</v>
      </c>
      <c r="AA56" s="12"/>
      <c r="AB56" s="12"/>
      <c r="AC56" s="11"/>
      <c r="AD56" s="17"/>
    </row>
    <row r="57" spans="1:30" ht="17.25" x14ac:dyDescent="0.3">
      <c r="A57" s="28"/>
      <c r="B57" s="307"/>
      <c r="C57" s="24" t="s">
        <v>94</v>
      </c>
      <c r="D57" s="136">
        <v>3239.116</v>
      </c>
      <c r="E57" s="136">
        <v>3249.7559999999999</v>
      </c>
      <c r="F57" s="10">
        <f t="shared" si="4"/>
        <v>13.540649999999999</v>
      </c>
      <c r="G57" s="55">
        <v>13.5</v>
      </c>
      <c r="H57" s="55">
        <v>240.72300000000001</v>
      </c>
      <c r="I57" s="10">
        <v>1.909</v>
      </c>
      <c r="J57" t="s">
        <v>30</v>
      </c>
      <c r="K57" s="98">
        <f>E57/271.4</f>
        <v>11.974045689019897</v>
      </c>
      <c r="L57" s="23">
        <f t="shared" si="35"/>
        <v>0.22858453220338984</v>
      </c>
      <c r="M57" s="99">
        <f t="shared" si="36"/>
        <v>2.3761024488867195E-2</v>
      </c>
      <c r="N57" s="99"/>
      <c r="O57" s="99">
        <f>Z57-(K57+L57+M57+N57+P57+Q57+U57+R57+S57+W57+V57+Y57+T57+X57)</f>
        <v>1.4516087542878466</v>
      </c>
      <c r="P57" s="99">
        <v>0.32200000000000001</v>
      </c>
      <c r="Q57" s="22"/>
      <c r="R57" s="22"/>
      <c r="S57" s="22"/>
      <c r="T57" s="22"/>
      <c r="U57" s="22">
        <v>1</v>
      </c>
      <c r="V57" s="22"/>
      <c r="W57" s="101"/>
      <c r="X57" s="101">
        <v>3</v>
      </c>
      <c r="Y57" s="101">
        <v>3</v>
      </c>
      <c r="Z57" s="45">
        <v>21</v>
      </c>
      <c r="AA57" s="12"/>
      <c r="AB57" s="12"/>
      <c r="AC57" s="11"/>
      <c r="AD57" s="17" t="s">
        <v>95</v>
      </c>
    </row>
    <row r="58" spans="1:30" ht="17.25" x14ac:dyDescent="0.3">
      <c r="A58" s="28"/>
      <c r="B58" s="307"/>
      <c r="C58" s="24" t="s">
        <v>96</v>
      </c>
      <c r="D58" s="136">
        <v>3934.998</v>
      </c>
      <c r="E58" s="136">
        <v>3898.741</v>
      </c>
      <c r="F58" s="10">
        <f t="shared" si="4"/>
        <v>16.244754166666667</v>
      </c>
      <c r="G58" s="55">
        <v>16.100000000000001</v>
      </c>
      <c r="H58" s="55">
        <v>242.15799999999999</v>
      </c>
      <c r="I58" s="10">
        <v>1.829</v>
      </c>
      <c r="J58" t="s">
        <v>30</v>
      </c>
      <c r="K58" s="98">
        <f>E58/271.4</f>
        <v>14.365294767870303</v>
      </c>
      <c r="L58" s="23">
        <f t="shared" si="35"/>
        <v>0.26274124130434784</v>
      </c>
      <c r="M58" s="99">
        <f t="shared" si="36"/>
        <v>2.850616488645627E-2</v>
      </c>
      <c r="N58" s="99"/>
      <c r="O58" s="99">
        <f t="shared" si="37"/>
        <v>1.667457825938893</v>
      </c>
      <c r="P58" s="99">
        <v>0.17599999999999999</v>
      </c>
      <c r="Q58" s="22"/>
      <c r="R58" s="22">
        <v>1.5</v>
      </c>
      <c r="S58" s="22"/>
      <c r="T58" s="22"/>
      <c r="U58" s="22"/>
      <c r="V58" s="22"/>
      <c r="W58" s="101"/>
      <c r="X58" s="101"/>
      <c r="Y58" s="101">
        <v>3</v>
      </c>
      <c r="Z58" s="45">
        <v>21</v>
      </c>
      <c r="AA58" s="12"/>
      <c r="AB58" s="12"/>
      <c r="AC58" s="11"/>
      <c r="AD58" s="17" t="s">
        <v>97</v>
      </c>
    </row>
    <row r="59" spans="1:30" ht="17.25" x14ac:dyDescent="0.3">
      <c r="A59" s="28"/>
      <c r="B59" s="307"/>
      <c r="C59" s="24" t="s">
        <v>98</v>
      </c>
      <c r="D59" s="136">
        <v>1826.461</v>
      </c>
      <c r="E59" s="136">
        <v>1850.9680000000001</v>
      </c>
      <c r="F59" s="10">
        <f t="shared" si="4"/>
        <v>7.712366666666667</v>
      </c>
      <c r="G59" s="55">
        <v>7.7</v>
      </c>
      <c r="H59" s="55">
        <v>240.38499999999999</v>
      </c>
      <c r="I59" s="10">
        <v>2.08</v>
      </c>
      <c r="J59" t="s">
        <v>30</v>
      </c>
      <c r="K59" s="98">
        <f>E59/271.4</f>
        <v>6.8200736919675764</v>
      </c>
      <c r="L59" s="23">
        <f t="shared" si="35"/>
        <v>0.14185753279292559</v>
      </c>
      <c r="M59" s="99">
        <f t="shared" si="36"/>
        <v>1.3533599438268453E-2</v>
      </c>
      <c r="N59" s="99"/>
      <c r="O59" s="99">
        <f t="shared" si="37"/>
        <v>0.39653517580122966</v>
      </c>
      <c r="P59" s="99">
        <v>0.128</v>
      </c>
      <c r="Q59" s="22"/>
      <c r="R59" s="22"/>
      <c r="S59" s="22"/>
      <c r="T59" s="22"/>
      <c r="U59" s="22">
        <v>1.5</v>
      </c>
      <c r="V59" s="22"/>
      <c r="W59" s="101"/>
      <c r="X59" s="101"/>
      <c r="Y59" s="101"/>
      <c r="Z59" s="45">
        <v>9</v>
      </c>
      <c r="AA59" s="12"/>
      <c r="AB59" s="12"/>
      <c r="AC59" s="11"/>
      <c r="AD59" s="17"/>
    </row>
    <row r="60" spans="1:30" ht="17.25" x14ac:dyDescent="0.3">
      <c r="A60" s="91">
        <v>45748</v>
      </c>
      <c r="B60" s="307"/>
      <c r="C60" s="309" t="s">
        <v>99</v>
      </c>
      <c r="D60" s="310"/>
      <c r="E60" s="310"/>
      <c r="F60" s="311"/>
      <c r="G60" s="315" t="s">
        <v>38</v>
      </c>
      <c r="H60" s="316"/>
      <c r="I60" s="317"/>
      <c r="J60" s="29"/>
      <c r="K60" s="137">
        <f>SUM(K55:K59)</f>
        <v>62.701160648489321</v>
      </c>
      <c r="L60" s="137">
        <f t="shared" ref="L60:Z60" si="38">SUM(L55:L59)</f>
        <v>1.1701842177229183</v>
      </c>
      <c r="M60" s="137">
        <f t="shared" si="38"/>
        <v>0.12442276005471781</v>
      </c>
      <c r="N60" s="137">
        <f t="shared" si="38"/>
        <v>0</v>
      </c>
      <c r="O60" s="137">
        <f t="shared" si="38"/>
        <v>6.4507323737330502</v>
      </c>
      <c r="P60" s="137">
        <f t="shared" si="38"/>
        <v>1.0535000000000001</v>
      </c>
      <c r="Q60" s="137">
        <f t="shared" si="38"/>
        <v>0</v>
      </c>
      <c r="R60" s="137">
        <f t="shared" si="38"/>
        <v>2.5</v>
      </c>
      <c r="S60" s="137">
        <f t="shared" si="38"/>
        <v>0</v>
      </c>
      <c r="T60" s="137">
        <f>SUM(T55:T59)</f>
        <v>0</v>
      </c>
      <c r="U60" s="137">
        <f t="shared" si="38"/>
        <v>4</v>
      </c>
      <c r="V60" s="137">
        <f t="shared" si="38"/>
        <v>3</v>
      </c>
      <c r="W60" s="137">
        <f t="shared" si="38"/>
        <v>0</v>
      </c>
      <c r="X60" s="137">
        <f t="shared" si="38"/>
        <v>3</v>
      </c>
      <c r="Y60" s="137">
        <f t="shared" si="38"/>
        <v>6</v>
      </c>
      <c r="Z60" s="137">
        <f t="shared" si="38"/>
        <v>90</v>
      </c>
      <c r="AA60" s="83">
        <f>(K60/(K60+L60+M60+N60+O60+P60))*100</f>
        <v>87.693930976908121</v>
      </c>
      <c r="AB60" s="83">
        <f>(K60/(K60+L60+M60+N60+O60+P60+U60+Q60+R60+V60+S60+T60))*100</f>
        <v>77.408840306776924</v>
      </c>
      <c r="AC60" s="141" t="s">
        <v>92</v>
      </c>
      <c r="AD60" s="17"/>
    </row>
    <row r="61" spans="1:30" ht="17.25" x14ac:dyDescent="0.3">
      <c r="A61" s="142" t="s">
        <v>100</v>
      </c>
      <c r="B61" s="308"/>
      <c r="C61" s="312"/>
      <c r="D61" s="313"/>
      <c r="E61" s="313"/>
      <c r="F61" s="314"/>
      <c r="G61" s="318" t="s">
        <v>40</v>
      </c>
      <c r="H61" s="319"/>
      <c r="I61" s="320"/>
      <c r="J61" s="82"/>
      <c r="K61" s="77">
        <f t="shared" ref="K61:Y61" si="39">(K60/$Z60)*100</f>
        <v>69.667956276099247</v>
      </c>
      <c r="L61" s="77">
        <f t="shared" si="39"/>
        <v>1.3002046863587979</v>
      </c>
      <c r="M61" s="77">
        <f t="shared" si="39"/>
        <v>0.13824751117190867</v>
      </c>
      <c r="N61" s="77">
        <f t="shared" si="39"/>
        <v>0</v>
      </c>
      <c r="O61" s="77">
        <f t="shared" si="39"/>
        <v>7.1674804152589449</v>
      </c>
      <c r="P61" s="77">
        <f t="shared" si="39"/>
        <v>1.1705555555555556</v>
      </c>
      <c r="Q61" s="77">
        <f t="shared" si="39"/>
        <v>0</v>
      </c>
      <c r="R61" s="77">
        <f t="shared" si="39"/>
        <v>2.7777777777777777</v>
      </c>
      <c r="S61" s="77">
        <f t="shared" si="39"/>
        <v>0</v>
      </c>
      <c r="T61" s="77">
        <f t="shared" si="39"/>
        <v>0</v>
      </c>
      <c r="U61" s="77">
        <f t="shared" si="39"/>
        <v>4.4444444444444446</v>
      </c>
      <c r="V61" s="77">
        <f t="shared" si="39"/>
        <v>3.3333333333333335</v>
      </c>
      <c r="W61" s="77">
        <f t="shared" si="39"/>
        <v>0</v>
      </c>
      <c r="X61" s="77">
        <f t="shared" si="39"/>
        <v>3.3333333333333335</v>
      </c>
      <c r="Y61" s="77">
        <f t="shared" si="39"/>
        <v>6.666666666666667</v>
      </c>
      <c r="Z61" s="77">
        <f>SUM(K61:Y61)</f>
        <v>100</v>
      </c>
      <c r="AA61" s="81" t="s">
        <v>41</v>
      </c>
      <c r="AB61" s="61"/>
      <c r="AC61" s="62"/>
      <c r="AD61" s="17"/>
    </row>
    <row r="62" spans="1:30" ht="17.25" customHeight="1" x14ac:dyDescent="0.3">
      <c r="A62" s="1"/>
      <c r="B62" s="305" t="s">
        <v>101</v>
      </c>
      <c r="C62" s="24" t="s">
        <v>98</v>
      </c>
      <c r="D62" s="55">
        <v>341.54</v>
      </c>
      <c r="E62" s="55">
        <v>324.18599999999998</v>
      </c>
      <c r="F62" s="10">
        <f t="shared" si="4"/>
        <v>1.3507749999999998</v>
      </c>
      <c r="G62" s="10">
        <v>1.361</v>
      </c>
      <c r="H62" s="10">
        <v>238.15299999999999</v>
      </c>
      <c r="I62" s="10">
        <v>0.94</v>
      </c>
      <c r="J62" t="s">
        <v>30</v>
      </c>
      <c r="K62" s="98">
        <f>E62/271.4</f>
        <v>1.1944952100221076</v>
      </c>
      <c r="L62" s="23">
        <f t="shared" ref="L62:L84" si="40">(E62*I62/100)/271.4</f>
        <v>1.1228254974207812E-2</v>
      </c>
      <c r="M62" s="99">
        <f t="shared" ref="M62:M84" si="41">((44/4*0.0102*480*K62)/100)/271.4</f>
        <v>2.3703291831595661E-3</v>
      </c>
      <c r="N62" s="99"/>
      <c r="O62" s="99">
        <f>Z62-(K62+L62+M62+N62+P62+Q62+U62+R62+S62+W62+V62+Y62+T62+X62)</f>
        <v>0.12590620582052559</v>
      </c>
      <c r="P62" s="99">
        <v>0.16600000000000001</v>
      </c>
      <c r="Q62" s="48"/>
      <c r="R62" s="49">
        <v>1.5</v>
      </c>
      <c r="S62" s="49"/>
      <c r="T62" s="49"/>
      <c r="U62" s="49"/>
      <c r="V62" s="49"/>
      <c r="W62" s="73"/>
      <c r="X62" s="74">
        <v>3</v>
      </c>
      <c r="Y62" s="73">
        <v>6</v>
      </c>
      <c r="Z62" s="45">
        <v>12</v>
      </c>
      <c r="AA62" s="12"/>
      <c r="AB62" s="12"/>
      <c r="AC62" s="11"/>
      <c r="AD62" s="17"/>
    </row>
    <row r="63" spans="1:30" ht="17.25" x14ac:dyDescent="0.3">
      <c r="A63" s="1"/>
      <c r="B63" s="305"/>
      <c r="C63" s="24" t="s">
        <v>102</v>
      </c>
      <c r="D63" s="55">
        <v>4703.0190000000002</v>
      </c>
      <c r="E63" s="55">
        <v>4734.1180000000004</v>
      </c>
      <c r="F63" s="10">
        <f t="shared" si="4"/>
        <v>19.725491666666667</v>
      </c>
      <c r="G63" s="10">
        <v>19.725000000000001</v>
      </c>
      <c r="H63" s="10">
        <v>240.006</v>
      </c>
      <c r="I63" s="10">
        <v>1.833</v>
      </c>
      <c r="J63" t="s">
        <v>30</v>
      </c>
      <c r="K63" s="98">
        <f t="shared" ref="K63:K84" si="42">E63/271.4</f>
        <v>17.443323507737659</v>
      </c>
      <c r="L63" s="23">
        <f t="shared" si="40"/>
        <v>0.31973611989683132</v>
      </c>
      <c r="M63" s="99">
        <f t="shared" si="41"/>
        <v>3.4614135255442872E-2</v>
      </c>
      <c r="N63" s="33"/>
      <c r="O63" s="99">
        <f t="shared" ref="O63:O84" si="43">Z63-(K63+L63+M63+N63+P63+Q63+U63+R63+S63+W63+V63+Y63+T63+X63)</f>
        <v>1.5923262371100684</v>
      </c>
      <c r="P63" s="99">
        <v>0.36</v>
      </c>
      <c r="Q63" s="48"/>
      <c r="R63" s="49"/>
      <c r="S63" s="49"/>
      <c r="T63" s="49"/>
      <c r="U63" s="49">
        <v>0.25</v>
      </c>
      <c r="V63" s="49">
        <v>1</v>
      </c>
      <c r="W63" s="73"/>
      <c r="X63" s="74"/>
      <c r="Y63" s="73"/>
      <c r="Z63" s="45">
        <v>21</v>
      </c>
      <c r="AA63" s="12"/>
      <c r="AB63" s="12"/>
      <c r="AC63" s="11"/>
      <c r="AD63" s="17"/>
    </row>
    <row r="64" spans="1:30" ht="17.25" x14ac:dyDescent="0.3">
      <c r="A64" s="1"/>
      <c r="B64" s="305"/>
      <c r="C64" s="24" t="s">
        <v>103</v>
      </c>
      <c r="D64" s="55">
        <v>3315.9479999999999</v>
      </c>
      <c r="E64" s="55">
        <v>3179.201</v>
      </c>
      <c r="F64" s="10">
        <f t="shared" si="4"/>
        <v>13.246670833333333</v>
      </c>
      <c r="G64" s="10">
        <v>13.246</v>
      </c>
      <c r="H64" s="10">
        <v>240.00800000000001</v>
      </c>
      <c r="I64" s="10">
        <v>1.7589999999999999</v>
      </c>
      <c r="J64" t="s">
        <v>30</v>
      </c>
      <c r="K64" s="98">
        <f t="shared" si="42"/>
        <v>11.714078850405308</v>
      </c>
      <c r="L64" s="23">
        <f t="shared" si="40"/>
        <v>0.20605064697862935</v>
      </c>
      <c r="M64" s="99">
        <f t="shared" si="41"/>
        <v>2.3245152194820498E-2</v>
      </c>
      <c r="N64" s="33"/>
      <c r="O64" s="99">
        <f t="shared" si="43"/>
        <v>2.8506253504212395</v>
      </c>
      <c r="P64" s="99">
        <v>0.20599999999999999</v>
      </c>
      <c r="Q64" s="48"/>
      <c r="R64" s="49"/>
      <c r="S64" s="49"/>
      <c r="T64" s="49"/>
      <c r="U64" s="49"/>
      <c r="V64" s="49">
        <v>6</v>
      </c>
      <c r="W64" s="73"/>
      <c r="X64" s="74"/>
      <c r="Y64" s="73"/>
      <c r="Z64" s="45">
        <v>21</v>
      </c>
      <c r="AA64" s="12"/>
      <c r="AB64" s="12"/>
      <c r="AC64" s="11"/>
      <c r="AD64" s="17" t="s">
        <v>19</v>
      </c>
    </row>
    <row r="65" spans="1:30" ht="17.25" x14ac:dyDescent="0.3">
      <c r="A65" s="1"/>
      <c r="B65" s="305"/>
      <c r="C65" s="24" t="s">
        <v>104</v>
      </c>
      <c r="D65" s="55">
        <v>4585.7190000000001</v>
      </c>
      <c r="E65" s="55">
        <v>4473.1109999999999</v>
      </c>
      <c r="F65" s="10">
        <f t="shared" si="4"/>
        <v>18.6379625</v>
      </c>
      <c r="G65" s="10">
        <v>18.792000000000002</v>
      </c>
      <c r="H65" s="10">
        <v>238.02799999999999</v>
      </c>
      <c r="I65" s="10">
        <v>1.7769999999999999</v>
      </c>
      <c r="J65" t="s">
        <v>30</v>
      </c>
      <c r="K65" s="98">
        <f t="shared" si="42"/>
        <v>16.481617538688283</v>
      </c>
      <c r="L65" s="23">
        <f t="shared" si="40"/>
        <v>0.29287834366249077</v>
      </c>
      <c r="M65" s="99">
        <f t="shared" si="41"/>
        <v>3.2705747758422853E-2</v>
      </c>
      <c r="N65" s="33"/>
      <c r="O65" s="99">
        <f t="shared" si="43"/>
        <v>2.5767983698908026</v>
      </c>
      <c r="P65" s="99">
        <v>0.11600000000000001</v>
      </c>
      <c r="Q65" s="48"/>
      <c r="R65" s="49"/>
      <c r="S65" s="49"/>
      <c r="T65" s="49"/>
      <c r="U65" s="49">
        <v>1.5</v>
      </c>
      <c r="V65" s="49"/>
      <c r="W65" s="73"/>
      <c r="X65" s="74"/>
      <c r="Y65" s="73"/>
      <c r="Z65" s="45">
        <v>21</v>
      </c>
      <c r="AA65" s="12"/>
      <c r="AB65" s="12"/>
      <c r="AC65" s="11"/>
      <c r="AD65" s="17"/>
    </row>
    <row r="66" spans="1:30" ht="17.25" x14ac:dyDescent="0.3">
      <c r="A66" s="1"/>
      <c r="B66" s="305"/>
      <c r="C66" s="24" t="s">
        <v>105</v>
      </c>
      <c r="D66" s="55">
        <v>4025.1280000000002</v>
      </c>
      <c r="E66" s="55">
        <v>3713.0880000000002</v>
      </c>
      <c r="F66" s="10">
        <f t="shared" si="4"/>
        <v>15.471200000000001</v>
      </c>
      <c r="G66" s="10">
        <v>16.5</v>
      </c>
      <c r="H66" s="10">
        <v>225.036</v>
      </c>
      <c r="I66" s="10">
        <v>1.8260000000000001</v>
      </c>
      <c r="J66" t="s">
        <v>30</v>
      </c>
      <c r="K66" s="98">
        <f t="shared" si="42"/>
        <v>13.68123802505527</v>
      </c>
      <c r="L66" s="23">
        <f t="shared" si="40"/>
        <v>0.24981940633750926</v>
      </c>
      <c r="M66" s="99">
        <f t="shared" si="41"/>
        <v>2.714873821213621E-2</v>
      </c>
      <c r="N66" s="33"/>
      <c r="O66" s="99">
        <f t="shared" si="43"/>
        <v>2.3817938303950843</v>
      </c>
      <c r="P66" s="99">
        <v>0.16</v>
      </c>
      <c r="Q66" s="48"/>
      <c r="R66" s="49"/>
      <c r="S66" s="49"/>
      <c r="T66" s="49"/>
      <c r="U66" s="49">
        <v>1.5</v>
      </c>
      <c r="V66" s="49"/>
      <c r="W66" s="73"/>
      <c r="X66" s="74"/>
      <c r="Y66" s="73"/>
      <c r="Z66" s="45">
        <v>18</v>
      </c>
      <c r="AA66" s="12"/>
      <c r="AB66" s="12"/>
      <c r="AC66" s="11"/>
      <c r="AD66" s="17"/>
    </row>
    <row r="67" spans="1:30" ht="17.25" x14ac:dyDescent="0.3">
      <c r="A67" s="90">
        <v>45778</v>
      </c>
      <c r="B67" s="305"/>
      <c r="C67" s="321" t="s">
        <v>106</v>
      </c>
      <c r="D67" s="322"/>
      <c r="E67" s="322"/>
      <c r="F67" s="323"/>
      <c r="G67" s="327" t="s">
        <v>38</v>
      </c>
      <c r="H67" s="328"/>
      <c r="I67" s="329"/>
      <c r="J67" s="42"/>
      <c r="K67" s="139">
        <f>SUM(K62:K66)</f>
        <v>60.514753131908627</v>
      </c>
      <c r="L67" s="139">
        <f t="shared" ref="L67:Z67" si="44">SUM(L62:L66)</f>
        <v>1.0797127718496686</v>
      </c>
      <c r="M67" s="139">
        <f t="shared" si="44"/>
        <v>0.120084102603982</v>
      </c>
      <c r="N67" s="139">
        <f t="shared" si="44"/>
        <v>0</v>
      </c>
      <c r="O67" s="139">
        <f t="shared" si="44"/>
        <v>9.5274499936377204</v>
      </c>
      <c r="P67" s="139">
        <f t="shared" si="44"/>
        <v>1.008</v>
      </c>
      <c r="Q67" s="139">
        <f t="shared" si="44"/>
        <v>0</v>
      </c>
      <c r="R67" s="139">
        <f t="shared" si="44"/>
        <v>1.5</v>
      </c>
      <c r="S67" s="139">
        <f t="shared" si="44"/>
        <v>0</v>
      </c>
      <c r="T67" s="139">
        <f t="shared" si="44"/>
        <v>0</v>
      </c>
      <c r="U67" s="139">
        <f t="shared" si="44"/>
        <v>3.25</v>
      </c>
      <c r="V67" s="139">
        <f t="shared" si="44"/>
        <v>7</v>
      </c>
      <c r="W67" s="139">
        <f t="shared" si="44"/>
        <v>0</v>
      </c>
      <c r="X67" s="139">
        <f t="shared" si="44"/>
        <v>3</v>
      </c>
      <c r="Y67" s="139">
        <f t="shared" si="44"/>
        <v>6</v>
      </c>
      <c r="Z67" s="139">
        <f t="shared" si="44"/>
        <v>93</v>
      </c>
      <c r="AA67" s="51">
        <f>(K67/(K67+L67+M67+N67+O67+P67))*100</f>
        <v>83.757443781188414</v>
      </c>
      <c r="AB67" s="67">
        <f>(K67/(K67+L67+M67+N67+O67+P67+U67+Q67+R67+V67+S67+T67))*100</f>
        <v>72.041372776081701</v>
      </c>
      <c r="AC67" s="52" t="s">
        <v>101</v>
      </c>
      <c r="AD67" s="17"/>
    </row>
    <row r="68" spans="1:30" ht="17.25" x14ac:dyDescent="0.3">
      <c r="A68" s="80" t="s">
        <v>107</v>
      </c>
      <c r="B68" s="78"/>
      <c r="C68" s="324"/>
      <c r="D68" s="325"/>
      <c r="E68" s="325"/>
      <c r="F68" s="326"/>
      <c r="G68" s="318" t="s">
        <v>40</v>
      </c>
      <c r="H68" s="319"/>
      <c r="I68" s="320"/>
      <c r="J68" s="82"/>
      <c r="K68" s="77">
        <f>(K67/$Z67)*100</f>
        <v>65.069627023557658</v>
      </c>
      <c r="L68" s="77">
        <f t="shared" ref="L68:Y68" si="45">(L67/$Z67)*100</f>
        <v>1.1609814751071705</v>
      </c>
      <c r="M68" s="77">
        <f t="shared" si="45"/>
        <v>0.12912269097202367</v>
      </c>
      <c r="N68" s="77">
        <f t="shared" si="45"/>
        <v>0</v>
      </c>
      <c r="O68" s="77">
        <f t="shared" si="45"/>
        <v>10.244569885631957</v>
      </c>
      <c r="P68" s="77">
        <f t="shared" si="45"/>
        <v>1.0838709677419356</v>
      </c>
      <c r="Q68" s="77">
        <f t="shared" si="45"/>
        <v>0</v>
      </c>
      <c r="R68" s="77">
        <f t="shared" si="45"/>
        <v>1.6129032258064515</v>
      </c>
      <c r="S68" s="77">
        <f t="shared" si="45"/>
        <v>0</v>
      </c>
      <c r="T68" s="77">
        <f t="shared" si="45"/>
        <v>0</v>
      </c>
      <c r="U68" s="77">
        <f t="shared" si="45"/>
        <v>3.4946236559139781</v>
      </c>
      <c r="V68" s="77">
        <f t="shared" si="45"/>
        <v>7.5268817204301079</v>
      </c>
      <c r="W68" s="77">
        <f t="shared" si="45"/>
        <v>0</v>
      </c>
      <c r="X68" s="77">
        <f t="shared" si="45"/>
        <v>3.225806451612903</v>
      </c>
      <c r="Y68" s="77">
        <f t="shared" si="45"/>
        <v>6.4516129032258061</v>
      </c>
      <c r="Z68" s="77">
        <f>SUM(K68:Y68)</f>
        <v>99.999999999999986</v>
      </c>
      <c r="AA68" s="81" t="s">
        <v>41</v>
      </c>
      <c r="AB68" s="61"/>
      <c r="AC68" s="62"/>
      <c r="AD68" s="17"/>
    </row>
    <row r="69" spans="1:30" ht="17.25" x14ac:dyDescent="0.3">
      <c r="B69" s="307" t="s">
        <v>108</v>
      </c>
      <c r="C69" s="24" t="s">
        <v>105</v>
      </c>
      <c r="D69" s="55">
        <v>657.99300000000005</v>
      </c>
      <c r="E69" s="55">
        <v>620.08399999999995</v>
      </c>
      <c r="F69" s="10">
        <f t="shared" si="4"/>
        <v>2.5836833333333331</v>
      </c>
      <c r="G69" s="10">
        <v>3</v>
      </c>
      <c r="H69" s="10">
        <v>206.69499999999999</v>
      </c>
      <c r="I69" s="10">
        <v>1.6819999999999999</v>
      </c>
      <c r="J69" t="s">
        <v>30</v>
      </c>
      <c r="K69" s="98">
        <f t="shared" si="42"/>
        <v>2.2847605011053793</v>
      </c>
      <c r="L69" s="23">
        <f t="shared" si="40"/>
        <v>3.8429671628592489E-2</v>
      </c>
      <c r="M69" s="99">
        <f t="shared" si="41"/>
        <v>4.5338268808965115E-3</v>
      </c>
      <c r="N69" s="33"/>
      <c r="O69" s="99">
        <f t="shared" si="43"/>
        <v>0.67227600038513158</v>
      </c>
      <c r="P69" s="99"/>
      <c r="Q69" s="48"/>
      <c r="R69" s="49"/>
      <c r="S69" s="49"/>
      <c r="T69" s="49"/>
      <c r="U69" s="49"/>
      <c r="V69" s="49"/>
      <c r="W69" s="73"/>
      <c r="X69" s="74"/>
      <c r="Y69" s="73"/>
      <c r="Z69" s="45">
        <v>3</v>
      </c>
      <c r="AA69" s="12"/>
      <c r="AB69" s="12"/>
      <c r="AC69" s="11"/>
      <c r="AD69" s="17"/>
    </row>
    <row r="70" spans="1:30" ht="17.25" x14ac:dyDescent="0.3">
      <c r="B70" s="307"/>
      <c r="C70" s="24" t="s">
        <v>109</v>
      </c>
      <c r="D70" s="55">
        <v>4635.0140000000001</v>
      </c>
      <c r="E70" s="55">
        <v>4403.3779999999997</v>
      </c>
      <c r="F70" s="10">
        <f t="shared" si="4"/>
        <v>18.34740833333333</v>
      </c>
      <c r="G70" s="10">
        <v>19.5</v>
      </c>
      <c r="H70" s="10">
        <v>225.81399999999999</v>
      </c>
      <c r="I70" s="10">
        <v>2.1970000000000001</v>
      </c>
      <c r="J70" t="s">
        <v>30</v>
      </c>
      <c r="K70" s="98">
        <f t="shared" si="42"/>
        <v>16.224679439941045</v>
      </c>
      <c r="L70" s="23">
        <f t="shared" si="40"/>
        <v>0.35645620729550476</v>
      </c>
      <c r="M70" s="99">
        <f t="shared" si="41"/>
        <v>3.2195885627025238E-2</v>
      </c>
      <c r="N70" s="33"/>
      <c r="O70" s="99">
        <f t="shared" si="43"/>
        <v>2.6966684671364227</v>
      </c>
      <c r="P70" s="99">
        <v>0.19</v>
      </c>
      <c r="Q70" s="48"/>
      <c r="R70" s="49"/>
      <c r="S70" s="49"/>
      <c r="T70" s="49"/>
      <c r="U70" s="49">
        <v>1.5</v>
      </c>
      <c r="V70" s="49"/>
      <c r="W70" s="73"/>
      <c r="X70" s="74"/>
      <c r="Y70" s="73"/>
      <c r="Z70" s="45">
        <v>21</v>
      </c>
      <c r="AA70" s="12"/>
      <c r="AB70" s="12"/>
      <c r="AC70" s="11"/>
      <c r="AD70" s="17"/>
    </row>
    <row r="71" spans="1:30" ht="17.25" x14ac:dyDescent="0.3">
      <c r="B71" s="307"/>
      <c r="C71" s="24" t="s">
        <v>110</v>
      </c>
      <c r="D71" s="55">
        <v>4687.3779999999997</v>
      </c>
      <c r="E71" s="55">
        <v>3870.703</v>
      </c>
      <c r="F71" s="10">
        <f t="shared" si="4"/>
        <v>16.127929166666668</v>
      </c>
      <c r="G71" s="10">
        <v>19.350000000000001</v>
      </c>
      <c r="H71" s="10">
        <v>200.036</v>
      </c>
      <c r="I71" s="10">
        <v>2.1459999999999999</v>
      </c>
      <c r="J71" t="s">
        <v>30</v>
      </c>
      <c r="K71" s="98">
        <f t="shared" si="42"/>
        <v>14.261985998526162</v>
      </c>
      <c r="L71" s="23">
        <f t="shared" si="40"/>
        <v>0.30606221952837143</v>
      </c>
      <c r="M71" s="99">
        <f t="shared" si="41"/>
        <v>2.8301161309381914E-2</v>
      </c>
      <c r="N71" s="33"/>
      <c r="O71" s="99">
        <f>Z71-(K71+L71+M71+N71+P71+Q71+U71+R71+S71+W71+V71+Y71+T71+X71)</f>
        <v>4.685650620636082</v>
      </c>
      <c r="P71" s="99">
        <v>0.218</v>
      </c>
      <c r="Q71" s="48"/>
      <c r="R71" s="49"/>
      <c r="S71" s="49"/>
      <c r="T71" s="49"/>
      <c r="U71" s="49">
        <v>1.5</v>
      </c>
      <c r="V71" s="49"/>
      <c r="W71" s="73"/>
      <c r="X71" s="74"/>
      <c r="Y71" s="73"/>
      <c r="Z71" s="45">
        <v>21</v>
      </c>
      <c r="AA71" s="12"/>
      <c r="AB71" s="12"/>
      <c r="AC71" s="11"/>
      <c r="AD71" s="17"/>
    </row>
    <row r="72" spans="1:30" ht="17.25" x14ac:dyDescent="0.3">
      <c r="B72" s="307"/>
      <c r="C72" s="24" t="s">
        <v>111</v>
      </c>
      <c r="D72" s="55">
        <v>3383</v>
      </c>
      <c r="E72" s="55">
        <v>3372</v>
      </c>
      <c r="F72" s="10">
        <f t="shared" si="4"/>
        <v>14.05</v>
      </c>
      <c r="G72" s="10">
        <v>14.5</v>
      </c>
      <c r="H72" s="10">
        <v>232.59299999999999</v>
      </c>
      <c r="I72" s="10">
        <v>1.845</v>
      </c>
      <c r="J72" t="s">
        <v>30</v>
      </c>
      <c r="K72" s="98">
        <f t="shared" si="42"/>
        <v>12.424465733235078</v>
      </c>
      <c r="L72" s="23">
        <f t="shared" si="40"/>
        <v>0.22923139277818719</v>
      </c>
      <c r="M72" s="99">
        <f t="shared" si="41"/>
        <v>2.4654827801367296E-2</v>
      </c>
      <c r="N72" s="33"/>
      <c r="O72" s="99">
        <f>Z72-(K72+L72+M72+N72+P72+Q72+U72+R72+S72+W72+V72+Y72+T72+X72)</f>
        <v>2.6766480461853703</v>
      </c>
      <c r="P72" s="99">
        <v>0.14499999999999999</v>
      </c>
      <c r="Q72" s="48"/>
      <c r="R72" s="49">
        <v>1.5</v>
      </c>
      <c r="S72" s="49"/>
      <c r="T72" s="49"/>
      <c r="U72" s="49">
        <v>1</v>
      </c>
      <c r="V72" s="49"/>
      <c r="W72" s="73"/>
      <c r="X72" s="74"/>
      <c r="Y72" s="73">
        <v>3</v>
      </c>
      <c r="Z72" s="45">
        <v>21</v>
      </c>
      <c r="AA72" s="12"/>
      <c r="AB72" s="12"/>
      <c r="AC72" s="11"/>
      <c r="AD72" s="17"/>
    </row>
    <row r="73" spans="1:30" ht="17.25" x14ac:dyDescent="0.3">
      <c r="B73" s="307"/>
      <c r="C73" s="24" t="s">
        <v>112</v>
      </c>
      <c r="D73" s="55">
        <v>4544.0919999999996</v>
      </c>
      <c r="E73" s="55">
        <v>4395.5349999999999</v>
      </c>
      <c r="F73" s="10">
        <f t="shared" si="4"/>
        <v>18.314729166666666</v>
      </c>
      <c r="G73" s="10">
        <v>19.5</v>
      </c>
      <c r="H73" s="10">
        <v>225.41800000000001</v>
      </c>
      <c r="I73" s="10">
        <v>1.91</v>
      </c>
      <c r="J73" t="s">
        <v>30</v>
      </c>
      <c r="K73" s="98">
        <f t="shared" si="42"/>
        <v>16.195781134856301</v>
      </c>
      <c r="L73" s="23">
        <f t="shared" si="40"/>
        <v>0.30933941967575534</v>
      </c>
      <c r="M73" s="99">
        <f t="shared" si="41"/>
        <v>3.2138540486323551E-2</v>
      </c>
      <c r="N73" s="33"/>
      <c r="O73" s="99">
        <f t="shared" si="43"/>
        <v>2.6927409049816227</v>
      </c>
      <c r="P73" s="99">
        <v>0.27</v>
      </c>
      <c r="Q73" s="48"/>
      <c r="R73" s="49"/>
      <c r="S73" s="49"/>
      <c r="T73" s="49"/>
      <c r="U73" s="49">
        <v>1.5</v>
      </c>
      <c r="V73" s="49"/>
      <c r="W73" s="73"/>
      <c r="X73" s="74"/>
      <c r="Y73" s="73"/>
      <c r="Z73" s="45">
        <v>21</v>
      </c>
      <c r="AA73" s="12"/>
      <c r="AB73" s="12"/>
      <c r="AC73" s="11"/>
      <c r="AD73" s="17"/>
    </row>
    <row r="74" spans="1:30" ht="17.25" x14ac:dyDescent="0.3">
      <c r="B74" s="307"/>
      <c r="C74" s="24" t="s">
        <v>113</v>
      </c>
      <c r="D74" s="55"/>
      <c r="E74" s="55"/>
      <c r="F74" s="10">
        <f t="shared" ref="F74" si="46">E74/240</f>
        <v>0</v>
      </c>
      <c r="G74" s="10"/>
      <c r="H74" s="10"/>
      <c r="I74" s="10"/>
      <c r="J74" t="s">
        <v>30</v>
      </c>
      <c r="K74" s="98">
        <f t="shared" ref="K74" si="47">E74/271.4</f>
        <v>0</v>
      </c>
      <c r="L74" s="23">
        <f t="shared" ref="L74" si="48">(E74*I74/100)/271.4</f>
        <v>0</v>
      </c>
      <c r="M74" s="99">
        <f t="shared" ref="M74" si="49">((44/4*0.0102*480*K74)/100)/271.4</f>
        <v>0</v>
      </c>
      <c r="N74" s="33"/>
      <c r="O74" s="99">
        <f t="shared" ref="O74" si="50">Z74-(K74+L74+M74+N74+P74+Q74+U74+R74+S74+W74+V74+Y74+T74+X74)</f>
        <v>0</v>
      </c>
      <c r="P74" s="99"/>
      <c r="Q74" s="48"/>
      <c r="R74" s="49"/>
      <c r="S74" s="49"/>
      <c r="T74" s="49">
        <v>3</v>
      </c>
      <c r="U74" s="49"/>
      <c r="V74" s="49"/>
      <c r="W74" s="73"/>
      <c r="X74" s="74"/>
      <c r="Y74" s="73"/>
      <c r="Z74" s="45">
        <v>3</v>
      </c>
      <c r="AA74" s="12"/>
      <c r="AB74" s="12"/>
      <c r="AC74" s="11"/>
      <c r="AD74" s="17"/>
    </row>
    <row r="75" spans="1:30" ht="17.25" x14ac:dyDescent="0.3">
      <c r="A75" s="91">
        <v>45809</v>
      </c>
      <c r="B75" s="307"/>
      <c r="C75" s="309" t="s">
        <v>114</v>
      </c>
      <c r="D75" s="310"/>
      <c r="E75" s="310"/>
      <c r="F75" s="311"/>
      <c r="G75" s="315" t="s">
        <v>38</v>
      </c>
      <c r="H75" s="316"/>
      <c r="I75" s="317"/>
      <c r="J75" s="29"/>
      <c r="K75" s="137">
        <f>SUM(K69:K74)</f>
        <v>61.391672807663966</v>
      </c>
      <c r="L75" s="137">
        <f t="shared" ref="L75:Z75" si="51">SUM(L69:L74)</f>
        <v>1.2395189109064113</v>
      </c>
      <c r="M75" s="137">
        <f t="shared" si="51"/>
        <v>0.12182424210499451</v>
      </c>
      <c r="N75" s="137">
        <f t="shared" si="51"/>
        <v>0</v>
      </c>
      <c r="O75" s="137">
        <f t="shared" si="51"/>
        <v>13.42398403932463</v>
      </c>
      <c r="P75" s="137">
        <f t="shared" si="51"/>
        <v>0.82300000000000006</v>
      </c>
      <c r="Q75" s="137">
        <f t="shared" si="51"/>
        <v>0</v>
      </c>
      <c r="R75" s="137">
        <f t="shared" si="51"/>
        <v>1.5</v>
      </c>
      <c r="S75" s="137">
        <f t="shared" si="51"/>
        <v>0</v>
      </c>
      <c r="T75" s="137">
        <f t="shared" si="51"/>
        <v>3</v>
      </c>
      <c r="U75" s="137">
        <f t="shared" si="51"/>
        <v>5.5</v>
      </c>
      <c r="V75" s="137">
        <f t="shared" si="51"/>
        <v>0</v>
      </c>
      <c r="W75" s="137">
        <f t="shared" si="51"/>
        <v>0</v>
      </c>
      <c r="X75" s="137">
        <f t="shared" si="51"/>
        <v>0</v>
      </c>
      <c r="Y75" s="137">
        <f t="shared" si="51"/>
        <v>3</v>
      </c>
      <c r="Z75" s="137">
        <f t="shared" si="51"/>
        <v>90</v>
      </c>
      <c r="AA75" s="83">
        <f>(K75/(K75+L75+M75+N75+O75+P75))*100</f>
        <v>79.729445204758406</v>
      </c>
      <c r="AB75" s="83">
        <f>(K75/(K75+L75+M75+N75+O75+P75+U75+Q75+R75+V75+S75+T75))*100</f>
        <v>70.565141158234454</v>
      </c>
      <c r="AC75" s="141" t="s">
        <v>108</v>
      </c>
      <c r="AD75" s="17"/>
    </row>
    <row r="76" spans="1:30" ht="17.25" x14ac:dyDescent="0.3">
      <c r="A76" s="142" t="s">
        <v>115</v>
      </c>
      <c r="B76" s="307"/>
      <c r="C76" s="312"/>
      <c r="D76" s="313"/>
      <c r="E76" s="313"/>
      <c r="F76" s="314"/>
      <c r="G76" s="318" t="s">
        <v>40</v>
      </c>
      <c r="H76" s="319"/>
      <c r="I76" s="320"/>
      <c r="J76" s="82"/>
      <c r="K76" s="77">
        <f>(K75/$Z75)*100</f>
        <v>68.2129697862933</v>
      </c>
      <c r="L76" s="77">
        <f t="shared" ref="L76:Y76" si="52">(L75/$Z75)*100</f>
        <v>1.377243234340457</v>
      </c>
      <c r="M76" s="77">
        <f t="shared" si="52"/>
        <v>0.13536026900554946</v>
      </c>
      <c r="N76" s="77">
        <f t="shared" si="52"/>
        <v>0</v>
      </c>
      <c r="O76" s="77">
        <f t="shared" si="52"/>
        <v>14.91553782147181</v>
      </c>
      <c r="P76" s="77">
        <f t="shared" si="52"/>
        <v>0.9144444444444445</v>
      </c>
      <c r="Q76" s="77">
        <f t="shared" si="52"/>
        <v>0</v>
      </c>
      <c r="R76" s="77">
        <f t="shared" si="52"/>
        <v>1.6666666666666667</v>
      </c>
      <c r="S76" s="77">
        <f t="shared" si="52"/>
        <v>0</v>
      </c>
      <c r="T76" s="77">
        <f t="shared" si="52"/>
        <v>3.3333333333333335</v>
      </c>
      <c r="U76" s="77">
        <f t="shared" si="52"/>
        <v>6.1111111111111107</v>
      </c>
      <c r="V76" s="77">
        <f t="shared" si="52"/>
        <v>0</v>
      </c>
      <c r="W76" s="77">
        <f t="shared" si="52"/>
        <v>0</v>
      </c>
      <c r="X76" s="77">
        <f t="shared" si="52"/>
        <v>0</v>
      </c>
      <c r="Y76" s="77">
        <f t="shared" si="52"/>
        <v>3.3333333333333335</v>
      </c>
      <c r="Z76" s="77">
        <f>SUM(K76:Y76)</f>
        <v>100</v>
      </c>
      <c r="AA76" s="81" t="s">
        <v>41</v>
      </c>
      <c r="AB76" s="61"/>
      <c r="AC76" s="62"/>
      <c r="AD76" s="17"/>
    </row>
    <row r="77" spans="1:30" ht="17.25" customHeight="1" x14ac:dyDescent="0.3">
      <c r="A77" s="1"/>
      <c r="B77" s="332" t="s">
        <v>116</v>
      </c>
      <c r="C77" s="24" t="s">
        <v>113</v>
      </c>
      <c r="D77" s="55"/>
      <c r="E77" s="55"/>
      <c r="F77" s="10">
        <f t="shared" si="4"/>
        <v>0</v>
      </c>
      <c r="G77" s="10"/>
      <c r="H77" s="10"/>
      <c r="I77" s="10"/>
      <c r="J77" t="s">
        <v>30</v>
      </c>
      <c r="K77" s="98">
        <f t="shared" si="42"/>
        <v>0</v>
      </c>
      <c r="L77" s="23">
        <f t="shared" si="40"/>
        <v>0</v>
      </c>
      <c r="M77" s="99">
        <f t="shared" si="41"/>
        <v>0</v>
      </c>
      <c r="N77" s="33"/>
      <c r="O77" s="99">
        <f t="shared" si="43"/>
        <v>0</v>
      </c>
      <c r="P77" s="99"/>
      <c r="Q77" s="48"/>
      <c r="R77" s="49"/>
      <c r="S77" s="49"/>
      <c r="T77" s="49">
        <v>18</v>
      </c>
      <c r="U77" s="49"/>
      <c r="V77" s="49"/>
      <c r="W77" s="73"/>
      <c r="X77" s="74"/>
      <c r="Y77" s="73"/>
      <c r="Z77" s="45">
        <v>18</v>
      </c>
      <c r="AA77" s="12"/>
      <c r="AB77" s="12"/>
      <c r="AC77" s="11"/>
      <c r="AD77" s="17"/>
    </row>
    <row r="78" spans="1:30" ht="17.25" x14ac:dyDescent="0.3">
      <c r="A78" s="1"/>
      <c r="B78" s="332"/>
      <c r="C78" s="24" t="s">
        <v>117</v>
      </c>
      <c r="D78" s="55"/>
      <c r="E78" s="55"/>
      <c r="F78" s="10">
        <f t="shared" si="4"/>
        <v>0</v>
      </c>
      <c r="G78" s="10"/>
      <c r="H78" s="10"/>
      <c r="I78" s="10"/>
      <c r="J78" t="s">
        <v>30</v>
      </c>
      <c r="K78" s="98">
        <f t="shared" si="42"/>
        <v>0</v>
      </c>
      <c r="L78" s="23">
        <f t="shared" si="40"/>
        <v>0</v>
      </c>
      <c r="M78" s="99">
        <f t="shared" si="41"/>
        <v>0</v>
      </c>
      <c r="N78" s="33"/>
      <c r="O78" s="99">
        <f t="shared" si="43"/>
        <v>0</v>
      </c>
      <c r="P78" s="99"/>
      <c r="Q78" s="48"/>
      <c r="R78" s="49"/>
      <c r="S78" s="49"/>
      <c r="T78" s="49">
        <v>21</v>
      </c>
      <c r="U78" s="49"/>
      <c r="V78" s="49"/>
      <c r="W78" s="73"/>
      <c r="X78" s="74"/>
      <c r="Y78" s="73"/>
      <c r="Z78" s="45">
        <v>21</v>
      </c>
      <c r="AA78" s="12"/>
      <c r="AB78" s="12"/>
      <c r="AC78" s="11"/>
      <c r="AD78" s="17"/>
    </row>
    <row r="79" spans="1:30" ht="17.25" x14ac:dyDescent="0.3">
      <c r="A79" s="1"/>
      <c r="B79" s="332"/>
      <c r="C79" s="24" t="s">
        <v>118</v>
      </c>
      <c r="D79" s="55">
        <v>2908</v>
      </c>
      <c r="E79" s="55">
        <v>2158.3139999999999</v>
      </c>
      <c r="F79" s="10">
        <f t="shared" si="4"/>
        <v>8.9929749999999995</v>
      </c>
      <c r="G79" s="10">
        <v>13.5</v>
      </c>
      <c r="H79" s="10">
        <v>159.875</v>
      </c>
      <c r="I79" s="10">
        <v>2.5259999999999998</v>
      </c>
      <c r="J79" t="s">
        <v>30</v>
      </c>
      <c r="K79" s="98">
        <f t="shared" si="42"/>
        <v>7.9525202652910831</v>
      </c>
      <c r="L79" s="23">
        <f t="shared" si="40"/>
        <v>0.20088066190125273</v>
      </c>
      <c r="M79" s="99">
        <f t="shared" si="41"/>
        <v>1.5780800715089045E-2</v>
      </c>
      <c r="N79" s="33"/>
      <c r="O79" s="99">
        <f t="shared" si="43"/>
        <v>5.2478182720925748</v>
      </c>
      <c r="P79" s="99">
        <v>8.3000000000000004E-2</v>
      </c>
      <c r="Q79" s="48"/>
      <c r="R79" s="49">
        <v>1.5</v>
      </c>
      <c r="S79" s="49"/>
      <c r="T79" s="49"/>
      <c r="U79" s="49"/>
      <c r="V79" s="49"/>
      <c r="W79" s="73">
        <v>6</v>
      </c>
      <c r="X79" s="74"/>
      <c r="Y79" s="73"/>
      <c r="Z79" s="45">
        <v>21</v>
      </c>
      <c r="AA79" s="12"/>
      <c r="AB79" s="12"/>
      <c r="AC79" s="11"/>
      <c r="AD79" s="17"/>
    </row>
    <row r="80" spans="1:30" ht="17.25" x14ac:dyDescent="0.3">
      <c r="A80" s="1"/>
      <c r="B80" s="332"/>
      <c r="C80" s="24" t="s">
        <v>119</v>
      </c>
      <c r="D80" s="153"/>
      <c r="E80" s="153"/>
      <c r="F80" s="10">
        <f t="shared" si="4"/>
        <v>0</v>
      </c>
      <c r="G80" s="154"/>
      <c r="H80" s="154"/>
      <c r="I80" s="154"/>
      <c r="J80" t="s">
        <v>30</v>
      </c>
      <c r="K80" s="98">
        <f t="shared" si="42"/>
        <v>0</v>
      </c>
      <c r="L80" s="23">
        <f t="shared" si="40"/>
        <v>0</v>
      </c>
      <c r="M80" s="99">
        <f t="shared" si="41"/>
        <v>0</v>
      </c>
      <c r="N80" s="33"/>
      <c r="O80" s="99">
        <f t="shared" si="43"/>
        <v>0</v>
      </c>
      <c r="P80" s="99"/>
      <c r="Q80" s="48"/>
      <c r="R80" s="49"/>
      <c r="S80" s="49"/>
      <c r="T80" s="49"/>
      <c r="U80" s="49"/>
      <c r="V80" s="49"/>
      <c r="W80" s="73"/>
      <c r="X80" s="74"/>
      <c r="Y80" s="73"/>
      <c r="Z80" s="45"/>
      <c r="AA80" s="12"/>
      <c r="AB80" s="12"/>
      <c r="AC80" s="11"/>
      <c r="AD80" s="17"/>
    </row>
    <row r="81" spans="1:30" ht="17.25" x14ac:dyDescent="0.3">
      <c r="A81" s="1"/>
      <c r="B81" s="332"/>
      <c r="C81" s="24" t="s">
        <v>120</v>
      </c>
      <c r="D81" s="20"/>
      <c r="E81" s="20"/>
      <c r="F81" s="10">
        <f t="shared" ref="F81:F88" si="53">E81/240</f>
        <v>0</v>
      </c>
      <c r="G81" s="20"/>
      <c r="H81" s="20"/>
      <c r="I81" s="20"/>
      <c r="J81" t="s">
        <v>30</v>
      </c>
      <c r="K81" s="98">
        <f t="shared" si="42"/>
        <v>0</v>
      </c>
      <c r="L81" s="23">
        <f t="shared" si="40"/>
        <v>0</v>
      </c>
      <c r="M81" s="99">
        <f t="shared" si="41"/>
        <v>0</v>
      </c>
      <c r="N81" s="33"/>
      <c r="O81" s="99">
        <f t="shared" si="43"/>
        <v>0</v>
      </c>
      <c r="P81" s="99"/>
      <c r="Q81" s="48"/>
      <c r="R81" s="49"/>
      <c r="S81" s="49"/>
      <c r="T81" s="49"/>
      <c r="U81" s="49"/>
      <c r="V81" s="49"/>
      <c r="W81" s="73"/>
      <c r="X81" s="74"/>
      <c r="Y81" s="73"/>
      <c r="Z81" s="45"/>
      <c r="AA81" s="12"/>
      <c r="AB81" s="12"/>
      <c r="AC81" s="11"/>
      <c r="AD81" s="17"/>
    </row>
    <row r="82" spans="1:30" ht="17.25" x14ac:dyDescent="0.3">
      <c r="A82" s="90">
        <v>45839</v>
      </c>
      <c r="B82" s="332"/>
      <c r="C82" s="321" t="s">
        <v>121</v>
      </c>
      <c r="D82" s="322"/>
      <c r="E82" s="322"/>
      <c r="F82" s="323"/>
      <c r="G82" s="327" t="s">
        <v>38</v>
      </c>
      <c r="H82" s="328"/>
      <c r="I82" s="329"/>
      <c r="J82" s="42"/>
      <c r="K82" s="139">
        <f>SUM(K77:K81)</f>
        <v>7.9525202652910831</v>
      </c>
      <c r="L82" s="139">
        <f>SUM(L77:L81)</f>
        <v>0.20088066190125273</v>
      </c>
      <c r="M82" s="139">
        <f>SUM(M77:M81)</f>
        <v>1.5780800715089045E-2</v>
      </c>
      <c r="N82" s="139">
        <f t="shared" ref="N82:Z82" si="54">SUM(N77:N81)</f>
        <v>0</v>
      </c>
      <c r="O82" s="139">
        <f>SUM(O77:O81)</f>
        <v>5.2478182720925748</v>
      </c>
      <c r="P82" s="139">
        <f t="shared" si="54"/>
        <v>8.3000000000000004E-2</v>
      </c>
      <c r="Q82" s="139">
        <f t="shared" si="54"/>
        <v>0</v>
      </c>
      <c r="R82" s="139">
        <f t="shared" si="54"/>
        <v>1.5</v>
      </c>
      <c r="S82" s="139">
        <f t="shared" si="54"/>
        <v>0</v>
      </c>
      <c r="T82" s="139">
        <f t="shared" si="54"/>
        <v>39</v>
      </c>
      <c r="U82" s="139">
        <f t="shared" si="54"/>
        <v>0</v>
      </c>
      <c r="V82" s="139">
        <f t="shared" si="54"/>
        <v>0</v>
      </c>
      <c r="W82" s="139">
        <f t="shared" si="54"/>
        <v>6</v>
      </c>
      <c r="X82" s="139">
        <f t="shared" si="54"/>
        <v>0</v>
      </c>
      <c r="Y82" s="139">
        <f t="shared" si="54"/>
        <v>0</v>
      </c>
      <c r="Z82" s="139">
        <f t="shared" si="54"/>
        <v>60</v>
      </c>
      <c r="AA82" s="51">
        <f>(K82/(K82+L82+M82+N82+O82+P82))*100</f>
        <v>58.907557520674693</v>
      </c>
      <c r="AB82" s="67">
        <f>(K82/(K82+L82+M82+N82+O82+P82+U82+Q82+R82+V82+S82+T82))*100</f>
        <v>14.726889380168673</v>
      </c>
      <c r="AC82" s="52" t="s">
        <v>116</v>
      </c>
      <c r="AD82" s="17"/>
    </row>
    <row r="83" spans="1:30" ht="17.25" x14ac:dyDescent="0.3">
      <c r="A83" s="80" t="s">
        <v>122</v>
      </c>
      <c r="B83" s="332"/>
      <c r="C83" s="324"/>
      <c r="D83" s="325"/>
      <c r="E83" s="325"/>
      <c r="F83" s="326"/>
      <c r="G83" s="318" t="s">
        <v>40</v>
      </c>
      <c r="H83" s="319"/>
      <c r="I83" s="320"/>
      <c r="J83" s="82"/>
      <c r="K83" s="77">
        <f>(K82/$Z82)*100</f>
        <v>13.254200442151806</v>
      </c>
      <c r="L83" s="77">
        <f t="shared" ref="L83:Y83" si="55">(L82/$Z82)*100</f>
        <v>0.33480110316875455</v>
      </c>
      <c r="M83" s="77">
        <f t="shared" si="55"/>
        <v>2.6301334525148407E-2</v>
      </c>
      <c r="N83" s="77">
        <f t="shared" si="55"/>
        <v>0</v>
      </c>
      <c r="O83" s="77">
        <f>(O82/$Z82)*100</f>
        <v>8.7463637868209592</v>
      </c>
      <c r="P83" s="77">
        <f t="shared" si="55"/>
        <v>0.13833333333333334</v>
      </c>
      <c r="Q83" s="77">
        <f t="shared" si="55"/>
        <v>0</v>
      </c>
      <c r="R83" s="77">
        <f t="shared" si="55"/>
        <v>2.5</v>
      </c>
      <c r="S83" s="77">
        <f t="shared" si="55"/>
        <v>0</v>
      </c>
      <c r="T83" s="77">
        <f t="shared" si="55"/>
        <v>65</v>
      </c>
      <c r="U83" s="77">
        <f t="shared" si="55"/>
        <v>0</v>
      </c>
      <c r="V83" s="77">
        <f t="shared" si="55"/>
        <v>0</v>
      </c>
      <c r="W83" s="77">
        <f t="shared" si="55"/>
        <v>10</v>
      </c>
      <c r="X83" s="77">
        <f t="shared" si="55"/>
        <v>0</v>
      </c>
      <c r="Y83" s="77">
        <f t="shared" si="55"/>
        <v>0</v>
      </c>
      <c r="Z83" s="77">
        <f>SUM(K83:Y83)</f>
        <v>100</v>
      </c>
      <c r="AA83" s="81" t="s">
        <v>41</v>
      </c>
      <c r="AB83" s="61"/>
      <c r="AC83" s="62"/>
      <c r="AD83" s="17"/>
    </row>
    <row r="84" spans="1:30" ht="17.25" x14ac:dyDescent="0.3">
      <c r="A84" s="87"/>
      <c r="B84" s="306" t="s">
        <v>123</v>
      </c>
      <c r="C84" s="24" t="s">
        <v>120</v>
      </c>
      <c r="D84" s="20"/>
      <c r="E84" s="20"/>
      <c r="F84" s="10">
        <f t="shared" si="53"/>
        <v>0</v>
      </c>
      <c r="G84" s="20"/>
      <c r="H84" s="20"/>
      <c r="I84" s="20"/>
      <c r="J84" t="s">
        <v>30</v>
      </c>
      <c r="K84" s="98">
        <f t="shared" si="42"/>
        <v>0</v>
      </c>
      <c r="L84" s="23">
        <f t="shared" si="40"/>
        <v>0</v>
      </c>
      <c r="M84" s="99">
        <f t="shared" si="41"/>
        <v>0</v>
      </c>
      <c r="N84" s="33"/>
      <c r="O84" s="99">
        <f t="shared" si="43"/>
        <v>0</v>
      </c>
      <c r="P84" s="99"/>
      <c r="Q84" s="48"/>
      <c r="R84" s="49"/>
      <c r="S84" s="49"/>
      <c r="T84" s="49"/>
      <c r="U84" s="49"/>
      <c r="V84" s="49"/>
      <c r="W84" s="73"/>
      <c r="X84" s="74"/>
      <c r="Y84" s="73"/>
      <c r="Z84" s="45"/>
      <c r="AA84" s="12"/>
      <c r="AB84" s="12"/>
      <c r="AC84" s="11"/>
      <c r="AD84" s="17"/>
    </row>
    <row r="85" spans="1:30" ht="17.25" x14ac:dyDescent="0.3">
      <c r="A85" s="104"/>
      <c r="B85" s="307"/>
      <c r="C85" s="24" t="s">
        <v>124</v>
      </c>
      <c r="D85" s="20"/>
      <c r="E85" s="20"/>
      <c r="F85" s="10">
        <f t="shared" si="53"/>
        <v>0</v>
      </c>
      <c r="G85" s="20"/>
      <c r="H85" s="20"/>
      <c r="I85" s="20"/>
      <c r="J85" t="s">
        <v>30</v>
      </c>
      <c r="K85" s="98">
        <f t="shared" ref="K85:K88" si="56">E85/271.4</f>
        <v>0</v>
      </c>
      <c r="L85" s="23">
        <f t="shared" ref="L85:L88" si="57">(E85*I85/100)/271.4</f>
        <v>0</v>
      </c>
      <c r="M85" s="99">
        <f t="shared" ref="M85:M88" si="58">((44/4*0.0102*480*K85)/100)/271.4</f>
        <v>0</v>
      </c>
      <c r="N85" s="33"/>
      <c r="O85" s="99">
        <f t="shared" ref="O85:O88" si="59">Z85-(K85+L85+M85+N85+P85+Q85+U85+R85+S85+W85+V85+Y85+T85+X85)</f>
        <v>0</v>
      </c>
      <c r="P85" s="99"/>
      <c r="Q85" s="48"/>
      <c r="R85" s="49"/>
      <c r="S85" s="49"/>
      <c r="T85" s="49"/>
      <c r="U85" s="49"/>
      <c r="V85" s="49"/>
      <c r="W85" s="73"/>
      <c r="X85" s="74"/>
      <c r="Y85" s="73"/>
      <c r="Z85" s="45"/>
      <c r="AA85" s="12"/>
      <c r="AB85" s="12"/>
      <c r="AC85" s="11"/>
      <c r="AD85" s="17"/>
    </row>
    <row r="86" spans="1:30" ht="17.25" x14ac:dyDescent="0.3">
      <c r="A86" s="28"/>
      <c r="B86" s="307"/>
      <c r="C86" s="24" t="s">
        <v>125</v>
      </c>
      <c r="D86" s="20"/>
      <c r="E86" s="20"/>
      <c r="F86" s="10">
        <f t="shared" si="53"/>
        <v>0</v>
      </c>
      <c r="G86" s="20"/>
      <c r="H86" s="20"/>
      <c r="I86" s="20"/>
      <c r="J86" t="s">
        <v>30</v>
      </c>
      <c r="K86" s="98">
        <f t="shared" si="56"/>
        <v>0</v>
      </c>
      <c r="L86" s="23">
        <f t="shared" si="57"/>
        <v>0</v>
      </c>
      <c r="M86" s="99">
        <f t="shared" si="58"/>
        <v>0</v>
      </c>
      <c r="N86" s="33"/>
      <c r="O86" s="99">
        <f t="shared" si="59"/>
        <v>0</v>
      </c>
      <c r="P86" s="99"/>
      <c r="Q86" s="48"/>
      <c r="R86" s="49"/>
      <c r="S86" s="49"/>
      <c r="T86" s="49"/>
      <c r="U86" s="49"/>
      <c r="V86" s="49"/>
      <c r="W86" s="73"/>
      <c r="X86" s="74"/>
      <c r="Y86" s="73"/>
      <c r="Z86" s="45"/>
      <c r="AA86" s="12"/>
      <c r="AB86" s="12"/>
      <c r="AC86" s="11"/>
      <c r="AD86" s="17"/>
    </row>
    <row r="87" spans="1:30" ht="17.25" x14ac:dyDescent="0.3">
      <c r="A87" s="28"/>
      <c r="B87" s="307"/>
      <c r="C87" s="24" t="s">
        <v>126</v>
      </c>
      <c r="D87" s="20"/>
      <c r="E87" s="20"/>
      <c r="F87" s="10">
        <f t="shared" si="53"/>
        <v>0</v>
      </c>
      <c r="G87" s="20"/>
      <c r="H87" s="20"/>
      <c r="I87" s="20"/>
      <c r="J87" t="s">
        <v>30</v>
      </c>
      <c r="K87" s="98">
        <f t="shared" si="56"/>
        <v>0</v>
      </c>
      <c r="L87" s="23">
        <f t="shared" si="57"/>
        <v>0</v>
      </c>
      <c r="M87" s="99">
        <f t="shared" si="58"/>
        <v>0</v>
      </c>
      <c r="N87" s="33"/>
      <c r="O87" s="99">
        <f t="shared" si="59"/>
        <v>0</v>
      </c>
      <c r="P87" s="99"/>
      <c r="Q87" s="48"/>
      <c r="R87" s="49"/>
      <c r="S87" s="49"/>
      <c r="T87" s="49"/>
      <c r="U87" s="49"/>
      <c r="V87" s="49"/>
      <c r="W87" s="73"/>
      <c r="X87" s="74"/>
      <c r="Y87" s="73"/>
      <c r="Z87" s="45"/>
      <c r="AA87" s="12"/>
      <c r="AB87" s="12"/>
      <c r="AC87" s="11"/>
      <c r="AD87" s="17"/>
    </row>
    <row r="88" spans="1:30" ht="17.25" x14ac:dyDescent="0.3">
      <c r="A88" s="28"/>
      <c r="B88" s="307"/>
      <c r="C88" s="24" t="s">
        <v>127</v>
      </c>
      <c r="D88" s="20"/>
      <c r="E88" s="20"/>
      <c r="F88" s="10">
        <f t="shared" si="53"/>
        <v>0</v>
      </c>
      <c r="G88" s="20"/>
      <c r="H88" s="20"/>
      <c r="I88" s="20"/>
      <c r="J88" t="s">
        <v>30</v>
      </c>
      <c r="K88" s="98">
        <f t="shared" si="56"/>
        <v>0</v>
      </c>
      <c r="L88" s="23">
        <f t="shared" si="57"/>
        <v>0</v>
      </c>
      <c r="M88" s="99">
        <f t="shared" si="58"/>
        <v>0</v>
      </c>
      <c r="N88" s="33"/>
      <c r="O88" s="99">
        <f t="shared" si="59"/>
        <v>0</v>
      </c>
      <c r="P88" s="99"/>
      <c r="Q88" s="48"/>
      <c r="R88" s="49"/>
      <c r="S88" s="49"/>
      <c r="T88" s="49"/>
      <c r="U88" s="49"/>
      <c r="V88" s="49"/>
      <c r="W88" s="73"/>
      <c r="X88" s="74"/>
      <c r="Y88" s="73"/>
      <c r="Z88" s="45"/>
      <c r="AA88" s="12"/>
      <c r="AB88" s="12"/>
      <c r="AC88" s="11"/>
      <c r="AD88" s="17"/>
    </row>
    <row r="89" spans="1:30" ht="17.25" x14ac:dyDescent="0.3">
      <c r="A89" s="91">
        <v>45870</v>
      </c>
      <c r="B89" s="307"/>
      <c r="C89" s="309" t="s">
        <v>128</v>
      </c>
      <c r="D89" s="310"/>
      <c r="E89" s="310"/>
      <c r="F89" s="311"/>
      <c r="G89" s="315" t="s">
        <v>38</v>
      </c>
      <c r="H89" s="316"/>
      <c r="I89" s="317"/>
      <c r="J89" s="29"/>
      <c r="K89" s="137">
        <f>SUM(K83:K88)</f>
        <v>13.254200442151806</v>
      </c>
      <c r="L89" s="137">
        <f t="shared" ref="L89:Z89" si="60">SUM(L83:L88)</f>
        <v>0.33480110316875455</v>
      </c>
      <c r="M89" s="137">
        <f t="shared" si="60"/>
        <v>2.6301334525148407E-2</v>
      </c>
      <c r="N89" s="137">
        <f t="shared" si="60"/>
        <v>0</v>
      </c>
      <c r="O89" s="137">
        <f t="shared" si="60"/>
        <v>8.7463637868209592</v>
      </c>
      <c r="P89" s="137">
        <f t="shared" si="60"/>
        <v>0.13833333333333334</v>
      </c>
      <c r="Q89" s="137">
        <f t="shared" si="60"/>
        <v>0</v>
      </c>
      <c r="R89" s="137">
        <f t="shared" si="60"/>
        <v>2.5</v>
      </c>
      <c r="S89" s="137">
        <f t="shared" si="60"/>
        <v>0</v>
      </c>
      <c r="T89" s="137">
        <f t="shared" si="60"/>
        <v>65</v>
      </c>
      <c r="U89" s="137">
        <f t="shared" si="60"/>
        <v>0</v>
      </c>
      <c r="V89" s="137">
        <f t="shared" si="60"/>
        <v>0</v>
      </c>
      <c r="W89" s="137">
        <f t="shared" si="60"/>
        <v>10</v>
      </c>
      <c r="X89" s="137">
        <f t="shared" si="60"/>
        <v>0</v>
      </c>
      <c r="Y89" s="137">
        <f t="shared" si="60"/>
        <v>0</v>
      </c>
      <c r="Z89" s="137">
        <f t="shared" si="60"/>
        <v>100</v>
      </c>
      <c r="AA89" s="83">
        <f>(K89/(K89+L89+M89+N89+O89+P89))*100</f>
        <v>58.907557520674693</v>
      </c>
      <c r="AB89" s="83">
        <f>(K89/(K89+L89+M89+N89+O89+P89+U89+Q89+R89+V89+S89+T89))*100</f>
        <v>14.726889380168673</v>
      </c>
      <c r="AC89" s="141" t="s">
        <v>123</v>
      </c>
      <c r="AD89" s="17"/>
    </row>
    <row r="90" spans="1:30" ht="17.25" x14ac:dyDescent="0.3">
      <c r="A90" s="142" t="s">
        <v>129</v>
      </c>
      <c r="B90" s="308"/>
      <c r="C90" s="312"/>
      <c r="D90" s="313"/>
      <c r="E90" s="313"/>
      <c r="F90" s="314"/>
      <c r="G90" s="318" t="s">
        <v>40</v>
      </c>
      <c r="H90" s="319"/>
      <c r="I90" s="320"/>
      <c r="J90" s="82"/>
      <c r="K90" s="77">
        <f>(K89/$Z89)*100</f>
        <v>13.254200442151806</v>
      </c>
      <c r="L90" s="77">
        <f t="shared" ref="L90:Y90" si="61">(L89/$Z89)*100</f>
        <v>0.33480110316875455</v>
      </c>
      <c r="M90" s="77">
        <f t="shared" si="61"/>
        <v>2.6301334525148407E-2</v>
      </c>
      <c r="N90" s="77">
        <f t="shared" si="61"/>
        <v>0</v>
      </c>
      <c r="O90" s="77">
        <f t="shared" si="61"/>
        <v>8.7463637868209592</v>
      </c>
      <c r="P90" s="77">
        <f t="shared" si="61"/>
        <v>0.13833333333333334</v>
      </c>
      <c r="Q90" s="77">
        <f t="shared" si="61"/>
        <v>0</v>
      </c>
      <c r="R90" s="77">
        <f t="shared" si="61"/>
        <v>2.5</v>
      </c>
      <c r="S90" s="77">
        <f t="shared" si="61"/>
        <v>0</v>
      </c>
      <c r="T90" s="77">
        <f t="shared" si="61"/>
        <v>65</v>
      </c>
      <c r="U90" s="77">
        <f t="shared" si="61"/>
        <v>0</v>
      </c>
      <c r="V90" s="77">
        <f t="shared" si="61"/>
        <v>0</v>
      </c>
      <c r="W90" s="77">
        <f t="shared" si="61"/>
        <v>10</v>
      </c>
      <c r="X90" s="77">
        <f t="shared" si="61"/>
        <v>0</v>
      </c>
      <c r="Y90" s="77">
        <f t="shared" si="61"/>
        <v>0</v>
      </c>
      <c r="Z90" s="77">
        <f>SUM(K90:Y90)</f>
        <v>100</v>
      </c>
      <c r="AA90" s="81" t="s">
        <v>41</v>
      </c>
      <c r="AB90" s="61"/>
      <c r="AC90" s="62"/>
      <c r="AD90" s="17"/>
    </row>
    <row r="91" spans="1:30" ht="21" x14ac:dyDescent="0.35">
      <c r="A91" s="29" t="s">
        <v>130</v>
      </c>
      <c r="B91" s="29"/>
      <c r="C91" s="29"/>
      <c r="D91" s="30"/>
      <c r="E91" s="30">
        <f>SUM(E4:E80)</f>
        <v>172348.50699999998</v>
      </c>
      <c r="F91" s="30"/>
      <c r="G91" s="219" t="s">
        <v>38</v>
      </c>
      <c r="H91" s="219"/>
      <c r="I91" s="30"/>
      <c r="J91" s="30"/>
      <c r="K91" s="31">
        <f>SUMIF($J3:$J90,$J$3,K$3:K$90)</f>
        <v>637.47791820191571</v>
      </c>
      <c r="L91" s="31">
        <f>SUMIF($J3:$J90,$J$3,L$3:L$90)</f>
        <v>12.268764646204867</v>
      </c>
      <c r="M91" s="31">
        <f t="shared" ref="M91:X91" si="62">SUMIF($J3:$J90,$J$3,M$3:M$90)</f>
        <v>1.2649967119632419</v>
      </c>
      <c r="N91" s="31">
        <f t="shared" si="62"/>
        <v>0</v>
      </c>
      <c r="O91" s="31">
        <f t="shared" si="62"/>
        <v>108.66282043991589</v>
      </c>
      <c r="P91" s="31">
        <f t="shared" si="62"/>
        <v>5.3254999999999999</v>
      </c>
      <c r="Q91" s="31">
        <f t="shared" si="62"/>
        <v>0</v>
      </c>
      <c r="R91" s="31">
        <f t="shared" si="62"/>
        <v>12</v>
      </c>
      <c r="S91" s="31">
        <f t="shared" si="62"/>
        <v>0.5</v>
      </c>
      <c r="T91" s="31">
        <f t="shared" si="62"/>
        <v>42</v>
      </c>
      <c r="U91" s="31">
        <f t="shared" si="62"/>
        <v>44.5</v>
      </c>
      <c r="V91" s="31">
        <f t="shared" si="62"/>
        <v>35</v>
      </c>
      <c r="W91" s="31">
        <f t="shared" si="62"/>
        <v>16</v>
      </c>
      <c r="X91" s="31">
        <f t="shared" si="62"/>
        <v>24</v>
      </c>
      <c r="Y91" s="31">
        <f>SUMIF($J3:$J90,$J$3,Y$3:Y$90)</f>
        <v>30</v>
      </c>
      <c r="Z91" s="31">
        <f>SUMIF($J3:$J90,$J$3,Z$3:Z$90)</f>
        <v>969</v>
      </c>
      <c r="AA91" s="54">
        <f>(K91/(K91+L91+M91+N91+O91+P91))*100</f>
        <v>83.330446823779852</v>
      </c>
      <c r="AB91" s="54">
        <f>(K91/(K91+L91+M91+N91+O91+P91+U91+Q91+R91+V91+S91+T91))*100</f>
        <v>70.909668320569068</v>
      </c>
    </row>
    <row r="92" spans="1:30" ht="15.75" x14ac:dyDescent="0.25">
      <c r="A92" t="s">
        <v>131</v>
      </c>
      <c r="G92" s="220" t="s">
        <v>40</v>
      </c>
      <c r="H92" s="220"/>
      <c r="I92" s="220"/>
      <c r="J92" s="2"/>
      <c r="K92" s="96">
        <f t="shared" ref="K92:Z92" si="63">(K91/$Z91)*100</f>
        <v>65.787194860878813</v>
      </c>
      <c r="L92" s="96">
        <f t="shared" si="63"/>
        <v>1.2661263824772824</v>
      </c>
      <c r="M92" s="96">
        <f t="shared" si="63"/>
        <v>0.13054661630167613</v>
      </c>
      <c r="N92" s="96">
        <f t="shared" si="63"/>
        <v>0</v>
      </c>
      <c r="O92" s="96">
        <f t="shared" si="63"/>
        <v>11.213913358092455</v>
      </c>
      <c r="P92" s="96">
        <f t="shared" si="63"/>
        <v>0.54958720330237354</v>
      </c>
      <c r="Q92" s="96">
        <f t="shared" si="63"/>
        <v>0</v>
      </c>
      <c r="R92" s="96">
        <f t="shared" si="63"/>
        <v>1.2383900928792571</v>
      </c>
      <c r="S92" s="96">
        <f t="shared" si="63"/>
        <v>5.159958720330237E-2</v>
      </c>
      <c r="T92" s="96">
        <f t="shared" si="63"/>
        <v>4.3343653250773997</v>
      </c>
      <c r="U92" s="96">
        <f t="shared" si="63"/>
        <v>4.5923632610939107</v>
      </c>
      <c r="V92" s="96">
        <f t="shared" si="63"/>
        <v>3.611971104231166</v>
      </c>
      <c r="W92" s="96">
        <f t="shared" si="63"/>
        <v>1.6511867905056758</v>
      </c>
      <c r="X92" s="96">
        <f t="shared" si="63"/>
        <v>2.4767801857585141</v>
      </c>
      <c r="Y92" s="96">
        <f t="shared" si="63"/>
        <v>3.0959752321981426</v>
      </c>
      <c r="Z92" s="96">
        <f t="shared" si="63"/>
        <v>100</v>
      </c>
      <c r="AA92" t="s">
        <v>41</v>
      </c>
    </row>
    <row r="93" spans="1:30" x14ac:dyDescent="0.25">
      <c r="K93" s="95"/>
      <c r="L93" s="94"/>
      <c r="M93" s="148"/>
      <c r="N93" s="148"/>
      <c r="O93" s="148"/>
      <c r="P93" s="148"/>
      <c r="Q93" s="149"/>
      <c r="R93" s="149"/>
      <c r="S93" s="149"/>
      <c r="T93" s="149"/>
      <c r="U93" s="149"/>
      <c r="V93" s="149"/>
      <c r="W93" s="147"/>
      <c r="X93" s="147"/>
      <c r="Y93" s="147"/>
    </row>
    <row r="99" spans="11:30" x14ac:dyDescent="0.25">
      <c r="K99" s="3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>
        <v>45954</v>
      </c>
      <c r="AD99" s="6"/>
    </row>
    <row r="100" spans="11:30" ht="15.75" x14ac:dyDescent="0.25"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1:30" ht="15.75" x14ac:dyDescent="0.25"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1:30" ht="22.5" customHeight="1" x14ac:dyDescent="0.25"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</sheetData>
  <mergeCells count="48">
    <mergeCell ref="C89:F90"/>
    <mergeCell ref="G89:I89"/>
    <mergeCell ref="G90:I90"/>
    <mergeCell ref="B84:B90"/>
    <mergeCell ref="C82:F83"/>
    <mergeCell ref="G82:I82"/>
    <mergeCell ref="G83:I83"/>
    <mergeCell ref="B77:B83"/>
    <mergeCell ref="C75:F76"/>
    <mergeCell ref="G75:I75"/>
    <mergeCell ref="G76:I76"/>
    <mergeCell ref="B69:B76"/>
    <mergeCell ref="C67:F68"/>
    <mergeCell ref="G67:I67"/>
    <mergeCell ref="G68:I68"/>
    <mergeCell ref="B25:B32"/>
    <mergeCell ref="B33:B38"/>
    <mergeCell ref="B47:B54"/>
    <mergeCell ref="C38:F39"/>
    <mergeCell ref="G38:I38"/>
    <mergeCell ref="G39:I39"/>
    <mergeCell ref="C45:F46"/>
    <mergeCell ref="G45:I45"/>
    <mergeCell ref="G46:I46"/>
    <mergeCell ref="C31:F32"/>
    <mergeCell ref="G31:I31"/>
    <mergeCell ref="G32:I32"/>
    <mergeCell ref="B1:I1"/>
    <mergeCell ref="C23:F24"/>
    <mergeCell ref="G23:I23"/>
    <mergeCell ref="G24:I24"/>
    <mergeCell ref="B3:B10"/>
    <mergeCell ref="B11:B17"/>
    <mergeCell ref="B18:B23"/>
    <mergeCell ref="C16:F17"/>
    <mergeCell ref="G16:I16"/>
    <mergeCell ref="G17:I17"/>
    <mergeCell ref="G9:I9"/>
    <mergeCell ref="G10:I10"/>
    <mergeCell ref="C9:F10"/>
    <mergeCell ref="B55:B61"/>
    <mergeCell ref="B40:B46"/>
    <mergeCell ref="C60:F61"/>
    <mergeCell ref="G60:I60"/>
    <mergeCell ref="G61:I61"/>
    <mergeCell ref="C53:F54"/>
    <mergeCell ref="G53:I53"/>
    <mergeCell ref="G54:I5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0C03-2147-4471-BDE6-22D96E997DA3}">
  <dimension ref="A1:AA80"/>
  <sheetViews>
    <sheetView showGridLines="0" tabSelected="1" zoomScale="70" zoomScaleNormal="70" workbookViewId="0">
      <selection activeCell="N39" sqref="N39"/>
    </sheetView>
  </sheetViews>
  <sheetFormatPr defaultRowHeight="15.75" x14ac:dyDescent="0.25"/>
  <cols>
    <col min="1" max="1" width="3.7109375" style="161" customWidth="1"/>
    <col min="2" max="2" width="26.140625" style="161" customWidth="1"/>
    <col min="3" max="3" width="14.42578125" style="161" customWidth="1"/>
    <col min="4" max="4" width="19.5703125" style="161" customWidth="1"/>
    <col min="5" max="5" width="17.85546875" style="161" customWidth="1"/>
    <col min="6" max="6" width="32.7109375" style="161" customWidth="1"/>
    <col min="7" max="10" width="15.7109375" style="161" customWidth="1"/>
    <col min="11" max="16" width="18.7109375" style="161" customWidth="1"/>
    <col min="17" max="19" width="18.28515625" style="161" customWidth="1"/>
    <col min="20" max="20" width="12.5703125" style="161" customWidth="1"/>
    <col min="21" max="21" width="50.85546875" style="161" customWidth="1"/>
    <col min="22" max="22" width="37.140625" style="161" customWidth="1"/>
    <col min="23" max="25" width="19" style="161" customWidth="1"/>
    <col min="26" max="16384" width="9.140625" style="161"/>
  </cols>
  <sheetData>
    <row r="1" spans="1:27" x14ac:dyDescent="0.25">
      <c r="D1" s="32" t="s">
        <v>132</v>
      </c>
      <c r="E1" s="32"/>
      <c r="F1" s="32"/>
      <c r="G1" s="32" t="s">
        <v>133</v>
      </c>
      <c r="H1" s="32"/>
      <c r="I1" s="32"/>
      <c r="J1" s="32"/>
    </row>
    <row r="2" spans="1:27" ht="16.5" thickBot="1" x14ac:dyDescent="0.3">
      <c r="D2" s="194"/>
      <c r="E2" s="32"/>
      <c r="F2" s="32"/>
      <c r="G2" s="32" t="s">
        <v>134</v>
      </c>
      <c r="H2" s="32"/>
      <c r="I2" s="32"/>
    </row>
    <row r="3" spans="1:27" ht="15" customHeight="1" x14ac:dyDescent="0.25">
      <c r="B3" s="340" t="s">
        <v>135</v>
      </c>
      <c r="C3" s="345" t="s">
        <v>130</v>
      </c>
      <c r="D3" s="346"/>
      <c r="J3" s="341"/>
      <c r="K3" s="341"/>
      <c r="L3" s="195"/>
      <c r="M3" s="195"/>
      <c r="N3" s="195"/>
      <c r="O3" s="196"/>
      <c r="P3" s="196"/>
      <c r="Q3" s="196"/>
      <c r="R3" s="196"/>
      <c r="S3" s="196"/>
      <c r="T3" s="196"/>
    </row>
    <row r="4" spans="1:27" ht="15" customHeight="1" thickBot="1" x14ac:dyDescent="0.3">
      <c r="B4" s="340"/>
      <c r="C4" s="347"/>
      <c r="D4" s="348"/>
      <c r="J4" s="341"/>
      <c r="K4" s="341"/>
      <c r="L4" s="195"/>
      <c r="M4" s="195"/>
      <c r="N4" s="195"/>
      <c r="O4" s="196"/>
      <c r="P4" s="196"/>
      <c r="Q4" s="196"/>
      <c r="R4" s="196"/>
      <c r="S4" s="196"/>
      <c r="T4" s="196"/>
      <c r="U4" s="197"/>
    </row>
    <row r="5" spans="1:27" ht="60.75" customHeight="1" thickTop="1" thickBot="1" x14ac:dyDescent="0.3">
      <c r="B5" s="342" t="s">
        <v>136</v>
      </c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  <c r="Q5" s="343"/>
      <c r="R5" s="343"/>
      <c r="S5" s="343"/>
      <c r="T5" s="344"/>
      <c r="U5" s="490" t="s">
        <v>137</v>
      </c>
    </row>
    <row r="6" spans="1:27" ht="60.75" customHeight="1" thickTop="1" thickBot="1" x14ac:dyDescent="0.3">
      <c r="B6" s="349" t="s">
        <v>138</v>
      </c>
      <c r="C6" s="350"/>
      <c r="D6" s="350"/>
      <c r="E6" s="350"/>
      <c r="F6" s="350"/>
      <c r="G6" s="350"/>
      <c r="H6" s="350"/>
      <c r="I6" s="350"/>
      <c r="J6" s="350"/>
      <c r="K6" s="350"/>
      <c r="L6" s="350"/>
      <c r="M6" s="350"/>
      <c r="N6" s="350"/>
      <c r="O6" s="350"/>
      <c r="P6" s="350"/>
      <c r="Q6" s="351" t="s">
        <v>139</v>
      </c>
      <c r="R6" s="352"/>
      <c r="S6" s="353"/>
      <c r="T6" s="295"/>
      <c r="U6" s="491"/>
      <c r="V6" s="160"/>
    </row>
    <row r="7" spans="1:27" ht="60.75" customHeight="1" thickTop="1" thickBot="1" x14ac:dyDescent="0.3">
      <c r="A7" s="263"/>
      <c r="B7" s="354" t="s">
        <v>140</v>
      </c>
      <c r="C7" s="354"/>
      <c r="D7" s="354"/>
      <c r="E7" s="354"/>
      <c r="F7" s="354"/>
      <c r="G7" s="354"/>
      <c r="H7" s="354"/>
      <c r="I7" s="354"/>
      <c r="J7" s="354"/>
      <c r="K7" s="355" t="s">
        <v>141</v>
      </c>
      <c r="L7" s="356"/>
      <c r="M7" s="356"/>
      <c r="N7" s="356"/>
      <c r="O7" s="356"/>
      <c r="P7" s="357"/>
      <c r="Q7" s="293" t="s">
        <v>142</v>
      </c>
      <c r="R7" s="292" t="s">
        <v>143</v>
      </c>
      <c r="S7" s="294" t="s">
        <v>144</v>
      </c>
      <c r="T7" s="296"/>
      <c r="U7" s="491"/>
    </row>
    <row r="8" spans="1:27" ht="60.75" customHeight="1" thickTop="1" thickBot="1" x14ac:dyDescent="0.3">
      <c r="A8" s="263"/>
      <c r="B8" s="349" t="s">
        <v>145</v>
      </c>
      <c r="C8" s="350"/>
      <c r="D8" s="350"/>
      <c r="E8" s="350"/>
      <c r="F8" s="358"/>
      <c r="G8" s="351" t="s">
        <v>146</v>
      </c>
      <c r="H8" s="352"/>
      <c r="I8" s="352"/>
      <c r="J8" s="353"/>
      <c r="K8" s="289" t="s">
        <v>147</v>
      </c>
      <c r="L8" s="290" t="s">
        <v>148</v>
      </c>
      <c r="M8" s="290" t="s">
        <v>149</v>
      </c>
      <c r="N8" s="290" t="s">
        <v>150</v>
      </c>
      <c r="O8" s="290" t="s">
        <v>151</v>
      </c>
      <c r="P8" s="291" t="s">
        <v>152</v>
      </c>
      <c r="Q8" s="361" cm="1">
        <f t="array" ref="Q8">+_xlfn.XLOOKUP($C$3,Dane!$A:$A,Dane!W:$W)</f>
        <v>16</v>
      </c>
      <c r="R8" s="366" cm="1">
        <f t="array" ref="R8">+_xlfn.XLOOKUP($C$3,Dane!$A:$A,Dane!$X:X)</f>
        <v>24</v>
      </c>
      <c r="S8" s="359" cm="1">
        <f t="array" ref="S8">+_xlfn.XLOOKUP($C$3,Dane!$A:$A,Dane!$Y:Y)</f>
        <v>30</v>
      </c>
      <c r="T8" s="266"/>
      <c r="U8" s="491"/>
    </row>
    <row r="9" spans="1:27" ht="60.75" customHeight="1" thickTop="1" thickBot="1" x14ac:dyDescent="0.3">
      <c r="A9" s="263"/>
      <c r="B9" s="363" t="s">
        <v>153</v>
      </c>
      <c r="C9" s="364"/>
      <c r="D9" s="364"/>
      <c r="E9" s="365"/>
      <c r="F9" s="285" t="s">
        <v>154</v>
      </c>
      <c r="G9" s="287" t="s">
        <v>155</v>
      </c>
      <c r="H9" s="286" t="s">
        <v>156</v>
      </c>
      <c r="I9" s="286" t="s">
        <v>157</v>
      </c>
      <c r="J9" s="288" t="s">
        <v>158</v>
      </c>
      <c r="K9" s="381" cm="1">
        <f t="array" ref="K9">+_xlfn.XLOOKUP($C$3,Dane!$A:$A,Dane!$Q:Q)</f>
        <v>0</v>
      </c>
      <c r="L9" s="383" cm="1">
        <f t="array" ref="L9">+_xlfn.XLOOKUP($C$3,Dane!$A:$A,Dane!$R:R)</f>
        <v>12</v>
      </c>
      <c r="M9" s="383" cm="1">
        <f t="array" ref="M9">+_xlfn.XLOOKUP($C$3,Dane!$A:$A,Dane!$S:S)</f>
        <v>0.5</v>
      </c>
      <c r="N9" s="383" cm="1">
        <f t="array" ref="N9">+_xlfn.XLOOKUP($C$3,Dane!$A:$A,Dane!$T:T)</f>
        <v>42</v>
      </c>
      <c r="O9" s="383" cm="1">
        <f t="array" ref="O9">+_xlfn.XLOOKUP($C$3,Dane!$A:$A,Dane!$U:U)</f>
        <v>44.5</v>
      </c>
      <c r="P9" s="476" cm="1">
        <f t="array" ref="P9">+_xlfn.XLOOKUP($C$3,Dane!$A:$A,Dane!$V:V)</f>
        <v>35</v>
      </c>
      <c r="Q9" s="362"/>
      <c r="R9" s="367"/>
      <c r="S9" s="360"/>
      <c r="T9" s="267"/>
      <c r="U9" s="492"/>
    </row>
    <row r="10" spans="1:27" s="195" customFormat="1" ht="18.75" customHeight="1" thickTop="1" x14ac:dyDescent="0.25">
      <c r="B10" s="392" t="s">
        <v>159</v>
      </c>
      <c r="C10" s="393"/>
      <c r="D10" s="393"/>
      <c r="E10" s="394"/>
      <c r="F10" s="378" cm="1">
        <f t="array" ref="F10">+_xlfn.XLOOKUP($C$3,Dane!$A:$A,Dane!$L:L)</f>
        <v>12.268764646204867</v>
      </c>
      <c r="G10" s="388" cm="1">
        <f t="array" ref="G10">+_xlfn.XLOOKUP($C$3,Dane!$A:$A,Dane!$M:M)</f>
        <v>1.2649967119632419</v>
      </c>
      <c r="H10" s="390" cm="1">
        <f t="array" ref="H10">+_xlfn.XLOOKUP($C$3,Dane!$A:$A,Dane!$N:N)</f>
        <v>0</v>
      </c>
      <c r="I10" s="390" cm="1">
        <f t="array" ref="I10">+_xlfn.XLOOKUP($C$3,Dane!$A:$A,Dane!$O:O)</f>
        <v>108.66282043991589</v>
      </c>
      <c r="J10" s="401" cm="1">
        <f t="array" ref="J10">+_xlfn.XLOOKUP($C$3,Dane!$A:$A,Dane!$P:P)</f>
        <v>5.3254999999999999</v>
      </c>
      <c r="K10" s="382"/>
      <c r="L10" s="384"/>
      <c r="M10" s="384"/>
      <c r="N10" s="384"/>
      <c r="O10" s="384"/>
      <c r="P10" s="477"/>
      <c r="Q10" s="334">
        <f>Q8+S8+R8</f>
        <v>70</v>
      </c>
      <c r="R10" s="335"/>
      <c r="S10" s="336"/>
      <c r="T10" s="462">
        <f>B14+F10+G13+K12+Q10</f>
        <v>968.99999999999977</v>
      </c>
      <c r="U10" s="460" t="str" cm="1">
        <f t="array" ref="U10">+_xlfn.XLOOKUP($C$3,Dane!$A:$A,Dane!$G:G)</f>
        <v>EFFECTIVE SHIFTS AT FULL CAPACITY</v>
      </c>
    </row>
    <row r="11" spans="1:27" s="195" customFormat="1" ht="18.75" customHeight="1" thickBot="1" x14ac:dyDescent="0.3">
      <c r="B11" s="395"/>
      <c r="C11" s="396"/>
      <c r="D11" s="396"/>
      <c r="E11" s="397"/>
      <c r="F11" s="379"/>
      <c r="G11" s="389"/>
      <c r="H11" s="391"/>
      <c r="I11" s="391"/>
      <c r="J11" s="402"/>
      <c r="K11" s="304">
        <f>(K9/B17)*100</f>
        <v>0</v>
      </c>
      <c r="L11" s="303">
        <f>(L9/B17)*100</f>
        <v>1.3348164627363741</v>
      </c>
      <c r="M11" s="303">
        <f>(M9/B17)*100</f>
        <v>5.5617352614015583E-2</v>
      </c>
      <c r="N11" s="303">
        <f>(N9/B17)*100</f>
        <v>4.6718576195773087</v>
      </c>
      <c r="O11" s="303">
        <f>(O9/B17)*100</f>
        <v>4.949944382647387</v>
      </c>
      <c r="P11" s="302">
        <f>(P9/B17)*100</f>
        <v>3.8932146829810907</v>
      </c>
      <c r="Q11" s="337"/>
      <c r="R11" s="338"/>
      <c r="S11" s="339"/>
      <c r="T11" s="463"/>
      <c r="U11" s="461"/>
    </row>
    <row r="12" spans="1:27" s="195" customFormat="1" ht="35.25" customHeight="1" thickTop="1" thickBot="1" x14ac:dyDescent="0.3">
      <c r="B12" s="395"/>
      <c r="C12" s="396"/>
      <c r="D12" s="396"/>
      <c r="E12" s="397"/>
      <c r="F12" s="379"/>
      <c r="G12" s="276">
        <f>(G10/B17)*100</f>
        <v>0.14071153636965986</v>
      </c>
      <c r="H12" s="277">
        <f>(H10/B17)*100</f>
        <v>0</v>
      </c>
      <c r="I12" s="277">
        <f>(I10/B17)*100</f>
        <v>12.087076800880524</v>
      </c>
      <c r="J12" s="278">
        <f>(J10/B17)*100</f>
        <v>0.59238042269187996</v>
      </c>
      <c r="K12" s="400">
        <f>K9+L9+M9+N9+O9+P9</f>
        <v>134</v>
      </c>
      <c r="L12" s="400"/>
      <c r="M12" s="400"/>
      <c r="N12" s="400"/>
      <c r="O12" s="400"/>
      <c r="P12" s="400"/>
      <c r="Q12" s="264"/>
      <c r="R12" s="265"/>
      <c r="S12" s="265"/>
      <c r="T12" s="265"/>
      <c r="U12" s="247"/>
    </row>
    <row r="13" spans="1:27" s="195" customFormat="1" ht="35.25" customHeight="1" thickTop="1" thickBot="1" x14ac:dyDescent="0.3">
      <c r="B13" s="395"/>
      <c r="C13" s="396"/>
      <c r="D13" s="396"/>
      <c r="E13" s="397"/>
      <c r="F13" s="379"/>
      <c r="G13" s="398">
        <f>G10+I10+H10+J10</f>
        <v>115.25331715187913</v>
      </c>
      <c r="H13" s="390"/>
      <c r="I13" s="390"/>
      <c r="J13" s="399"/>
      <c r="K13" s="385">
        <f>(K12/B17)*100</f>
        <v>14.905450500556178</v>
      </c>
      <c r="L13" s="386"/>
      <c r="M13" s="386"/>
      <c r="N13" s="386"/>
      <c r="O13" s="386"/>
      <c r="P13" s="387"/>
      <c r="Q13" s="246"/>
      <c r="R13" s="246"/>
      <c r="S13" s="246"/>
      <c r="T13" s="246"/>
      <c r="U13" s="246"/>
    </row>
    <row r="14" spans="1:27" s="195" customFormat="1" ht="15" customHeight="1" thickTop="1" thickBot="1" x14ac:dyDescent="0.3">
      <c r="B14" s="374" cm="1">
        <f t="array" ref="B14">+_xlfn.XLOOKUP($C$3,Dane!$A:$A,Dane!$K:K)</f>
        <v>637.47791820191571</v>
      </c>
      <c r="C14" s="375"/>
      <c r="D14" s="375"/>
      <c r="E14" s="375"/>
      <c r="F14" s="380"/>
      <c r="G14" s="467">
        <f>(G13/B17)*100</f>
        <v>12.820168759942064</v>
      </c>
      <c r="H14" s="468"/>
      <c r="I14" s="468"/>
      <c r="J14" s="469"/>
      <c r="K14" s="256"/>
      <c r="L14" s="253"/>
      <c r="M14" s="253"/>
      <c r="N14" s="253"/>
      <c r="O14" s="253"/>
      <c r="P14" s="253"/>
      <c r="Q14" s="257"/>
      <c r="R14" s="246"/>
      <c r="S14" s="246"/>
      <c r="T14" s="246"/>
      <c r="U14" s="246"/>
    </row>
    <row r="15" spans="1:27" ht="13.5" customHeight="1" thickTop="1" thickBot="1" x14ac:dyDescent="0.3">
      <c r="B15" s="376"/>
      <c r="C15" s="377"/>
      <c r="D15" s="377"/>
      <c r="E15" s="377"/>
      <c r="F15" s="273">
        <f>(F10/B17)*100</f>
        <v>1.3647124189326887</v>
      </c>
      <c r="G15" s="252"/>
      <c r="H15" s="252"/>
      <c r="I15" s="252"/>
      <c r="J15" s="252"/>
      <c r="K15" s="255"/>
      <c r="L15" s="254"/>
      <c r="M15" s="254"/>
      <c r="N15" s="254"/>
      <c r="O15" s="254"/>
      <c r="P15" s="254"/>
      <c r="Q15" s="259"/>
      <c r="R15" s="247"/>
      <c r="S15" s="247"/>
      <c r="T15" s="247"/>
      <c r="U15" s="247"/>
      <c r="Z15" s="195"/>
      <c r="AA15" s="195"/>
    </row>
    <row r="16" spans="1:27" ht="27.75" thickTop="1" thickBot="1" x14ac:dyDescent="0.3">
      <c r="B16" s="483">
        <f>B14+F10+G13</f>
        <v>764.99999999999977</v>
      </c>
      <c r="C16" s="484"/>
      <c r="D16" s="484"/>
      <c r="E16" s="484"/>
      <c r="F16" s="484"/>
      <c r="G16" s="484"/>
      <c r="H16" s="484"/>
      <c r="I16" s="484"/>
      <c r="J16" s="485"/>
      <c r="K16" s="254"/>
      <c r="L16" s="254"/>
      <c r="M16" s="254"/>
      <c r="N16" s="254"/>
      <c r="O16" s="254"/>
      <c r="P16" s="254"/>
      <c r="Q16" s="258"/>
      <c r="R16" s="248"/>
      <c r="S16" s="248"/>
      <c r="T16" s="249"/>
      <c r="U16" s="248"/>
      <c r="Z16" s="195"/>
      <c r="AA16" s="195"/>
    </row>
    <row r="17" spans="1:27" ht="27.75" thickTop="1" thickBot="1" x14ac:dyDescent="0.3">
      <c r="A17" s="171"/>
      <c r="B17" s="486">
        <f>B14+F10+G13+K12</f>
        <v>898.99999999999977</v>
      </c>
      <c r="C17" s="487"/>
      <c r="D17" s="487"/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260"/>
      <c r="R17" s="250"/>
      <c r="S17" s="248"/>
      <c r="T17" s="248"/>
      <c r="U17" s="248"/>
      <c r="Z17" s="195"/>
      <c r="AA17" s="195"/>
    </row>
    <row r="18" spans="1:27" ht="16.5" thickTop="1" x14ac:dyDescent="0.25"/>
    <row r="19" spans="1:27" ht="16.5" thickBot="1" x14ac:dyDescent="0.3"/>
    <row r="20" spans="1:27" ht="27" customHeight="1" thickTop="1" thickBot="1" x14ac:dyDescent="0.4">
      <c r="B20" s="411" t="s">
        <v>160</v>
      </c>
      <c r="C20" s="412"/>
      <c r="D20" s="412"/>
      <c r="E20" s="412"/>
      <c r="F20" s="470">
        <f>(B14/B16)*100</f>
        <v>83.330446823779852</v>
      </c>
      <c r="G20" s="471"/>
      <c r="H20" s="471"/>
      <c r="I20" s="471"/>
      <c r="J20" s="472"/>
      <c r="K20" s="224"/>
      <c r="L20" s="224"/>
      <c r="M20" s="224"/>
      <c r="N20" s="224"/>
      <c r="O20" s="224"/>
      <c r="P20" s="224"/>
    </row>
    <row r="21" spans="1:27" ht="27" customHeight="1" thickTop="1" thickBot="1" x14ac:dyDescent="0.4">
      <c r="B21" s="413" t="s">
        <v>161</v>
      </c>
      <c r="C21" s="414"/>
      <c r="D21" s="414"/>
      <c r="E21" s="414"/>
      <c r="F21" s="473">
        <f>(B14/B17)*100</f>
        <v>70.909668320569068</v>
      </c>
      <c r="G21" s="474"/>
      <c r="H21" s="474"/>
      <c r="I21" s="474"/>
      <c r="J21" s="474"/>
      <c r="K21" s="474"/>
      <c r="L21" s="474"/>
      <c r="M21" s="474"/>
      <c r="N21" s="474"/>
      <c r="O21" s="474"/>
      <c r="P21" s="475"/>
    </row>
    <row r="22" spans="1:27" ht="16.5" thickTop="1" x14ac:dyDescent="0.25"/>
    <row r="23" spans="1:27" hidden="1" x14ac:dyDescent="0.25">
      <c r="B23" s="160"/>
    </row>
    <row r="24" spans="1:27" ht="27.6" hidden="1" customHeight="1" x14ac:dyDescent="0.25">
      <c r="B24" s="155"/>
      <c r="C24" s="156" t="s">
        <v>162</v>
      </c>
      <c r="D24" s="156"/>
      <c r="E24" s="157">
        <f>T10</f>
        <v>968.99999999999977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8" t="s">
        <v>163</v>
      </c>
      <c r="R24" s="159"/>
      <c r="S24" s="159"/>
    </row>
    <row r="25" spans="1:27" ht="5.0999999999999996" hidden="1" customHeight="1" x14ac:dyDescent="0.25">
      <c r="B25" s="160"/>
    </row>
    <row r="26" spans="1:27" ht="26.45" hidden="1" customHeight="1" x14ac:dyDescent="0.25">
      <c r="B26" s="155"/>
      <c r="C26" s="157">
        <f>E26/D26</f>
        <v>299.66666666666657</v>
      </c>
      <c r="D26" s="156">
        <v>3</v>
      </c>
      <c r="E26" s="157">
        <f>E24-Q26</f>
        <v>898.99999999999977</v>
      </c>
      <c r="F26" s="156"/>
      <c r="G26" s="156"/>
      <c r="H26" s="156"/>
      <c r="I26" s="156"/>
      <c r="J26" s="156"/>
      <c r="K26" s="488"/>
      <c r="L26" s="488"/>
      <c r="M26" s="488"/>
      <c r="N26" s="488"/>
      <c r="O26" s="488"/>
      <c r="P26" s="489"/>
      <c r="Q26" s="464">
        <f>Q10</f>
        <v>70</v>
      </c>
      <c r="R26" s="465"/>
      <c r="S26" s="466"/>
      <c r="T26" s="161" t="s">
        <v>164</v>
      </c>
    </row>
    <row r="27" spans="1:27" ht="5.0999999999999996" hidden="1" customHeight="1" thickBot="1" x14ac:dyDescent="0.3">
      <c r="B27" s="160"/>
    </row>
    <row r="28" spans="1:27" ht="26.1" hidden="1" customHeight="1" thickTop="1" thickBot="1" x14ac:dyDescent="0.3">
      <c r="B28" s="162">
        <f>E28*271.4</f>
        <v>207620.99999999991</v>
      </c>
      <c r="C28" s="163">
        <f>E28/D28</f>
        <v>254.99999999999991</v>
      </c>
      <c r="D28" s="164">
        <v>3</v>
      </c>
      <c r="E28" s="165">
        <f>E26-K28</f>
        <v>764.99999999999977</v>
      </c>
      <c r="F28" s="199" t="s">
        <v>165</v>
      </c>
      <c r="G28" s="164"/>
      <c r="H28" s="164"/>
      <c r="I28" s="166" t="s">
        <v>24</v>
      </c>
      <c r="J28" s="167"/>
      <c r="K28" s="480">
        <f>K12</f>
        <v>134</v>
      </c>
      <c r="L28" s="481"/>
      <c r="M28" s="481"/>
      <c r="N28" s="481"/>
      <c r="O28" s="481"/>
      <c r="P28" s="482"/>
      <c r="Q28" s="161" t="s">
        <v>166</v>
      </c>
    </row>
    <row r="29" spans="1:27" ht="5.0999999999999996" hidden="1" customHeight="1" thickTop="1" thickBot="1" x14ac:dyDescent="0.3">
      <c r="B29" s="168"/>
      <c r="C29" s="169"/>
      <c r="D29" s="169"/>
      <c r="E29" s="169"/>
      <c r="F29" s="169"/>
      <c r="G29" s="169"/>
      <c r="H29" s="169"/>
      <c r="I29" s="169"/>
      <c r="J29" s="170"/>
      <c r="P29" s="171"/>
    </row>
    <row r="30" spans="1:27" ht="31.5" hidden="1" customHeight="1" thickTop="1" x14ac:dyDescent="0.25">
      <c r="B30" s="172"/>
      <c r="C30" s="173">
        <f>E30/D30</f>
        <v>217.00389318669463</v>
      </c>
      <c r="D30" s="174">
        <v>3</v>
      </c>
      <c r="E30" s="175">
        <f>E28-(I30+J30)</f>
        <v>651.01167956008385</v>
      </c>
      <c r="F30" s="176"/>
      <c r="G30" s="177" t="s">
        <v>167</v>
      </c>
      <c r="H30" s="177"/>
      <c r="I30" s="178">
        <f>I10</f>
        <v>108.66282043991589</v>
      </c>
      <c r="J30" s="179">
        <f>J10</f>
        <v>5.3254999999999999</v>
      </c>
      <c r="K30" s="478" t="s">
        <v>168</v>
      </c>
      <c r="L30" s="479"/>
      <c r="M30" s="479"/>
      <c r="P30" s="171"/>
    </row>
    <row r="31" spans="1:27" ht="5.0999999999999996" hidden="1" customHeight="1" x14ac:dyDescent="0.25">
      <c r="B31" s="180"/>
      <c r="C31" s="181"/>
      <c r="D31" s="181"/>
      <c r="E31" s="181"/>
      <c r="F31" s="182"/>
      <c r="G31" s="183"/>
      <c r="H31" s="183"/>
      <c r="I31" s="183"/>
      <c r="J31" s="184"/>
      <c r="P31" s="171"/>
    </row>
    <row r="32" spans="1:27" ht="24.6" hidden="1" customHeight="1" x14ac:dyDescent="0.25">
      <c r="B32" s="185"/>
      <c r="C32" s="186"/>
      <c r="D32" s="186"/>
      <c r="E32" s="187">
        <f>E30-(G32+H32)</f>
        <v>649.7466828481206</v>
      </c>
      <c r="F32" s="188" t="s">
        <v>169</v>
      </c>
      <c r="G32" s="178">
        <f>G10</f>
        <v>1.2649967119632419</v>
      </c>
      <c r="H32" s="179">
        <f>H10</f>
        <v>0</v>
      </c>
      <c r="I32" s="161" t="s">
        <v>170</v>
      </c>
      <c r="J32" s="189"/>
      <c r="P32" s="171"/>
    </row>
    <row r="33" spans="2:26" ht="18" hidden="1" customHeight="1" x14ac:dyDescent="0.25">
      <c r="B33" s="190" t="s">
        <v>171</v>
      </c>
      <c r="C33" s="160"/>
      <c r="D33" s="160"/>
      <c r="E33" s="160" t="s">
        <v>172</v>
      </c>
      <c r="F33" s="160"/>
      <c r="G33" s="160"/>
      <c r="H33" s="160"/>
      <c r="I33" s="160"/>
      <c r="J33" s="191"/>
      <c r="P33" s="171"/>
    </row>
    <row r="34" spans="2:26" ht="23.1" hidden="1" customHeight="1" x14ac:dyDescent="0.25">
      <c r="B34" s="200"/>
      <c r="C34" s="156"/>
      <c r="D34" s="186"/>
      <c r="E34" s="192">
        <f>E32-F34</f>
        <v>637.47791820191571</v>
      </c>
      <c r="F34" s="193">
        <f>F10</f>
        <v>12.268764646204867</v>
      </c>
      <c r="G34" s="160" t="s">
        <v>8</v>
      </c>
      <c r="H34" s="160"/>
      <c r="I34" s="160"/>
      <c r="J34" s="191"/>
      <c r="P34" s="171"/>
    </row>
    <row r="35" spans="2:26" ht="16.5" hidden="1" thickBot="1" x14ac:dyDescent="0.3">
      <c r="B35" s="201"/>
      <c r="C35" s="202"/>
      <c r="D35" s="202"/>
      <c r="E35" s="202">
        <v>271.39999999999998</v>
      </c>
      <c r="F35" s="202"/>
      <c r="G35" s="202"/>
      <c r="H35" s="202"/>
      <c r="I35" s="202"/>
      <c r="J35" s="203"/>
      <c r="P35" s="171"/>
    </row>
    <row r="36" spans="2:26" ht="48.75" hidden="1" thickTop="1" thickBot="1" x14ac:dyDescent="0.3">
      <c r="B36" s="204"/>
      <c r="C36" s="205"/>
      <c r="D36" s="205"/>
      <c r="E36" s="206">
        <f>E34*E35</f>
        <v>173011.5069999999</v>
      </c>
      <c r="F36" s="207" t="s">
        <v>173</v>
      </c>
      <c r="G36" s="207"/>
      <c r="H36" s="207"/>
      <c r="I36" s="207"/>
      <c r="J36" s="207"/>
      <c r="K36" s="208"/>
      <c r="L36" s="208"/>
      <c r="M36" s="208"/>
      <c r="N36" s="208"/>
      <c r="O36" s="208"/>
      <c r="P36" s="209"/>
    </row>
    <row r="37" spans="2:26" ht="16.5" hidden="1" thickTop="1" x14ac:dyDescent="0.25">
      <c r="B37" s="160"/>
      <c r="C37" s="160"/>
      <c r="D37" s="160"/>
      <c r="E37" s="160"/>
      <c r="F37" s="160"/>
      <c r="G37" s="160"/>
      <c r="H37" s="160"/>
      <c r="I37" s="160"/>
      <c r="J37" s="160"/>
    </row>
    <row r="38" spans="2:26" ht="31.5" x14ac:dyDescent="0.5">
      <c r="B38" s="284" t="s">
        <v>174</v>
      </c>
      <c r="C38" s="218" t="str">
        <f>G77&amp;U10</f>
        <v>GENERAL TEEP OAE/OEE EFFECTIVE SHIFTS AT FULL CAPACITY</v>
      </c>
      <c r="D38" s="160"/>
      <c r="E38" s="160"/>
      <c r="F38" s="160"/>
      <c r="G38" s="160"/>
      <c r="H38" s="160"/>
      <c r="I38" s="160"/>
      <c r="J38" s="160"/>
    </row>
    <row r="39" spans="2:26" ht="409.5" customHeight="1" x14ac:dyDescent="0.25">
      <c r="B39" s="160"/>
      <c r="C39" s="160"/>
      <c r="D39" s="160"/>
      <c r="E39" s="160"/>
      <c r="F39" s="160"/>
      <c r="G39" s="160"/>
      <c r="H39" s="160"/>
      <c r="I39" s="160"/>
      <c r="J39" s="160"/>
    </row>
    <row r="40" spans="2:26" ht="82.5" customHeight="1" x14ac:dyDescent="0.25">
      <c r="B40" s="160"/>
      <c r="C40" s="160"/>
      <c r="D40" s="160"/>
      <c r="E40" s="160"/>
      <c r="F40" s="160"/>
      <c r="G40" s="160"/>
      <c r="H40" s="160"/>
      <c r="I40" s="160"/>
      <c r="J40" s="160"/>
    </row>
    <row r="41" spans="2:26" ht="24.75" customHeight="1" x14ac:dyDescent="0.5">
      <c r="B41" s="283" t="s">
        <v>174</v>
      </c>
      <c r="C41" s="218" t="str">
        <f>G78&amp;U10</f>
        <v>DETAILED TEEP OAE/OEE EFFECTIVE SHIFTS AT FULL CAPACITY</v>
      </c>
      <c r="D41" s="160"/>
      <c r="E41" s="160"/>
      <c r="F41" s="160"/>
      <c r="G41" s="160"/>
      <c r="H41" s="160"/>
      <c r="I41" s="160"/>
      <c r="J41" s="160"/>
    </row>
    <row r="42" spans="2:26" ht="409.5" customHeight="1" x14ac:dyDescent="0.5">
      <c r="B42" s="283"/>
      <c r="C42" s="218"/>
      <c r="D42" s="160"/>
      <c r="E42" s="160"/>
      <c r="F42" s="160"/>
      <c r="G42" s="160"/>
      <c r="H42" s="160"/>
      <c r="I42" s="160"/>
      <c r="J42" s="160"/>
    </row>
    <row r="43" spans="2:26" ht="92.25" customHeight="1" x14ac:dyDescent="0.25">
      <c r="B43" s="160"/>
      <c r="C43" s="160"/>
      <c r="D43" s="160"/>
      <c r="E43" s="160"/>
      <c r="F43" s="160"/>
      <c r="G43" s="160"/>
      <c r="H43" s="160"/>
      <c r="I43" s="160"/>
      <c r="J43" s="160"/>
    </row>
    <row r="44" spans="2:26" ht="408.75" customHeight="1" x14ac:dyDescent="0.25">
      <c r="B44" s="160"/>
      <c r="C44" s="160"/>
      <c r="D44" s="160"/>
      <c r="E44" s="160"/>
      <c r="F44" s="160"/>
      <c r="G44" s="160"/>
      <c r="H44" s="160"/>
      <c r="I44" s="160"/>
      <c r="J44" s="160"/>
    </row>
    <row r="45" spans="2:26" ht="288.75" customHeight="1" x14ac:dyDescent="0.25">
      <c r="B45" s="160"/>
      <c r="C45" s="160"/>
      <c r="D45" s="160"/>
      <c r="E45" s="160"/>
      <c r="F45" s="160"/>
      <c r="G45" s="160"/>
      <c r="H45" s="160"/>
      <c r="I45" s="160"/>
      <c r="J45" s="160"/>
    </row>
    <row r="46" spans="2:26" ht="31.5" x14ac:dyDescent="0.5">
      <c r="B46" s="160"/>
      <c r="C46" s="160"/>
      <c r="D46" s="160"/>
      <c r="E46" s="160"/>
      <c r="F46" s="222" t="s">
        <v>175</v>
      </c>
      <c r="G46" s="218" t="str">
        <f>U10</f>
        <v>EFFECTIVE SHIFTS AT FULL CAPACITY</v>
      </c>
      <c r="H46" s="211"/>
      <c r="I46" s="160"/>
      <c r="J46" s="160"/>
      <c r="Z46" s="251"/>
    </row>
    <row r="47" spans="2:26" ht="15" customHeight="1" x14ac:dyDescent="0.25">
      <c r="B47" s="160"/>
      <c r="C47" s="160"/>
      <c r="D47" s="160"/>
      <c r="E47" s="160"/>
      <c r="F47" s="160"/>
      <c r="G47" s="160"/>
      <c r="H47" s="210"/>
      <c r="I47" s="160"/>
      <c r="J47" s="160"/>
    </row>
    <row r="48" spans="2:26" ht="15.75" customHeight="1" x14ac:dyDescent="0.25">
      <c r="B48" s="454" t="s">
        <v>176</v>
      </c>
      <c r="C48" s="455"/>
      <c r="D48" s="455"/>
      <c r="E48" s="456"/>
      <c r="F48" s="245" t="s">
        <v>177</v>
      </c>
      <c r="G48" s="261" t="s">
        <v>178</v>
      </c>
      <c r="H48" s="262" t="s">
        <v>179</v>
      </c>
      <c r="I48" s="225"/>
      <c r="J48" s="196"/>
      <c r="K48" s="226"/>
      <c r="L48" s="369" t="s">
        <v>180</v>
      </c>
      <c r="M48" s="370"/>
      <c r="N48" s="371"/>
    </row>
    <row r="49" spans="2:15" x14ac:dyDescent="0.25">
      <c r="B49" s="451" t="s">
        <v>136</v>
      </c>
      <c r="C49" s="452"/>
      <c r="D49" s="452"/>
      <c r="E49" s="453"/>
      <c r="F49" s="227" t="s">
        <v>136</v>
      </c>
      <c r="G49" s="228"/>
      <c r="H49" s="228">
        <f>T10</f>
        <v>968.99999999999977</v>
      </c>
      <c r="I49" s="228"/>
      <c r="J49" s="228">
        <f>T10</f>
        <v>968.99999999999977</v>
      </c>
      <c r="K49" s="196"/>
      <c r="L49" s="229" t="s">
        <v>181</v>
      </c>
      <c r="M49" s="229" t="s">
        <v>182</v>
      </c>
      <c r="N49" s="229" t="s">
        <v>183</v>
      </c>
      <c r="O49" s="195">
        <v>1095</v>
      </c>
    </row>
    <row r="50" spans="2:15" x14ac:dyDescent="0.25">
      <c r="B50" s="415" t="s">
        <v>139</v>
      </c>
      <c r="C50" s="416"/>
      <c r="D50" s="416"/>
      <c r="E50" s="417"/>
      <c r="F50" s="230" t="s">
        <v>144</v>
      </c>
      <c r="G50" s="231">
        <f>S8</f>
        <v>30</v>
      </c>
      <c r="H50" s="231">
        <f t="shared" ref="H50:H58" si="0">H49-G50</f>
        <v>938.99999999999977</v>
      </c>
      <c r="I50" s="372">
        <f>G50+G51+G52</f>
        <v>70</v>
      </c>
      <c r="J50" s="372">
        <f>J49-I50</f>
        <v>898.99999999999977</v>
      </c>
      <c r="K50" s="196"/>
      <c r="L50" s="212"/>
      <c r="M50" s="212">
        <v>13</v>
      </c>
      <c r="N50" s="212">
        <f>M50*3</f>
        <v>39</v>
      </c>
      <c r="O50" s="198"/>
    </row>
    <row r="51" spans="2:15" x14ac:dyDescent="0.25">
      <c r="B51" s="418"/>
      <c r="C51" s="419"/>
      <c r="D51" s="419"/>
      <c r="E51" s="420"/>
      <c r="F51" s="230" t="s">
        <v>143</v>
      </c>
      <c r="G51" s="231">
        <f>R8</f>
        <v>24</v>
      </c>
      <c r="H51" s="231">
        <f t="shared" si="0"/>
        <v>914.99999999999977</v>
      </c>
      <c r="I51" s="372"/>
      <c r="J51" s="372"/>
      <c r="K51" s="196"/>
      <c r="L51" s="212"/>
      <c r="M51" s="212">
        <v>8</v>
      </c>
      <c r="N51" s="212">
        <f>M51*3</f>
        <v>24</v>
      </c>
      <c r="O51" s="161" t="s">
        <v>184</v>
      </c>
    </row>
    <row r="52" spans="2:15" x14ac:dyDescent="0.25">
      <c r="B52" s="421"/>
      <c r="C52" s="422"/>
      <c r="D52" s="422"/>
      <c r="E52" s="423"/>
      <c r="F52" s="230" t="s">
        <v>142</v>
      </c>
      <c r="G52" s="231">
        <f>Q8</f>
        <v>16</v>
      </c>
      <c r="H52" s="231">
        <f t="shared" si="0"/>
        <v>898.99999999999977</v>
      </c>
      <c r="I52" s="372"/>
      <c r="J52" s="372"/>
      <c r="K52" s="196"/>
      <c r="L52" s="212"/>
      <c r="M52" s="212"/>
      <c r="N52" s="212">
        <f>M52*3</f>
        <v>0</v>
      </c>
    </row>
    <row r="53" spans="2:15" ht="33" customHeight="1" x14ac:dyDescent="0.25">
      <c r="B53" s="457" t="s">
        <v>185</v>
      </c>
      <c r="C53" s="458"/>
      <c r="D53" s="458"/>
      <c r="E53" s="459"/>
      <c r="F53" s="232" t="s">
        <v>185</v>
      </c>
      <c r="G53" s="233"/>
      <c r="H53" s="233">
        <f>H52</f>
        <v>898.99999999999977</v>
      </c>
      <c r="I53" s="268"/>
      <c r="J53" s="268">
        <f>J50</f>
        <v>898.99999999999977</v>
      </c>
      <c r="K53" s="196"/>
      <c r="L53" s="223"/>
      <c r="M53" s="223"/>
      <c r="N53" s="223"/>
    </row>
    <row r="54" spans="2:15" x14ac:dyDescent="0.25">
      <c r="B54" s="424" t="s">
        <v>186</v>
      </c>
      <c r="C54" s="425"/>
      <c r="D54" s="425"/>
      <c r="E54" s="426"/>
      <c r="F54" s="234" t="s">
        <v>187</v>
      </c>
      <c r="G54" s="235">
        <f>P9</f>
        <v>35</v>
      </c>
      <c r="H54" s="235">
        <f>H52-G54</f>
        <v>863.99999999999977</v>
      </c>
      <c r="I54" s="373">
        <f>G54+G55+G57+G58+G59+G56</f>
        <v>134</v>
      </c>
      <c r="J54" s="373">
        <f>J50-I54</f>
        <v>764.99999999999977</v>
      </c>
      <c r="K54" s="196"/>
      <c r="L54" s="213"/>
      <c r="M54" s="213"/>
      <c r="N54" s="213">
        <v>35</v>
      </c>
      <c r="O54" s="161" t="s">
        <v>188</v>
      </c>
    </row>
    <row r="55" spans="2:15" x14ac:dyDescent="0.25">
      <c r="B55" s="427"/>
      <c r="C55" s="428"/>
      <c r="D55" s="428"/>
      <c r="E55" s="429"/>
      <c r="F55" s="234" t="s">
        <v>151</v>
      </c>
      <c r="G55" s="235">
        <f>O9</f>
        <v>44.5</v>
      </c>
      <c r="H55" s="235">
        <f t="shared" si="0"/>
        <v>819.49999999999977</v>
      </c>
      <c r="I55" s="373"/>
      <c r="J55" s="373"/>
      <c r="K55" s="196"/>
      <c r="L55" s="213"/>
      <c r="M55" s="213">
        <f t="shared" ref="M55:M63" si="1">L55*7</f>
        <v>0</v>
      </c>
      <c r="N55" s="213">
        <v>64.5</v>
      </c>
      <c r="O55" s="161" t="s">
        <v>189</v>
      </c>
    </row>
    <row r="56" spans="2:15" x14ac:dyDescent="0.25">
      <c r="B56" s="427"/>
      <c r="C56" s="428"/>
      <c r="D56" s="428"/>
      <c r="E56" s="429"/>
      <c r="F56" s="234" t="s">
        <v>150</v>
      </c>
      <c r="G56" s="235">
        <f>N9</f>
        <v>42</v>
      </c>
      <c r="H56" s="235">
        <f t="shared" si="0"/>
        <v>777.49999999999977</v>
      </c>
      <c r="I56" s="373"/>
      <c r="J56" s="373"/>
      <c r="K56" s="196"/>
      <c r="L56" s="213">
        <v>3</v>
      </c>
      <c r="M56" s="213">
        <f t="shared" ref="M56" si="2">L56*7</f>
        <v>21</v>
      </c>
      <c r="N56" s="213">
        <f>M56*3</f>
        <v>63</v>
      </c>
    </row>
    <row r="57" spans="2:15" x14ac:dyDescent="0.25">
      <c r="B57" s="427"/>
      <c r="C57" s="428"/>
      <c r="D57" s="428"/>
      <c r="E57" s="429"/>
      <c r="F57" s="234" t="s">
        <v>149</v>
      </c>
      <c r="G57" s="235">
        <f>M9</f>
        <v>0.5</v>
      </c>
      <c r="H57" s="235">
        <f t="shared" si="0"/>
        <v>776.99999999999977</v>
      </c>
      <c r="I57" s="373"/>
      <c r="J57" s="373"/>
      <c r="K57" s="196"/>
      <c r="L57" s="213" t="s">
        <v>190</v>
      </c>
      <c r="M57" s="213">
        <v>0</v>
      </c>
      <c r="N57" s="213">
        <v>0</v>
      </c>
      <c r="O57" s="161" t="s">
        <v>191</v>
      </c>
    </row>
    <row r="58" spans="2:15" x14ac:dyDescent="0.25">
      <c r="B58" s="427"/>
      <c r="C58" s="428"/>
      <c r="D58" s="428"/>
      <c r="E58" s="429"/>
      <c r="F58" s="234" t="s">
        <v>192</v>
      </c>
      <c r="G58" s="235">
        <f>L9</f>
        <v>12</v>
      </c>
      <c r="H58" s="235">
        <f t="shared" si="0"/>
        <v>764.99999999999977</v>
      </c>
      <c r="I58" s="373"/>
      <c r="J58" s="373"/>
      <c r="K58" s="196"/>
      <c r="L58" s="213"/>
      <c r="M58" s="213"/>
      <c r="N58" s="213">
        <v>14</v>
      </c>
    </row>
    <row r="59" spans="2:15" x14ac:dyDescent="0.25">
      <c r="B59" s="430"/>
      <c r="C59" s="431"/>
      <c r="D59" s="431"/>
      <c r="E59" s="432"/>
      <c r="F59" s="234" t="s">
        <v>147</v>
      </c>
      <c r="G59" s="235">
        <f>K9</f>
        <v>0</v>
      </c>
      <c r="H59" s="235">
        <f>H58-G59</f>
        <v>764.99999999999977</v>
      </c>
      <c r="I59" s="373"/>
      <c r="J59" s="373"/>
      <c r="K59" s="196"/>
      <c r="L59" s="213">
        <v>0</v>
      </c>
      <c r="M59" s="213">
        <f t="shared" si="1"/>
        <v>0</v>
      </c>
      <c r="N59" s="213">
        <f>M59*3</f>
        <v>0</v>
      </c>
    </row>
    <row r="60" spans="2:15" ht="31.5" x14ac:dyDescent="0.25">
      <c r="B60" s="448" t="s">
        <v>193</v>
      </c>
      <c r="C60" s="449"/>
      <c r="D60" s="449"/>
      <c r="E60" s="450"/>
      <c r="F60" s="236" t="s">
        <v>193</v>
      </c>
      <c r="G60" s="237"/>
      <c r="H60" s="237">
        <f>H59</f>
        <v>764.99999999999977</v>
      </c>
      <c r="I60" s="270"/>
      <c r="J60" s="270">
        <f>J54</f>
        <v>764.99999999999977</v>
      </c>
      <c r="K60" s="196"/>
      <c r="L60" s="221"/>
      <c r="M60" s="221"/>
      <c r="N60" s="221"/>
    </row>
    <row r="61" spans="2:15" x14ac:dyDescent="0.25">
      <c r="B61" s="433" t="s">
        <v>194</v>
      </c>
      <c r="C61" s="434"/>
      <c r="D61" s="434"/>
      <c r="E61" s="435"/>
      <c r="F61" s="238" t="s">
        <v>158</v>
      </c>
      <c r="G61" s="239">
        <f>J10</f>
        <v>5.3254999999999999</v>
      </c>
      <c r="H61" s="240">
        <f>H59-G61</f>
        <v>759.67449999999974</v>
      </c>
      <c r="I61" s="368">
        <f>G61+G62+G63+G64</f>
        <v>115.25331715187913</v>
      </c>
      <c r="J61" s="368">
        <f>J54-I61</f>
        <v>649.7466828481206</v>
      </c>
      <c r="K61" s="196"/>
      <c r="L61" s="214"/>
      <c r="M61" s="214"/>
      <c r="N61" s="214">
        <v>12</v>
      </c>
    </row>
    <row r="62" spans="2:15" x14ac:dyDescent="0.25">
      <c r="B62" s="436"/>
      <c r="C62" s="437"/>
      <c r="D62" s="437"/>
      <c r="E62" s="438"/>
      <c r="F62" s="238" t="s">
        <v>157</v>
      </c>
      <c r="G62" s="239">
        <f>I10</f>
        <v>108.66282043991589</v>
      </c>
      <c r="H62" s="240">
        <f>H61-G62</f>
        <v>651.01167956008385</v>
      </c>
      <c r="I62" s="368"/>
      <c r="J62" s="368"/>
      <c r="K62" s="196"/>
      <c r="L62" s="214"/>
      <c r="M62" s="214"/>
      <c r="N62" s="214">
        <v>104.5</v>
      </c>
      <c r="O62" s="161" t="s">
        <v>195</v>
      </c>
    </row>
    <row r="63" spans="2:15" x14ac:dyDescent="0.25">
      <c r="B63" s="436"/>
      <c r="C63" s="437"/>
      <c r="D63" s="437"/>
      <c r="E63" s="438"/>
      <c r="F63" s="238" t="s">
        <v>156</v>
      </c>
      <c r="G63" s="239">
        <f>H10</f>
        <v>0</v>
      </c>
      <c r="H63" s="240">
        <f>H62-G63</f>
        <v>651.01167956008385</v>
      </c>
      <c r="I63" s="368"/>
      <c r="J63" s="368"/>
      <c r="K63" s="196"/>
      <c r="L63" s="214"/>
      <c r="M63" s="214">
        <f t="shared" si="1"/>
        <v>0</v>
      </c>
      <c r="N63" s="214">
        <f>M63*3</f>
        <v>0</v>
      </c>
      <c r="O63" s="198"/>
    </row>
    <row r="64" spans="2:15" x14ac:dyDescent="0.25">
      <c r="B64" s="439"/>
      <c r="C64" s="440"/>
      <c r="D64" s="440"/>
      <c r="E64" s="441"/>
      <c r="F64" s="238" t="s">
        <v>155</v>
      </c>
      <c r="G64" s="239">
        <f>G10</f>
        <v>1.2649967119632419</v>
      </c>
      <c r="H64" s="240">
        <f>H63-G64</f>
        <v>649.7466828481206</v>
      </c>
      <c r="I64" s="368"/>
      <c r="J64" s="368"/>
      <c r="K64" s="196"/>
      <c r="L64" s="214"/>
      <c r="M64" s="214"/>
      <c r="N64" s="214">
        <v>1.5</v>
      </c>
      <c r="O64" s="198"/>
    </row>
    <row r="65" spans="2:15" x14ac:dyDescent="0.25">
      <c r="B65" s="445" t="s">
        <v>154</v>
      </c>
      <c r="C65" s="446"/>
      <c r="D65" s="446"/>
      <c r="E65" s="447"/>
      <c r="F65" s="241" t="s">
        <v>196</v>
      </c>
      <c r="G65" s="242">
        <f>F10</f>
        <v>12.268764646204867</v>
      </c>
      <c r="H65" s="242">
        <f>H64-G65</f>
        <v>637.47791820191571</v>
      </c>
      <c r="I65" s="271">
        <f>G65</f>
        <v>12.268764646204867</v>
      </c>
      <c r="J65" s="271">
        <f>J61-I65</f>
        <v>637.47791820191571</v>
      </c>
      <c r="K65" s="196"/>
      <c r="L65" s="215"/>
      <c r="M65" s="215"/>
      <c r="N65" s="215">
        <v>15</v>
      </c>
      <c r="O65" s="198"/>
    </row>
    <row r="66" spans="2:15" ht="31.5" x14ac:dyDescent="0.25">
      <c r="B66" s="442" t="s">
        <v>153</v>
      </c>
      <c r="C66" s="443"/>
      <c r="D66" s="443"/>
      <c r="E66" s="444"/>
      <c r="F66" s="243" t="s">
        <v>197</v>
      </c>
      <c r="G66" s="244">
        <f>B14</f>
        <v>637.47791820191571</v>
      </c>
      <c r="H66" s="244">
        <f>H65-G66</f>
        <v>0</v>
      </c>
      <c r="I66" s="272">
        <f>G66</f>
        <v>637.47791820191571</v>
      </c>
      <c r="J66" s="272">
        <f>J65-I66</f>
        <v>0</v>
      </c>
      <c r="K66" s="196"/>
      <c r="L66" s="216"/>
      <c r="M66" s="216"/>
      <c r="N66" s="216">
        <f>O49-N50-N51-N52-N54-N55-N57-N58-N59-N61-N62-N63-N64-N65-N56</f>
        <v>722.5</v>
      </c>
      <c r="O66" s="198"/>
    </row>
    <row r="67" spans="2:15" x14ac:dyDescent="0.25">
      <c r="I67" s="217"/>
    </row>
    <row r="68" spans="2:15" x14ac:dyDescent="0.25">
      <c r="B68" s="245" t="s">
        <v>176</v>
      </c>
      <c r="C68" s="245" t="s">
        <v>177</v>
      </c>
      <c r="D68" s="245" t="s">
        <v>198</v>
      </c>
      <c r="E68" s="274"/>
      <c r="F68" s="274"/>
      <c r="H68" s="211"/>
    </row>
    <row r="69" spans="2:15" x14ac:dyDescent="0.25">
      <c r="B69" s="280" t="s">
        <v>25</v>
      </c>
      <c r="C69" s="280" t="s">
        <v>25</v>
      </c>
      <c r="D69" s="299">
        <f>F21</f>
        <v>70.909668320569068</v>
      </c>
      <c r="E69" s="299">
        <f>F21</f>
        <v>70.909668320569068</v>
      </c>
      <c r="F69" s="275">
        <f>E69</f>
        <v>70.909668320569068</v>
      </c>
    </row>
    <row r="70" spans="2:15" x14ac:dyDescent="0.25">
      <c r="B70" s="281" t="s">
        <v>199</v>
      </c>
      <c r="C70" s="281" t="s">
        <v>154</v>
      </c>
      <c r="D70" s="300">
        <f>F15</f>
        <v>1.3647124189326887</v>
      </c>
      <c r="E70" s="300">
        <f>F15</f>
        <v>1.3647124189326887</v>
      </c>
      <c r="F70" s="275">
        <f t="shared" ref="F70:F80" si="3">+F69-D70</f>
        <v>69.544955901636385</v>
      </c>
    </row>
    <row r="71" spans="2:15" x14ac:dyDescent="0.25">
      <c r="B71" s="403" t="s">
        <v>200</v>
      </c>
      <c r="C71" s="213" t="s">
        <v>155</v>
      </c>
      <c r="D71" s="269">
        <f>G12</f>
        <v>0.14071153636965986</v>
      </c>
      <c r="E71" s="405">
        <f>G14</f>
        <v>12.820168759942064</v>
      </c>
      <c r="F71" s="279">
        <f t="shared" si="3"/>
        <v>69.40424436526672</v>
      </c>
    </row>
    <row r="72" spans="2:15" x14ac:dyDescent="0.25">
      <c r="B72" s="403"/>
      <c r="C72" s="213" t="s">
        <v>156</v>
      </c>
      <c r="D72" s="269">
        <f>H12</f>
        <v>0</v>
      </c>
      <c r="E72" s="406"/>
      <c r="F72" s="275">
        <f t="shared" si="3"/>
        <v>69.40424436526672</v>
      </c>
    </row>
    <row r="73" spans="2:15" x14ac:dyDescent="0.25">
      <c r="B73" s="403"/>
      <c r="C73" s="213" t="s">
        <v>157</v>
      </c>
      <c r="D73" s="269">
        <f>I12</f>
        <v>12.087076800880524</v>
      </c>
      <c r="E73" s="406"/>
      <c r="F73" s="279">
        <f t="shared" si="3"/>
        <v>57.317167564386196</v>
      </c>
    </row>
    <row r="74" spans="2:15" x14ac:dyDescent="0.25">
      <c r="B74" s="403"/>
      <c r="C74" s="213" t="s">
        <v>158</v>
      </c>
      <c r="D74" s="269">
        <f>J12</f>
        <v>0.59238042269187996</v>
      </c>
      <c r="E74" s="407"/>
      <c r="F74" s="275">
        <f t="shared" si="3"/>
        <v>56.724787141694314</v>
      </c>
    </row>
    <row r="75" spans="2:15" x14ac:dyDescent="0.25">
      <c r="B75" s="404" t="s">
        <v>201</v>
      </c>
      <c r="C75" s="282" t="s">
        <v>147</v>
      </c>
      <c r="D75" s="301">
        <f>K11</f>
        <v>0</v>
      </c>
      <c r="E75" s="408">
        <f>K13</f>
        <v>14.905450500556178</v>
      </c>
      <c r="F75" s="279">
        <f t="shared" si="3"/>
        <v>56.724787141694314</v>
      </c>
      <c r="G75" s="275">
        <f>F20</f>
        <v>83.330446823779852</v>
      </c>
    </row>
    <row r="76" spans="2:15" x14ac:dyDescent="0.25">
      <c r="B76" s="404"/>
      <c r="C76" s="282" t="s">
        <v>148</v>
      </c>
      <c r="D76" s="301">
        <f>L11</f>
        <v>1.3348164627363741</v>
      </c>
      <c r="E76" s="409"/>
      <c r="F76" s="275">
        <f t="shared" si="3"/>
        <v>55.389970678957937</v>
      </c>
      <c r="G76" s="275">
        <f>F21</f>
        <v>70.909668320569068</v>
      </c>
    </row>
    <row r="77" spans="2:15" x14ac:dyDescent="0.25">
      <c r="B77" s="404"/>
      <c r="C77" s="282" t="s">
        <v>149</v>
      </c>
      <c r="D77" s="301">
        <f>M11</f>
        <v>5.5617352614015583E-2</v>
      </c>
      <c r="E77" s="409"/>
      <c r="F77" s="279">
        <f t="shared" si="3"/>
        <v>55.334353326343923</v>
      </c>
      <c r="G77" s="196" t="s">
        <v>202</v>
      </c>
    </row>
    <row r="78" spans="2:15" x14ac:dyDescent="0.25">
      <c r="B78" s="404"/>
      <c r="C78" s="282" t="s">
        <v>150</v>
      </c>
      <c r="D78" s="301">
        <f>N11</f>
        <v>4.6718576195773087</v>
      </c>
      <c r="E78" s="409"/>
      <c r="F78" s="275">
        <f t="shared" si="3"/>
        <v>50.662495706766613</v>
      </c>
      <c r="G78" s="196" t="s">
        <v>203</v>
      </c>
    </row>
    <row r="79" spans="2:15" x14ac:dyDescent="0.25">
      <c r="B79" s="404"/>
      <c r="C79" s="282" t="s">
        <v>151</v>
      </c>
      <c r="D79" s="301">
        <f>O11</f>
        <v>4.949944382647387</v>
      </c>
      <c r="E79" s="409"/>
      <c r="F79" s="279">
        <f t="shared" si="3"/>
        <v>45.712551324119225</v>
      </c>
      <c r="G79" s="298" t="str">
        <f>B20&amp;ROUND(G75,1)</f>
        <v>OEE FACTOR  83,3</v>
      </c>
    </row>
    <row r="80" spans="2:15" x14ac:dyDescent="0.25">
      <c r="B80" s="404"/>
      <c r="C80" s="282" t="s">
        <v>152</v>
      </c>
      <c r="D80" s="301">
        <f>P11</f>
        <v>3.8932146829810907</v>
      </c>
      <c r="E80" s="410"/>
      <c r="F80" s="275">
        <f t="shared" si="3"/>
        <v>41.819336641138136</v>
      </c>
      <c r="G80" s="297" t="str">
        <f>B21&amp;ROUND(F21,1)</f>
        <v>OAE FACTOR  70,9</v>
      </c>
    </row>
  </sheetData>
  <mergeCells count="66">
    <mergeCell ref="U10:U11"/>
    <mergeCell ref="T10:T11"/>
    <mergeCell ref="Q26:S26"/>
    <mergeCell ref="J54:J59"/>
    <mergeCell ref="G14:J14"/>
    <mergeCell ref="F20:J20"/>
    <mergeCell ref="F21:P21"/>
    <mergeCell ref="N9:N10"/>
    <mergeCell ref="O9:O10"/>
    <mergeCell ref="P9:P10"/>
    <mergeCell ref="K30:M30"/>
    <mergeCell ref="K28:P28"/>
    <mergeCell ref="B16:J16"/>
    <mergeCell ref="B17:P17"/>
    <mergeCell ref="K26:P26"/>
    <mergeCell ref="U5:U9"/>
    <mergeCell ref="B71:B74"/>
    <mergeCell ref="B75:B80"/>
    <mergeCell ref="E71:E74"/>
    <mergeCell ref="E75:E80"/>
    <mergeCell ref="B20:E20"/>
    <mergeCell ref="B21:E21"/>
    <mergeCell ref="B50:E52"/>
    <mergeCell ref="B54:E59"/>
    <mergeCell ref="B61:E64"/>
    <mergeCell ref="B66:E66"/>
    <mergeCell ref="B65:E65"/>
    <mergeCell ref="B60:E60"/>
    <mergeCell ref="B49:E49"/>
    <mergeCell ref="B48:E48"/>
    <mergeCell ref="B53:E53"/>
    <mergeCell ref="B14:E15"/>
    <mergeCell ref="F10:F14"/>
    <mergeCell ref="K9:K10"/>
    <mergeCell ref="L9:L10"/>
    <mergeCell ref="M9:M10"/>
    <mergeCell ref="K13:P13"/>
    <mergeCell ref="G10:G11"/>
    <mergeCell ref="H10:H11"/>
    <mergeCell ref="I10:I11"/>
    <mergeCell ref="B10:E13"/>
    <mergeCell ref="G13:J13"/>
    <mergeCell ref="K12:P12"/>
    <mergeCell ref="J10:J11"/>
    <mergeCell ref="I61:I64"/>
    <mergeCell ref="J61:J64"/>
    <mergeCell ref="L48:N48"/>
    <mergeCell ref="I50:I52"/>
    <mergeCell ref="J50:J52"/>
    <mergeCell ref="I54:I59"/>
    <mergeCell ref="Q10:S11"/>
    <mergeCell ref="B3:B4"/>
    <mergeCell ref="K3:K4"/>
    <mergeCell ref="B5:T5"/>
    <mergeCell ref="J3:J4"/>
    <mergeCell ref="C3:D4"/>
    <mergeCell ref="B6:P6"/>
    <mergeCell ref="Q6:S6"/>
    <mergeCell ref="B7:J7"/>
    <mergeCell ref="K7:P7"/>
    <mergeCell ref="B8:F8"/>
    <mergeCell ref="G8:J8"/>
    <mergeCell ref="S8:S9"/>
    <mergeCell ref="Q8:Q9"/>
    <mergeCell ref="B9:E9"/>
    <mergeCell ref="R8:R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779D-32B6-4072-BDB3-6A4AACE61B32}">
  <dimension ref="B3:O6"/>
  <sheetViews>
    <sheetView topLeftCell="A4" zoomScaleNormal="100" workbookViewId="0">
      <selection activeCell="L5" sqref="L5"/>
    </sheetView>
  </sheetViews>
  <sheetFormatPr defaultRowHeight="15" x14ac:dyDescent="0.25"/>
  <cols>
    <col min="3" max="3" width="9.42578125" customWidth="1"/>
    <col min="4" max="7" width="10.5703125" bestFit="1" customWidth="1"/>
  </cols>
  <sheetData>
    <row r="3" spans="2:15" x14ac:dyDescent="0.25">
      <c r="C3" s="7">
        <v>45536</v>
      </c>
      <c r="D3" s="7">
        <v>45566</v>
      </c>
      <c r="E3" s="7">
        <v>45597</v>
      </c>
      <c r="F3" s="7">
        <v>45627</v>
      </c>
      <c r="G3" s="7">
        <v>45658</v>
      </c>
      <c r="H3" s="7">
        <v>45689</v>
      </c>
      <c r="I3" s="7">
        <v>45717</v>
      </c>
      <c r="J3" s="7">
        <v>45748</v>
      </c>
      <c r="K3" s="7">
        <v>45778</v>
      </c>
      <c r="L3" s="7">
        <v>45809</v>
      </c>
      <c r="M3" s="7">
        <v>45839</v>
      </c>
      <c r="N3" s="7">
        <v>45870</v>
      </c>
      <c r="O3" s="7">
        <v>45901</v>
      </c>
    </row>
    <row r="4" spans="2:15" x14ac:dyDescent="0.25">
      <c r="B4" t="s">
        <v>24</v>
      </c>
      <c r="C4" s="41">
        <f>+_xlfn.XLOOKUP(C3,Dane!$A:$A,Dane!$AA:$AA)</f>
        <v>85.778360035299357</v>
      </c>
      <c r="D4" s="41">
        <f>+_xlfn.XLOOKUP(D3,Dane!$A:$A,Dane!$AA:$AA)</f>
        <v>86.667017580797989</v>
      </c>
      <c r="E4" s="41">
        <f>+_xlfn.XLOOKUP(E3,Dane!$A:$A,Dane!$AA:$AA)</f>
        <v>78.597894367975428</v>
      </c>
      <c r="F4" s="41">
        <f>+_xlfn.XLOOKUP(F3,Dane!$A:$A,Dane!$AA:$AA)</f>
        <v>76.514744638597108</v>
      </c>
      <c r="G4" s="41">
        <f>+_xlfn.XLOOKUP(G3,Dane!$A:$A,Dane!$AA:$AA)</f>
        <v>80.007089353842716</v>
      </c>
      <c r="H4" s="41">
        <f>+_xlfn.XLOOKUP(H3,Dane!$A:$A,Dane!$AA:$AA)</f>
        <v>88.154016212232861</v>
      </c>
      <c r="I4" s="41">
        <f>+_xlfn.XLOOKUP(I3,Dane!$A:$A,Dane!$AA:$AA)</f>
        <v>88.568971964251759</v>
      </c>
      <c r="J4" s="41">
        <f>+_xlfn.XLOOKUP(J3,Dane!$A:$A,Dane!$AA:$AA)</f>
        <v>87.693930976908121</v>
      </c>
      <c r="K4" s="41">
        <f>+_xlfn.XLOOKUP(K3,Dane!$A:$A,Dane!$AA:$AA)</f>
        <v>83.757443781188414</v>
      </c>
      <c r="L4" s="41">
        <f>+_xlfn.XLOOKUP(L3,Dane!$A:$A,Dane!$AA:$AA)</f>
        <v>79.729445204758406</v>
      </c>
      <c r="M4" s="41">
        <f>+_xlfn.XLOOKUP(M3,Dane!$A:$A,Dane!$AA:$AA)</f>
        <v>58.907557520674693</v>
      </c>
      <c r="N4" s="41">
        <f>+_xlfn.XLOOKUP(N3,Dane!$A:$A,Dane!$AA:$AA)</f>
        <v>58.907557520674693</v>
      </c>
      <c r="O4" s="41" t="e">
        <f>+_xlfn.XLOOKUP(O3,Dane!$A:$A,Dane!$AA:$AA)</f>
        <v>#N/A</v>
      </c>
    </row>
    <row r="5" spans="2:15" x14ac:dyDescent="0.25">
      <c r="B5" t="s">
        <v>25</v>
      </c>
      <c r="C5" s="41">
        <f>+_xlfn.XLOOKUP(C3,Dane!$A:$A,Dane!$AB:$AB)</f>
        <v>77.200524031769419</v>
      </c>
      <c r="D5" s="41">
        <f>+_xlfn.XLOOKUP(D3,Dane!$A:$A,Dane!$AB:$AB)</f>
        <v>78.279886847172378</v>
      </c>
      <c r="E5" s="41">
        <f>+_xlfn.XLOOKUP(E3,Dane!$A:$A,Dane!$AB:$AB)</f>
        <v>66.90177913464575</v>
      </c>
      <c r="F5" s="41">
        <f>+_xlfn.XLOOKUP(F3,Dane!$A:$A,Dane!$AB:$AB)</f>
        <v>71.092439900428801</v>
      </c>
      <c r="G5" s="41">
        <f>+_xlfn.XLOOKUP(G3,Dane!$A:$A,Dane!$AB:$AB)</f>
        <v>73.924679052088592</v>
      </c>
      <c r="H5" s="41">
        <f>+_xlfn.XLOOKUP(H3,Dane!$A:$A,Dane!$AB:$AB)</f>
        <v>75.560585324771026</v>
      </c>
      <c r="I5" s="41">
        <f>+_xlfn.XLOOKUP(I3,Dane!$A:$A,Dane!$AB:$AB)</f>
        <v>80.235869763314099</v>
      </c>
      <c r="J5" s="41">
        <f>+_xlfn.XLOOKUP(J3,Dane!$A:$A,Dane!$AB:$AB)</f>
        <v>77.408840306776924</v>
      </c>
      <c r="K5" s="41">
        <f>+_xlfn.XLOOKUP(K3,Dane!$A:$A,Dane!$AB:$AB)</f>
        <v>72.041372776081701</v>
      </c>
      <c r="L5" s="41">
        <f>+_xlfn.XLOOKUP(L3,Dane!$A:$A,Dane!$AB:$AB)</f>
        <v>70.565141158234454</v>
      </c>
      <c r="M5" s="41">
        <f>+_xlfn.XLOOKUP(M3,Dane!$A:$A,Dane!$AB:$AB)</f>
        <v>14.726889380168673</v>
      </c>
      <c r="N5" s="41">
        <f>+_xlfn.XLOOKUP(N3,Dane!$A:$A,Dane!$AB:$AB)</f>
        <v>14.726889380168673</v>
      </c>
      <c r="O5" s="41" t="e">
        <f>+_xlfn.XLOOKUP(O3,Dane!$A:$A,Dane!$AB:$AB)</f>
        <v>#N/A</v>
      </c>
    </row>
    <row r="6" spans="2:15" x14ac:dyDescent="0.25">
      <c r="B6" t="s">
        <v>204</v>
      </c>
      <c r="C6" s="41">
        <v>88.42</v>
      </c>
      <c r="D6" s="41">
        <v>88.42</v>
      </c>
      <c r="E6" s="41">
        <v>88.42</v>
      </c>
      <c r="F6" s="41">
        <v>88.42</v>
      </c>
      <c r="G6" s="41">
        <v>88.42</v>
      </c>
      <c r="H6" s="41">
        <v>88.42</v>
      </c>
      <c r="I6" s="41">
        <v>88.42</v>
      </c>
      <c r="J6" s="41">
        <v>88.42</v>
      </c>
      <c r="K6" s="41">
        <v>88.42</v>
      </c>
      <c r="L6" s="41">
        <v>88.42</v>
      </c>
      <c r="M6" s="41">
        <v>88.42</v>
      </c>
      <c r="N6" s="41">
        <v>88.42</v>
      </c>
      <c r="O6" s="41">
        <v>88.42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F8A9-07E8-4A19-99EB-11D5CFBD4B34}">
  <dimension ref="B3:K23"/>
  <sheetViews>
    <sheetView showGridLines="0" zoomScale="70" zoomScaleNormal="70" workbookViewId="0">
      <selection activeCell="H8" sqref="H8"/>
    </sheetView>
  </sheetViews>
  <sheetFormatPr defaultRowHeight="15" x14ac:dyDescent="0.25"/>
  <cols>
    <col min="1" max="1" width="3.7109375" customWidth="1"/>
    <col min="2" max="4" width="35.140625" customWidth="1"/>
    <col min="5" max="5" width="15.85546875" customWidth="1"/>
    <col min="6" max="10" width="35.140625" customWidth="1"/>
    <col min="11" max="13" width="13.28515625" customWidth="1"/>
    <col min="14" max="14" width="19.42578125" customWidth="1"/>
    <col min="15" max="15" width="13.28515625" customWidth="1"/>
    <col min="16" max="16" width="6.7109375" customWidth="1"/>
    <col min="17" max="17" width="8.85546875" customWidth="1"/>
  </cols>
  <sheetData>
    <row r="3" spans="2:11" s="107" customFormat="1" ht="34.5" customHeight="1" x14ac:dyDescent="0.35">
      <c r="B3" s="496" t="s">
        <v>205</v>
      </c>
      <c r="C3" s="497"/>
      <c r="D3" s="497"/>
      <c r="E3" s="498"/>
      <c r="F3" s="119" t="s">
        <v>206</v>
      </c>
      <c r="G3" s="499" t="s">
        <v>207</v>
      </c>
      <c r="H3" s="499"/>
      <c r="I3" s="499"/>
      <c r="J3" s="128"/>
    </row>
    <row r="4" spans="2:11" s="107" customFormat="1" ht="34.5" customHeight="1" x14ac:dyDescent="0.35">
      <c r="B4" s="123"/>
      <c r="C4" s="124"/>
      <c r="D4" s="124"/>
      <c r="E4" s="125"/>
      <c r="F4" s="126"/>
      <c r="G4" s="127" t="s">
        <v>208</v>
      </c>
      <c r="H4" s="127" t="s">
        <v>209</v>
      </c>
      <c r="I4" s="127" t="s">
        <v>210</v>
      </c>
      <c r="J4" s="129"/>
    </row>
    <row r="5" spans="2:11" s="107" customFormat="1" ht="34.5" customHeight="1" x14ac:dyDescent="0.25">
      <c r="B5" s="500" t="s">
        <v>211</v>
      </c>
      <c r="C5" s="501"/>
      <c r="D5" s="501"/>
      <c r="E5" s="502"/>
      <c r="F5" s="108" t="s">
        <v>211</v>
      </c>
      <c r="G5" s="130"/>
      <c r="H5" s="130"/>
      <c r="I5" s="130"/>
      <c r="J5" s="131">
        <v>1095</v>
      </c>
    </row>
    <row r="6" spans="2:11" s="107" customFormat="1" ht="34.5" customHeight="1" x14ac:dyDescent="0.3">
      <c r="B6" s="503" t="s">
        <v>212</v>
      </c>
      <c r="C6" s="504"/>
      <c r="D6" s="504"/>
      <c r="E6" s="505"/>
      <c r="F6" s="109" t="s">
        <v>213</v>
      </c>
      <c r="G6" s="110"/>
      <c r="H6" s="110">
        <v>14</v>
      </c>
      <c r="I6" s="110">
        <f>H6*3</f>
        <v>42</v>
      </c>
      <c r="J6" s="132"/>
    </row>
    <row r="7" spans="2:11" s="107" customFormat="1" ht="34.5" customHeight="1" x14ac:dyDescent="0.3">
      <c r="B7" s="506"/>
      <c r="C7" s="507"/>
      <c r="D7" s="507"/>
      <c r="E7" s="508"/>
      <c r="F7" s="109" t="s">
        <v>143</v>
      </c>
      <c r="G7" s="110"/>
      <c r="H7" s="110">
        <v>8</v>
      </c>
      <c r="I7" s="110">
        <f t="shared" ref="I7:I17" si="0">H7*3</f>
        <v>24</v>
      </c>
      <c r="J7" s="132"/>
      <c r="K7" s="107" t="s">
        <v>214</v>
      </c>
    </row>
    <row r="8" spans="2:11" s="107" customFormat="1" ht="34.5" customHeight="1" x14ac:dyDescent="0.3">
      <c r="B8" s="509"/>
      <c r="C8" s="510"/>
      <c r="D8" s="510"/>
      <c r="E8" s="511"/>
      <c r="F8" s="109" t="s">
        <v>215</v>
      </c>
      <c r="G8" s="110"/>
      <c r="H8" s="110">
        <v>0</v>
      </c>
      <c r="I8" s="110">
        <f t="shared" si="0"/>
        <v>0</v>
      </c>
      <c r="J8" s="132">
        <f>J5-I6-I7-I8</f>
        <v>1029</v>
      </c>
    </row>
    <row r="9" spans="2:11" s="107" customFormat="1" ht="34.5" customHeight="1" x14ac:dyDescent="0.3">
      <c r="B9" s="493" t="s">
        <v>216</v>
      </c>
      <c r="C9" s="494"/>
      <c r="D9" s="494"/>
      <c r="E9" s="495"/>
      <c r="F9" s="113" t="s">
        <v>217</v>
      </c>
      <c r="G9" s="114"/>
      <c r="H9" s="114"/>
      <c r="I9" s="114">
        <v>42</v>
      </c>
      <c r="J9" s="112"/>
      <c r="K9" s="107" t="s">
        <v>218</v>
      </c>
    </row>
    <row r="10" spans="2:11" s="107" customFormat="1" ht="34.5" customHeight="1" x14ac:dyDescent="0.3">
      <c r="B10" s="111"/>
      <c r="C10" s="120"/>
      <c r="D10" s="120"/>
      <c r="E10" s="112"/>
      <c r="F10" s="113" t="s">
        <v>219</v>
      </c>
      <c r="G10" s="114"/>
      <c r="H10" s="114"/>
      <c r="I10" s="114">
        <v>63</v>
      </c>
      <c r="J10" s="112"/>
      <c r="K10" s="107" t="s">
        <v>220</v>
      </c>
    </row>
    <row r="11" spans="2:11" s="107" customFormat="1" ht="34.5" customHeight="1" x14ac:dyDescent="0.3">
      <c r="B11" s="111"/>
      <c r="C11" s="120"/>
      <c r="D11" s="120"/>
      <c r="E11" s="112"/>
      <c r="F11" s="150" t="s">
        <v>221</v>
      </c>
      <c r="G11" s="114">
        <v>3</v>
      </c>
      <c r="H11" s="114">
        <f t="shared" ref="H11" si="1">G11*7</f>
        <v>21</v>
      </c>
      <c r="I11" s="114">
        <f t="shared" ref="I11" si="2">H11*3</f>
        <v>63</v>
      </c>
      <c r="J11" s="112"/>
    </row>
    <row r="12" spans="2:11" s="107" customFormat="1" ht="34.5" customHeight="1" x14ac:dyDescent="0.3">
      <c r="B12" s="493"/>
      <c r="C12" s="494"/>
      <c r="D12" s="494"/>
      <c r="E12" s="495"/>
      <c r="F12" s="113" t="s">
        <v>222</v>
      </c>
      <c r="G12" s="114"/>
      <c r="H12" s="114"/>
      <c r="I12" s="114">
        <v>0</v>
      </c>
      <c r="J12" s="112"/>
      <c r="K12" s="107" t="s">
        <v>191</v>
      </c>
    </row>
    <row r="13" spans="2:11" s="107" customFormat="1" ht="34.5" customHeight="1" x14ac:dyDescent="0.3">
      <c r="B13" s="493"/>
      <c r="C13" s="494"/>
      <c r="D13" s="494"/>
      <c r="E13" s="495"/>
      <c r="F13" s="113" t="s">
        <v>223</v>
      </c>
      <c r="G13" s="114"/>
      <c r="H13" s="114"/>
      <c r="I13" s="114">
        <v>18</v>
      </c>
      <c r="J13" s="112"/>
    </row>
    <row r="14" spans="2:11" s="107" customFormat="1" ht="34.5" customHeight="1" x14ac:dyDescent="0.3">
      <c r="B14" s="518"/>
      <c r="C14" s="519"/>
      <c r="D14" s="519"/>
      <c r="E14" s="520"/>
      <c r="F14" s="113" t="s">
        <v>224</v>
      </c>
      <c r="G14" s="114">
        <v>0</v>
      </c>
      <c r="H14" s="114">
        <f t="shared" ref="H14:H17" si="3">G14*7</f>
        <v>0</v>
      </c>
      <c r="I14" s="114">
        <f t="shared" si="0"/>
        <v>0</v>
      </c>
      <c r="J14" s="112">
        <f>J8-I9-I10-I12-I13-I14-I11</f>
        <v>843</v>
      </c>
    </row>
    <row r="15" spans="2:11" s="107" customFormat="1" ht="34.5" customHeight="1" x14ac:dyDescent="0.3">
      <c r="B15" s="521" t="s">
        <v>225</v>
      </c>
      <c r="C15" s="522"/>
      <c r="D15" s="522"/>
      <c r="E15" s="523"/>
      <c r="F15" s="115" t="s">
        <v>226</v>
      </c>
      <c r="G15" s="116"/>
      <c r="H15" s="116"/>
      <c r="I15" s="116">
        <v>12</v>
      </c>
      <c r="J15" s="133"/>
    </row>
    <row r="16" spans="2:11" s="107" customFormat="1" ht="34.5" customHeight="1" x14ac:dyDescent="0.3">
      <c r="B16" s="524"/>
      <c r="C16" s="525"/>
      <c r="D16" s="525"/>
      <c r="E16" s="526"/>
      <c r="F16" s="115" t="s">
        <v>157</v>
      </c>
      <c r="G16" s="116"/>
      <c r="H16" s="116"/>
      <c r="I16" s="116">
        <v>92</v>
      </c>
      <c r="J16" s="133"/>
      <c r="K16" s="107" t="s">
        <v>195</v>
      </c>
    </row>
    <row r="17" spans="2:10" s="107" customFormat="1" ht="34.5" customHeight="1" x14ac:dyDescent="0.3">
      <c r="B17" s="524"/>
      <c r="C17" s="525"/>
      <c r="D17" s="525"/>
      <c r="E17" s="526"/>
      <c r="F17" s="115" t="s">
        <v>227</v>
      </c>
      <c r="G17" s="116"/>
      <c r="H17" s="116">
        <f t="shared" si="3"/>
        <v>0</v>
      </c>
      <c r="I17" s="116">
        <f t="shared" si="0"/>
        <v>0</v>
      </c>
      <c r="J17" s="133"/>
    </row>
    <row r="18" spans="2:10" s="107" customFormat="1" ht="34.5" customHeight="1" x14ac:dyDescent="0.3">
      <c r="B18" s="527"/>
      <c r="C18" s="528"/>
      <c r="D18" s="528"/>
      <c r="E18" s="529"/>
      <c r="F18" s="115" t="s">
        <v>228</v>
      </c>
      <c r="G18" s="116"/>
      <c r="H18" s="116"/>
      <c r="I18" s="116">
        <v>1.5</v>
      </c>
      <c r="J18" s="133">
        <f>J14-I15-I16-I17-I18</f>
        <v>737.5</v>
      </c>
    </row>
    <row r="19" spans="2:10" s="107" customFormat="1" ht="34.5" customHeight="1" x14ac:dyDescent="0.3">
      <c r="B19" s="512" t="s">
        <v>229</v>
      </c>
      <c r="C19" s="513"/>
      <c r="D19" s="513"/>
      <c r="E19" s="514"/>
      <c r="F19" s="117" t="s">
        <v>229</v>
      </c>
      <c r="G19" s="118"/>
      <c r="H19" s="118"/>
      <c r="I19" s="118">
        <v>15</v>
      </c>
      <c r="J19" s="134">
        <f>J18-I19</f>
        <v>722.5</v>
      </c>
    </row>
    <row r="20" spans="2:10" s="107" customFormat="1" ht="34.5" customHeight="1" x14ac:dyDescent="0.3">
      <c r="B20" s="515" t="s">
        <v>230</v>
      </c>
      <c r="C20" s="516"/>
      <c r="D20" s="516"/>
      <c r="E20" s="517"/>
      <c r="F20" s="121"/>
      <c r="G20" s="122"/>
      <c r="H20" s="122"/>
      <c r="I20" s="122">
        <f>1095-I6-I7-I8-I9-I10-I12-I13-I14-I15-I16-I17-I18-I19-I11</f>
        <v>722.5</v>
      </c>
      <c r="J20" s="135">
        <f>J19-I20</f>
        <v>0</v>
      </c>
    </row>
    <row r="21" spans="2:10" x14ac:dyDescent="0.25">
      <c r="I21">
        <f>I20</f>
        <v>722.5</v>
      </c>
    </row>
    <row r="23" spans="2:10" ht="23.25" x14ac:dyDescent="0.35">
      <c r="F23" s="106"/>
    </row>
  </sheetData>
  <mergeCells count="16">
    <mergeCell ref="B19:E19"/>
    <mergeCell ref="B20:E20"/>
    <mergeCell ref="B13:E13"/>
    <mergeCell ref="B14:E14"/>
    <mergeCell ref="B15:E15"/>
    <mergeCell ref="B16:E16"/>
    <mergeCell ref="B17:E17"/>
    <mergeCell ref="B18:E18"/>
    <mergeCell ref="B12:E12"/>
    <mergeCell ref="B3:E3"/>
    <mergeCell ref="G3:I3"/>
    <mergeCell ref="B5:E5"/>
    <mergeCell ref="B6:E6"/>
    <mergeCell ref="B7:E7"/>
    <mergeCell ref="B8:E8"/>
    <mergeCell ref="B9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EE7DE156FC34BBA7C788A2131893E" ma:contentTypeVersion="13" ma:contentTypeDescription="Create a new document." ma:contentTypeScope="" ma:versionID="8348f5d26fe84efe305e28078b65a2d3">
  <xsd:schema xmlns:xsd="http://www.w3.org/2001/XMLSchema" xmlns:xs="http://www.w3.org/2001/XMLSchema" xmlns:p="http://schemas.microsoft.com/office/2006/metadata/properties" xmlns:ns2="541f03ca-fe41-4c72-8542-9217c3935f0b" xmlns:ns3="d8d54dee-ab89-43d8-a180-e182e1c16da4" targetNamespace="http://schemas.microsoft.com/office/2006/metadata/properties" ma:root="true" ma:fieldsID="7a5d2213ec2dfc1f0b2a1a4597f64d36" ns2:_="" ns3:_="">
    <xsd:import namespace="541f03ca-fe41-4c72-8542-9217c3935f0b"/>
    <xsd:import namespace="d8d54dee-ab89-43d8-a180-e182e1c16d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f03ca-fe41-4c72-8542-9217c3935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0dc5163-3851-46c0-8925-0aff8a1619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54dee-ab89-43d8-a180-e182e1c16da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bc999aa-31e2-4b08-a94d-108a4f3a3f83}" ma:internalName="TaxCatchAll" ma:showField="CatchAllData" ma:web="d8d54dee-ab89-43d8-a180-e182e1c16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1f03ca-fe41-4c72-8542-9217c3935f0b">
      <Terms xmlns="http://schemas.microsoft.com/office/infopath/2007/PartnerControls"/>
    </lcf76f155ced4ddcb4097134ff3c332f>
    <TaxCatchAll xmlns="d8d54dee-ab89-43d8-a180-e182e1c16da4" xsi:nil="true"/>
  </documentManagement>
</p:properties>
</file>

<file path=customXml/itemProps1.xml><?xml version="1.0" encoding="utf-8"?>
<ds:datastoreItem xmlns:ds="http://schemas.openxmlformats.org/officeDocument/2006/customXml" ds:itemID="{060DCAF1-8800-43C7-98C9-5FDA919C8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f03ca-fe41-4c72-8542-9217c3935f0b"/>
    <ds:schemaRef ds:uri="d8d54dee-ab89-43d8-a180-e182e1c16d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376857-5361-4A94-BC11-61B043CAA8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E1247-2AC3-4B27-87CA-645EAB132E5B}">
  <ds:schemaRefs>
    <ds:schemaRef ds:uri="541f03ca-fe41-4c72-8542-9217c3935f0b"/>
    <ds:schemaRef ds:uri="http://schemas.microsoft.com/office/infopath/2007/PartnerControls"/>
    <ds:schemaRef ds:uri="http://purl.org/dc/dcmitype/"/>
    <ds:schemaRef ds:uri="http://www.w3.org/XML/1998/namespace"/>
    <ds:schemaRef ds:uri="d8d54dee-ab89-43d8-a180-e182e1c16da4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</vt:lpstr>
      <vt:lpstr>OEE_OAE 2024_2025 -grafika</vt:lpstr>
      <vt:lpstr>porównanie mies. OEE_OAE 24_25</vt:lpstr>
      <vt:lpstr>OEE_OAE 2025_2026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Radoslaw OGNIEWSKI</dc:creator>
  <cp:keywords/>
  <dc:description/>
  <cp:lastModifiedBy>Pawel STANISZEWSKI</cp:lastModifiedBy>
  <cp:revision/>
  <dcterms:created xsi:type="dcterms:W3CDTF">2024-11-29T14:25:40Z</dcterms:created>
  <dcterms:modified xsi:type="dcterms:W3CDTF">2025-08-22T09:45:59Z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5e1d80-5df9-45cf-93c6-b3dca2463c0a_Enabled">
    <vt:lpwstr>true</vt:lpwstr>
  </property>
  <property fmtid="{D5CDD505-2E9C-101B-9397-08002B2CF9AE}" pid="3" name="MSIP_Label_115e1d80-5df9-45cf-93c6-b3dca2463c0a_SetDate">
    <vt:lpwstr>2024-11-29T14:25:52Z</vt:lpwstr>
  </property>
  <property fmtid="{D5CDD505-2E9C-101B-9397-08002B2CF9AE}" pid="4" name="MSIP_Label_115e1d80-5df9-45cf-93c6-b3dca2463c0a_Method">
    <vt:lpwstr>Standard</vt:lpwstr>
  </property>
  <property fmtid="{D5CDD505-2E9C-101B-9397-08002B2CF9AE}" pid="5" name="MSIP_Label_115e1d80-5df9-45cf-93c6-b3dca2463c0a_Name">
    <vt:lpwstr>115e1d80-5df9-45cf-93c6-b3dca2463c0a</vt:lpwstr>
  </property>
  <property fmtid="{D5CDD505-2E9C-101B-9397-08002B2CF9AE}" pid="6" name="MSIP_Label_115e1d80-5df9-45cf-93c6-b3dca2463c0a_SiteId">
    <vt:lpwstr>35734bde-3e33-4eb6-8dd2-0c96b30981bf</vt:lpwstr>
  </property>
  <property fmtid="{D5CDD505-2E9C-101B-9397-08002B2CF9AE}" pid="7" name="MSIP_Label_115e1d80-5df9-45cf-93c6-b3dca2463c0a_ActionId">
    <vt:lpwstr>1b67e908-32fe-4624-b465-163aaf9d1114</vt:lpwstr>
  </property>
  <property fmtid="{D5CDD505-2E9C-101B-9397-08002B2CF9AE}" pid="8" name="MSIP_Label_115e1d80-5df9-45cf-93c6-b3dca2463c0a_ContentBits">
    <vt:lpwstr>0</vt:lpwstr>
  </property>
  <property fmtid="{D5CDD505-2E9C-101B-9397-08002B2CF9AE}" pid="9" name="ContentTypeId">
    <vt:lpwstr>0x010100E35EE7DE156FC34BBA7C788A2131893E</vt:lpwstr>
  </property>
  <property fmtid="{D5CDD505-2E9C-101B-9397-08002B2CF9AE}" pid="10" name="MediaServiceImageTags">
    <vt:lpwstr/>
  </property>
</Properties>
</file>