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sensact\pcb\sensactOutdoor\"/>
    </mc:Choice>
  </mc:AlternateContent>
  <xr:revisionPtr revIDLastSave="0" documentId="13_ncr:1_{FB311BF6-0F0B-4BDD-9820-97D58C08F39D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Component Calculator" sheetId="1" r:id="rId1"/>
  </sheets>
  <definedNames>
    <definedName name="_xlnm.Print_Area" localSheetId="0">'Component Calculator'!$A$1:$E$67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49" i="1"/>
  <c r="C28" i="1"/>
  <c r="C30" i="1"/>
  <c r="M70" i="1"/>
  <c r="L70" i="1"/>
  <c r="K70" i="1"/>
  <c r="J70" i="1"/>
  <c r="I70" i="1"/>
  <c r="H70" i="1"/>
  <c r="G70" i="1"/>
  <c r="M69" i="1"/>
  <c r="L69" i="1"/>
  <c r="K69" i="1"/>
  <c r="J69" i="1"/>
  <c r="I69" i="1"/>
  <c r="H69" i="1"/>
  <c r="G69" i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M66" i="1"/>
  <c r="L66" i="1"/>
  <c r="K66" i="1"/>
  <c r="J66" i="1"/>
  <c r="I66" i="1"/>
  <c r="H66" i="1"/>
  <c r="G66" i="1"/>
  <c r="A44" i="1"/>
  <c r="M37" i="1"/>
  <c r="L37" i="1"/>
  <c r="K37" i="1"/>
  <c r="J37" i="1"/>
  <c r="I37" i="1"/>
  <c r="H37" i="1"/>
  <c r="G37" i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C24" i="1"/>
  <c r="C16" i="1"/>
  <c r="C13" i="1"/>
  <c r="C53" i="1" s="1"/>
  <c r="C54" i="1" s="1"/>
  <c r="A43" i="1" l="1"/>
  <c r="C23" i="1"/>
  <c r="C58" i="1"/>
  <c r="C42" i="1"/>
  <c r="C31" i="1"/>
  <c r="C35" i="1" s="1"/>
  <c r="C55" i="1" l="1"/>
  <c r="C43" i="1"/>
  <c r="A32" i="1"/>
  <c r="C37" i="1"/>
  <c r="C33" i="1"/>
  <c r="A34" i="1" s="1"/>
  <c r="C44" i="1" l="1"/>
  <c r="C45" i="1" s="1"/>
  <c r="C39" i="1"/>
  <c r="A40" i="1" s="1"/>
  <c r="C56" i="1"/>
  <c r="C61" i="1"/>
  <c r="C38" i="1"/>
  <c r="C63" i="1" l="1"/>
  <c r="C64" i="1" s="1"/>
  <c r="C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ptod</author>
  </authors>
  <commentList>
    <comment ref="C38" authorId="0" shapeId="0" xr:uid="{00000000-0006-0000-0000-000001000000}">
      <text>
        <r>
          <rPr>
            <sz val="10"/>
            <color indexed="81"/>
            <rFont val="Tahoma"/>
            <family val="2"/>
          </rPr>
          <t xml:space="preserve">The minimum inductor current rating is the average LED current plus halve the peak current with a 20% margin added. 
</t>
        </r>
      </text>
    </comment>
  </commentList>
</comments>
</file>

<file path=xl/sharedStrings.xml><?xml version="1.0" encoding="utf-8"?>
<sst xmlns="http://schemas.openxmlformats.org/spreadsheetml/2006/main" count="176" uniqueCount="130">
  <si>
    <t>Notes:</t>
  </si>
  <si>
    <r>
      <t xml:space="preserve">1. Enter system data into </t>
    </r>
    <r>
      <rPr>
        <sz val="10"/>
        <color indexed="23"/>
        <rFont val="Arial"/>
        <family val="2"/>
      </rPr>
      <t>grey cells</t>
    </r>
    <r>
      <rPr>
        <sz val="10"/>
        <rFont val="Arial"/>
        <family val="2"/>
      </rPr>
      <t>.</t>
    </r>
  </si>
  <si>
    <r>
      <t xml:space="preserve">2. After component values are calculated, then enter preferred values into </t>
    </r>
    <r>
      <rPr>
        <sz val="10"/>
        <color indexed="30"/>
        <rFont val="Arial"/>
        <family val="2"/>
      </rPr>
      <t>blue cells</t>
    </r>
    <r>
      <rPr>
        <sz val="10"/>
        <rFont val="Arial"/>
        <family val="2"/>
      </rPr>
      <t>.</t>
    </r>
  </si>
  <si>
    <r>
      <t>3. A performance summary is then generated (</t>
    </r>
    <r>
      <rPr>
        <sz val="10"/>
        <color indexed="17"/>
        <rFont val="Arial"/>
        <family val="2"/>
      </rPr>
      <t>green cells</t>
    </r>
    <r>
      <rPr>
        <sz val="10"/>
        <rFont val="Arial"/>
        <family val="2"/>
      </rPr>
      <t>).</t>
    </r>
  </si>
  <si>
    <r>
      <t xml:space="preserve">4. Warning messages, if any, are listed below in </t>
    </r>
    <r>
      <rPr>
        <sz val="10"/>
        <color indexed="10"/>
        <rFont val="Arial"/>
        <family val="2"/>
      </rPr>
      <t>Red</t>
    </r>
  </si>
  <si>
    <t>Description</t>
  </si>
  <si>
    <t>Unit</t>
  </si>
  <si>
    <t>Remark</t>
  </si>
  <si>
    <t>Input supply voltage</t>
  </si>
  <si>
    <t>Vin</t>
  </si>
  <si>
    <t>V</t>
  </si>
  <si>
    <t>Number of LEDs in output string</t>
  </si>
  <si>
    <t>N</t>
  </si>
  <si>
    <t>Forward voltage of each LED</t>
  </si>
  <si>
    <t>V_f</t>
  </si>
  <si>
    <t>Output LED string voltage</t>
  </si>
  <si>
    <t>Vout</t>
  </si>
  <si>
    <t>Including sense voltage of ~0.2V</t>
  </si>
  <si>
    <t>LED current required</t>
  </si>
  <si>
    <t>i_LED</t>
  </si>
  <si>
    <t>A</t>
  </si>
  <si>
    <t>Ripple current as % of average current</t>
  </si>
  <si>
    <t>%</t>
  </si>
  <si>
    <t>EstimatedLED ripple current</t>
  </si>
  <si>
    <r>
      <t>A</t>
    </r>
    <r>
      <rPr>
        <sz val="8"/>
        <rFont val="Arial"/>
        <family val="2"/>
      </rPr>
      <t>pk-pk</t>
    </r>
  </si>
  <si>
    <t>Minimum Inductance (uH) required to keep ripple current under 20%</t>
  </si>
  <si>
    <t>Forward voltage drop of schottky diode</t>
  </si>
  <si>
    <t>V_diode</t>
  </si>
  <si>
    <t>mV</t>
  </si>
  <si>
    <t>(effects are not implemented yet)</t>
  </si>
  <si>
    <t>Vd</t>
  </si>
  <si>
    <t>typically 0.5 - 0.7V</t>
  </si>
  <si>
    <t>(Vin = 24V, Vout = 12V)</t>
  </si>
  <si>
    <t>Sense resistor average voltage (typ. 0.2V)</t>
  </si>
  <si>
    <t>Vs</t>
  </si>
  <si>
    <t>LED current (A)</t>
  </si>
  <si>
    <t>Min T_on (up to 0.15uS)</t>
  </si>
  <si>
    <t>uS</t>
  </si>
  <si>
    <t>Freq (KHz)</t>
  </si>
  <si>
    <t>Min T_off (up to 0.150S)</t>
  </si>
  <si>
    <t>Frequency selection constant</t>
  </si>
  <si>
    <t>k</t>
  </si>
  <si>
    <t>Calculated duty Cycle</t>
  </si>
  <si>
    <t>D</t>
  </si>
  <si>
    <t>D=(Vo+Vd)/(Vi+Vd)</t>
  </si>
  <si>
    <t>Calculated sense resistor value</t>
  </si>
  <si>
    <t>Ohm</t>
  </si>
  <si>
    <t>Rs = Vs / i_LED</t>
  </si>
  <si>
    <t>Enter preferred sense resistor value</t>
  </si>
  <si>
    <t>Rs</t>
  </si>
  <si>
    <t>Calculated LED current</t>
  </si>
  <si>
    <t>i_LED = Vs / Rs</t>
  </si>
  <si>
    <t>Desired switching frequency</t>
  </si>
  <si>
    <t>MHz</t>
  </si>
  <si>
    <t>Calculated Ton selection resistor</t>
  </si>
  <si>
    <t>kOhm</t>
  </si>
  <si>
    <t>Note: L * f * I = 30</t>
  </si>
  <si>
    <t>Enter preferred resistor value</t>
  </si>
  <si>
    <t>Ron</t>
  </si>
  <si>
    <t>Actual switching frequency</t>
  </si>
  <si>
    <t>f_sw</t>
  </si>
  <si>
    <t>Plot freq as function of current, for a given L (ripple current=20%):</t>
  </si>
  <si>
    <t>Calculated SW on-time</t>
  </si>
  <si>
    <t>Ton</t>
  </si>
  <si>
    <t>L (uH)</t>
  </si>
  <si>
    <t>Calculated SW off-time</t>
  </si>
  <si>
    <t>Toff</t>
  </si>
  <si>
    <t>Toff = 1/f_sw - Ton</t>
  </si>
  <si>
    <t>uH</t>
  </si>
  <si>
    <t>L = (Vin-Vout) * Ton / i_ripple</t>
  </si>
  <si>
    <r>
      <t xml:space="preserve">Enter preferred inductor value, </t>
    </r>
    <r>
      <rPr>
        <b/>
        <sz val="10"/>
        <color indexed="12"/>
        <rFont val="Arial"/>
        <family val="2"/>
      </rPr>
      <t>L</t>
    </r>
  </si>
  <si>
    <t>L</t>
  </si>
  <si>
    <t>Calculated ripple current</t>
  </si>
  <si>
    <t>i_ripple</t>
  </si>
  <si>
    <t>Minimum inductor current rating</t>
  </si>
  <si>
    <t>i_sat</t>
  </si>
  <si>
    <t>Including 20% headroom</t>
  </si>
  <si>
    <t>Calculate ripple voltage</t>
  </si>
  <si>
    <t>V_ripple</t>
  </si>
  <si>
    <r>
      <t>V</t>
    </r>
    <r>
      <rPr>
        <sz val="8"/>
        <rFont val="Arial"/>
        <family val="2"/>
      </rPr>
      <t>pk-pk</t>
    </r>
  </si>
  <si>
    <t>Keep ripple voltage &gt;= 0.02V</t>
  </si>
  <si>
    <t>Performance summary with preferred values</t>
  </si>
  <si>
    <t>Switching frequency</t>
  </si>
  <si>
    <r>
      <t>Plot freq as function of current, for a given L (ripple current=</t>
    </r>
    <r>
      <rPr>
        <b/>
        <sz val="10"/>
        <color indexed="53"/>
        <rFont val="Arial"/>
        <family val="2"/>
      </rPr>
      <t>30%</t>
    </r>
    <r>
      <rPr>
        <sz val="10"/>
        <color indexed="53"/>
        <rFont val="Arial"/>
        <family val="2"/>
      </rPr>
      <t>):</t>
    </r>
  </si>
  <si>
    <t>Ron = 1 / (f_sw* k) -5</t>
  </si>
  <si>
    <t>freq=1 / (k * (Ron+5))</t>
  </si>
  <si>
    <t>Ton = k * (Ron+5) * Vout/Vin</t>
  </si>
  <si>
    <t>typically 20-40% of i_LED</t>
  </si>
  <si>
    <t>Symbol</t>
  </si>
  <si>
    <t>Value</t>
  </si>
  <si>
    <t>Calculated inductor value</t>
  </si>
  <si>
    <t>Input Voltage</t>
  </si>
  <si>
    <t>Thermal Resistance</t>
  </si>
  <si>
    <t>R_θJA</t>
  </si>
  <si>
    <t>°C/W</t>
  </si>
  <si>
    <t>SOIC-8 pn 4-layer PCB</t>
  </si>
  <si>
    <t>from previous section</t>
  </si>
  <si>
    <t>SW on-restsiance at 25°C</t>
  </si>
  <si>
    <t>R_DSON</t>
  </si>
  <si>
    <t>0.25 typ, 0.4 max</t>
  </si>
  <si>
    <t>40% at 100C, 60% at 125C</t>
  </si>
  <si>
    <t>Resistance increase at hot</t>
  </si>
  <si>
    <t>SW Conduction Loss</t>
  </si>
  <si>
    <t>P_cond</t>
  </si>
  <si>
    <t>W</t>
  </si>
  <si>
    <t>i^2 * R * D</t>
  </si>
  <si>
    <t>SW rise time</t>
  </si>
  <si>
    <t>T_rise</t>
  </si>
  <si>
    <t>nS</t>
  </si>
  <si>
    <t>SW fall time</t>
  </si>
  <si>
    <t>T_fall</t>
  </si>
  <si>
    <t>SW switching loss</t>
  </si>
  <si>
    <t>P_sw</t>
  </si>
  <si>
    <t>Vin * iout * (t_r+t_f)/2 * f_sw</t>
  </si>
  <si>
    <t>Total Power Loss in SW</t>
  </si>
  <si>
    <t>P_total</t>
  </si>
  <si>
    <t>P_cond + P_sw</t>
  </si>
  <si>
    <t>Temperature Rise</t>
  </si>
  <si>
    <t>delta_T</t>
  </si>
  <si>
    <t>°C</t>
  </si>
  <si>
    <t>Ambient Temp</t>
  </si>
  <si>
    <t>T_a</t>
  </si>
  <si>
    <t>T_j</t>
  </si>
  <si>
    <t>Estimated Junction Temp</t>
  </si>
  <si>
    <t>Note: power discipation from IC bias supply not included</t>
  </si>
  <si>
    <t>Power Loss Calculation (for IC only)</t>
  </si>
  <si>
    <t>Update on April 10, 2012:</t>
  </si>
  <si>
    <t>10ns typical</t>
  </si>
  <si>
    <t>5nS typical from SW waveform</t>
  </si>
  <si>
    <t xml:space="preserve">A6211 External Component Value Calculator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</si>
</sst>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_-&quot;£&quot;* #,##0.00_-;\-&quot;£&quot;* #,##0.00_-;_-&quot;£&quot;* &quot;-&quot;??_-;_-@_-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3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0" fontId="15" fillId="0" borderId="0"/>
  </cellStyleXfs>
  <cellXfs count="95">
    <xf numFmtId="0" fontId="0" fillId="0" borderId="0" xfId="0"/>
    <xf numFmtId="0" fontId="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/>
    <xf numFmtId="164" fontId="1" fillId="0" borderId="0" xfId="0" applyNumberFormat="1" applyFont="1" applyFill="1"/>
    <xf numFmtId="0" fontId="1" fillId="0" borderId="0" xfId="0" applyFont="1" applyFill="1"/>
    <xf numFmtId="0" fontId="17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5" fontId="1" fillId="0" borderId="0" xfId="0" applyNumberFormat="1" applyFont="1" applyFill="1"/>
    <xf numFmtId="166" fontId="3" fillId="0" borderId="0" xfId="0" applyNumberFormat="1" applyFont="1"/>
    <xf numFmtId="167" fontId="1" fillId="0" borderId="0" xfId="1" applyFont="1" applyFill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6" fontId="0" fillId="0" borderId="0" xfId="0" applyNumberFormat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3" fillId="0" borderId="0" xfId="0" applyNumberFormat="1" applyFont="1"/>
    <xf numFmtId="2" fontId="0" fillId="0" borderId="0" xfId="0" applyNumberFormat="1"/>
    <xf numFmtId="0" fontId="17" fillId="0" borderId="0" xfId="0" applyFont="1" applyFill="1"/>
    <xf numFmtId="166" fontId="0" fillId="0" borderId="0" xfId="0" applyNumberFormat="1"/>
    <xf numFmtId="0" fontId="18" fillId="0" borderId="0" xfId="0" applyFont="1"/>
    <xf numFmtId="0" fontId="1" fillId="0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6" fontId="3" fillId="0" borderId="0" xfId="0" applyNumberFormat="1" applyFont="1" applyFill="1"/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6" fontId="1" fillId="0" borderId="0" xfId="0" applyNumberFormat="1" applyFont="1"/>
    <xf numFmtId="1" fontId="3" fillId="0" borderId="0" xfId="0" applyNumberFormat="1" applyFont="1"/>
    <xf numFmtId="2" fontId="3" fillId="3" borderId="0" xfId="0" applyNumberFormat="1" applyFont="1" applyFill="1"/>
    <xf numFmtId="166" fontId="3" fillId="3" borderId="0" xfId="0" applyNumberFormat="1" applyFont="1" applyFill="1"/>
    <xf numFmtId="0" fontId="11" fillId="0" borderId="0" xfId="0" applyFont="1" applyFill="1"/>
    <xf numFmtId="1" fontId="0" fillId="0" borderId="0" xfId="0" applyNumberForma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0" xfId="0" quotePrefix="1" applyBorder="1"/>
    <xf numFmtId="0" fontId="19" fillId="0" borderId="0" xfId="0" applyFont="1" applyFill="1"/>
    <xf numFmtId="0" fontId="19" fillId="0" borderId="0" xfId="0" applyFont="1" applyAlignment="1">
      <alignment horizontal="left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1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2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Fill="1"/>
    <xf numFmtId="0" fontId="3" fillId="2" borderId="0" xfId="0" applyFont="1" applyFill="1" applyProtection="1">
      <protection locked="0"/>
    </xf>
    <xf numFmtId="166" fontId="10" fillId="4" borderId="0" xfId="0" applyNumberFormat="1" applyFont="1" applyFill="1" applyAlignment="1" applyProtection="1">
      <alignment horizontal="right"/>
      <protection locked="0"/>
    </xf>
    <xf numFmtId="2" fontId="3" fillId="2" borderId="0" xfId="0" applyNumberFormat="1" applyFont="1" applyFill="1" applyProtection="1">
      <protection locked="0"/>
    </xf>
    <xf numFmtId="164" fontId="10" fillId="4" borderId="0" xfId="0" applyNumberFormat="1" applyFont="1" applyFill="1" applyProtection="1">
      <protection locked="0"/>
    </xf>
    <xf numFmtId="0" fontId="0" fillId="5" borderId="0" xfId="0" applyNumberFormat="1" applyFont="1" applyFill="1" applyAlignment="1" applyProtection="1">
      <alignment horizontal="right"/>
      <protection locked="0"/>
    </xf>
    <xf numFmtId="9" fontId="0" fillId="5" borderId="0" xfId="0" applyNumberFormat="1" applyFont="1" applyFill="1" applyAlignment="1" applyProtection="1">
      <alignment horizontal="right"/>
      <protection locked="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</cellXfs>
  <cellStyles count="3">
    <cellStyle name="Normal 2" xfId="2" xr:uid="{00000000-0005-0000-0000-000002000000}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Minimum Switching Frequency vs. LED current</a:t>
            </a:r>
            <a:r>
              <a:rPr lang="en-US" sz="1200" baseline="0"/>
              <a:t> </a:t>
            </a:r>
          </a:p>
          <a:p>
            <a:pPr>
              <a:defRPr/>
            </a:pPr>
            <a:r>
              <a:rPr lang="en-US" sz="1200" baseline="0"/>
              <a:t>(Vin=24V, Vout=12V, ripple current=20%)</a:t>
            </a:r>
            <a:endParaRPr lang="en-US" sz="1200"/>
          </a:p>
        </c:rich>
      </c:tx>
      <c:layout>
        <c:manualLayout>
          <c:xMode val="edge"/>
          <c:yMode val="edge"/>
          <c:x val="0.1179582239720034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80796150481188"/>
          <c:y val="0.15991453812175926"/>
          <c:w val="0.68153915135608045"/>
          <c:h val="0.71285929197874665"/>
        </c:manualLayout>
      </c:layout>
      <c:scatterChart>
        <c:scatterStyle val="smoothMarker"/>
        <c:varyColors val="0"/>
        <c:ser>
          <c:idx val="4"/>
          <c:order val="0"/>
          <c:tx>
            <c:v>L=10uH</c:v>
          </c:tx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Calculator'!$G$37:$M$37</c:f>
              <c:numCache>
                <c:formatCode>0.00</c:formatCode>
                <c:ptCount val="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A-435A-BDC6-75004FE5E7BF}"/>
            </c:ext>
          </c:extLst>
        </c:ser>
        <c:ser>
          <c:idx val="3"/>
          <c:order val="1"/>
          <c:tx>
            <c:v>L=15uH</c:v>
          </c:tx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Calculator'!$G$36:$M$36</c:f>
              <c:numCache>
                <c:formatCode>0.00</c:formatCode>
                <c:ptCount val="7"/>
                <c:pt idx="0">
                  <c:v>4</c:v>
                </c:pt>
                <c:pt idx="1">
                  <c:v>2.6666666666666665</c:v>
                </c:pt>
                <c:pt idx="2">
                  <c:v>2</c:v>
                </c:pt>
                <c:pt idx="3">
                  <c:v>1.3333333333333333</c:v>
                </c:pt>
                <c:pt idx="4">
                  <c:v>1</c:v>
                </c:pt>
                <c:pt idx="5">
                  <c:v>0.8</c:v>
                </c:pt>
                <c:pt idx="6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CA-435A-BDC6-75004FE5E7BF}"/>
            </c:ext>
          </c:extLst>
        </c:ser>
        <c:ser>
          <c:idx val="2"/>
          <c:order val="2"/>
          <c:tx>
            <c:v>L=22uH</c:v>
          </c:tx>
          <c:marker>
            <c:symbol val="plus"/>
            <c:size val="5"/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Calculator'!$G$35:$M$35</c:f>
              <c:numCache>
                <c:formatCode>0.00</c:formatCode>
                <c:ptCount val="7"/>
                <c:pt idx="0">
                  <c:v>2.7272727272727271</c:v>
                </c:pt>
                <c:pt idx="1">
                  <c:v>1.8181818181818181</c:v>
                </c:pt>
                <c:pt idx="2">
                  <c:v>1.3636363636363635</c:v>
                </c:pt>
                <c:pt idx="3">
                  <c:v>0.90909090909090906</c:v>
                </c:pt>
                <c:pt idx="4">
                  <c:v>0.68181818181818177</c:v>
                </c:pt>
                <c:pt idx="5">
                  <c:v>0.54545454545454541</c:v>
                </c:pt>
                <c:pt idx="6">
                  <c:v>0.45454545454545453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CA-435A-BDC6-75004FE5E7BF}"/>
            </c:ext>
          </c:extLst>
        </c:ser>
        <c:ser>
          <c:idx val="1"/>
          <c:order val="3"/>
          <c:tx>
            <c:v>L=33uH</c:v>
          </c:tx>
          <c:marker>
            <c:symbol val="diamond"/>
            <c:size val="5"/>
            <c:spPr>
              <a:noFill/>
            </c:spPr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Calculator'!$G$34:$M$34</c:f>
              <c:numCache>
                <c:formatCode>0.00</c:formatCode>
                <c:ptCount val="7"/>
                <c:pt idx="0">
                  <c:v>1.8181818181818181</c:v>
                </c:pt>
                <c:pt idx="1">
                  <c:v>1.2121212121212122</c:v>
                </c:pt>
                <c:pt idx="2">
                  <c:v>0.90909090909090906</c:v>
                </c:pt>
                <c:pt idx="3">
                  <c:v>0.60606060606060608</c:v>
                </c:pt>
                <c:pt idx="4">
                  <c:v>0.45454545454545453</c:v>
                </c:pt>
                <c:pt idx="5">
                  <c:v>0.36363636363636365</c:v>
                </c:pt>
                <c:pt idx="6">
                  <c:v>0.30303030303030304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CA-435A-BDC6-75004FE5E7BF}"/>
            </c:ext>
          </c:extLst>
        </c:ser>
        <c:ser>
          <c:idx val="0"/>
          <c:order val="4"/>
          <c:tx>
            <c:v>L=47uH</c:v>
          </c:tx>
          <c:marker>
            <c:symbol val="square"/>
            <c:size val="5"/>
            <c:spPr>
              <a:noFill/>
            </c:spPr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Calculator'!$G$33:$M$33</c:f>
              <c:numCache>
                <c:formatCode>0.00</c:formatCode>
                <c:ptCount val="7"/>
                <c:pt idx="0">
                  <c:v>1.2765957446808511</c:v>
                </c:pt>
                <c:pt idx="1">
                  <c:v>0.85106382978723405</c:v>
                </c:pt>
                <c:pt idx="2">
                  <c:v>0.63829787234042556</c:v>
                </c:pt>
                <c:pt idx="3">
                  <c:v>0.42553191489361702</c:v>
                </c:pt>
                <c:pt idx="4">
                  <c:v>0.31914893617021278</c:v>
                </c:pt>
                <c:pt idx="5">
                  <c:v>0.25531914893617025</c:v>
                </c:pt>
                <c:pt idx="6">
                  <c:v>0.21276595744680851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CA-435A-BDC6-75004FE5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3312"/>
        <c:axId val="210651008"/>
      </c:scatterChart>
      <c:valAx>
        <c:axId val="210173312"/>
        <c:scaling>
          <c:orientation val="minMax"/>
          <c:max val="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10651008"/>
        <c:crosses val="autoZero"/>
        <c:crossBetween val="midCat"/>
        <c:majorUnit val="0.5"/>
      </c:valAx>
      <c:valAx>
        <c:axId val="21065100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Frequency (MHz)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0173312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Minimum Switching Frequency vs. LED current</a:t>
            </a:r>
            <a:r>
              <a:rPr lang="en-US" sz="1200" baseline="0"/>
              <a:t> </a:t>
            </a:r>
          </a:p>
          <a:p>
            <a:pPr>
              <a:defRPr/>
            </a:pPr>
            <a:r>
              <a:rPr lang="en-US" sz="1200" baseline="0"/>
              <a:t>(Vin=24V, Vout=12V, ripple current=30%)</a:t>
            </a:r>
            <a:endParaRPr lang="en-US" sz="1200"/>
          </a:p>
        </c:rich>
      </c:tx>
      <c:layout>
        <c:manualLayout>
          <c:xMode val="edge"/>
          <c:yMode val="edge"/>
          <c:x val="0.1179582239720034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80796150481188"/>
          <c:y val="0.15991453812175932"/>
          <c:w val="0.68153915135608045"/>
          <c:h val="0.71285929197874665"/>
        </c:manualLayout>
      </c:layout>
      <c:scatterChart>
        <c:scatterStyle val="smoothMarker"/>
        <c:varyColors val="0"/>
        <c:ser>
          <c:idx val="4"/>
          <c:order val="0"/>
          <c:tx>
            <c:v>L=10uH</c:v>
          </c:tx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Calculator'!$G$70:$M$70</c:f>
              <c:numCache>
                <c:formatCode>0.00</c:formatCode>
                <c:ptCount val="7"/>
                <c:pt idx="0">
                  <c:v>4</c:v>
                </c:pt>
                <c:pt idx="1">
                  <c:v>2.6666666666666665</c:v>
                </c:pt>
                <c:pt idx="2">
                  <c:v>2</c:v>
                </c:pt>
                <c:pt idx="3">
                  <c:v>1.3333333333333333</c:v>
                </c:pt>
                <c:pt idx="4">
                  <c:v>1</c:v>
                </c:pt>
                <c:pt idx="5">
                  <c:v>0.8</c:v>
                </c:pt>
                <c:pt idx="6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0-40B8-83BE-2429D76BB256}"/>
            </c:ext>
          </c:extLst>
        </c:ser>
        <c:ser>
          <c:idx val="3"/>
          <c:order val="1"/>
          <c:tx>
            <c:v>L=15uH</c:v>
          </c:tx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Calculator'!$G$69:$M$69</c:f>
              <c:numCache>
                <c:formatCode>0.00</c:formatCode>
                <c:ptCount val="7"/>
                <c:pt idx="0">
                  <c:v>2.6666666666666665</c:v>
                </c:pt>
                <c:pt idx="1">
                  <c:v>1.7777777777777777</c:v>
                </c:pt>
                <c:pt idx="2">
                  <c:v>1.3333333333333333</c:v>
                </c:pt>
                <c:pt idx="3">
                  <c:v>0.88888888888888884</c:v>
                </c:pt>
                <c:pt idx="4">
                  <c:v>0.66666666666666663</c:v>
                </c:pt>
                <c:pt idx="5">
                  <c:v>0.53333333333333333</c:v>
                </c:pt>
                <c:pt idx="6">
                  <c:v>0.44444444444444442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0-40B8-83BE-2429D76BB256}"/>
            </c:ext>
          </c:extLst>
        </c:ser>
        <c:ser>
          <c:idx val="2"/>
          <c:order val="2"/>
          <c:tx>
            <c:v>L=22uH</c:v>
          </c:tx>
          <c:marker>
            <c:symbol val="plus"/>
            <c:size val="5"/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Calculator'!$G$68:$M$68</c:f>
              <c:numCache>
                <c:formatCode>0.00</c:formatCode>
                <c:ptCount val="7"/>
                <c:pt idx="0">
                  <c:v>1.8181818181818181</c:v>
                </c:pt>
                <c:pt idx="1">
                  <c:v>1.2121212121212122</c:v>
                </c:pt>
                <c:pt idx="2">
                  <c:v>0.90909090909090906</c:v>
                </c:pt>
                <c:pt idx="3">
                  <c:v>0.60606060606060608</c:v>
                </c:pt>
                <c:pt idx="4">
                  <c:v>0.45454545454545453</c:v>
                </c:pt>
                <c:pt idx="5">
                  <c:v>0.36363636363636365</c:v>
                </c:pt>
                <c:pt idx="6">
                  <c:v>0.30303030303030304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0-40B8-83BE-2429D76BB256}"/>
            </c:ext>
          </c:extLst>
        </c:ser>
        <c:ser>
          <c:idx val="1"/>
          <c:order val="3"/>
          <c:tx>
            <c:v>L=33uH</c:v>
          </c:tx>
          <c:marker>
            <c:symbol val="diamond"/>
            <c:size val="5"/>
            <c:spPr>
              <a:noFill/>
            </c:spPr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Calculator'!$G$67:$M$67</c:f>
              <c:numCache>
                <c:formatCode>0.00</c:formatCode>
                <c:ptCount val="7"/>
                <c:pt idx="0">
                  <c:v>1.2121212121212122</c:v>
                </c:pt>
                <c:pt idx="1">
                  <c:v>0.80808080808080807</c:v>
                </c:pt>
                <c:pt idx="2">
                  <c:v>0.60606060606060608</c:v>
                </c:pt>
                <c:pt idx="3">
                  <c:v>0.40404040404040403</c:v>
                </c:pt>
                <c:pt idx="4">
                  <c:v>0.30303030303030304</c:v>
                </c:pt>
                <c:pt idx="5">
                  <c:v>0.24242424242424243</c:v>
                </c:pt>
                <c:pt idx="6">
                  <c:v>0.20202020202020202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0-40B8-83BE-2429D76BB256}"/>
            </c:ext>
          </c:extLst>
        </c:ser>
        <c:ser>
          <c:idx val="0"/>
          <c:order val="4"/>
          <c:tx>
            <c:v>L=47uH</c:v>
          </c:tx>
          <c:marker>
            <c:symbol val="square"/>
            <c:size val="5"/>
            <c:spPr>
              <a:noFill/>
            </c:spPr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Calculator'!$G$66:$M$66</c:f>
              <c:numCache>
                <c:formatCode>0.00</c:formatCode>
                <c:ptCount val="7"/>
                <c:pt idx="0">
                  <c:v>0.85106382978723405</c:v>
                </c:pt>
                <c:pt idx="1">
                  <c:v>0.56737588652482274</c:v>
                </c:pt>
                <c:pt idx="2">
                  <c:v>0.42553191489361702</c:v>
                </c:pt>
                <c:pt idx="3">
                  <c:v>0.28368794326241137</c:v>
                </c:pt>
                <c:pt idx="4">
                  <c:v>0.21276595744680851</c:v>
                </c:pt>
                <c:pt idx="5">
                  <c:v>0.1702127659574468</c:v>
                </c:pt>
                <c:pt idx="6">
                  <c:v>0.14184397163120568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0-40B8-83BE-2429D76B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8624"/>
        <c:axId val="88229376"/>
      </c:scatterChart>
      <c:valAx>
        <c:axId val="88218624"/>
        <c:scaling>
          <c:orientation val="minMax"/>
          <c:max val="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8229376"/>
        <c:crosses val="autoZero"/>
        <c:crossBetween val="midCat"/>
        <c:majorUnit val="0.5"/>
      </c:valAx>
      <c:valAx>
        <c:axId val="88229376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Frequency (MHz)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8218624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1552575</xdr:colOff>
      <xdr:row>67</xdr:row>
      <xdr:rowOff>0</xdr:rowOff>
    </xdr:from>
    <xdr:ext cx="65" cy="206467"/>
    <xdr:sp macro="" textlink="">
      <xdr:nvSpPr>
        <xdr:cNvPr id="2" name="Rectangl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52575" y="10877550"/>
          <a:ext cx="65" cy="2064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oneCellAnchor>
  <xdr:twoCellAnchor editAs="oneCell">
    <xdr:from>
      <xdr:col>1</xdr:col>
      <xdr:colOff>514350</xdr:colOff>
      <xdr:row>67</xdr:row>
      <xdr:rowOff>0</xdr:rowOff>
    </xdr:from>
    <xdr:to>
      <xdr:col>1</xdr:col>
      <xdr:colOff>514350</xdr:colOff>
      <xdr:row>67</xdr:row>
      <xdr:rowOff>104775</xdr:rowOff>
    </xdr:to>
    <xdr:sp macro="" textlink="">
      <xdr:nvSpPr>
        <xdr:cNvPr id="1166" name="Rectangle 368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2971800" y="108775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57150</xdr:colOff>
      <xdr:row>40</xdr:row>
      <xdr:rowOff>28575</xdr:rowOff>
    </xdr:from>
    <xdr:to>
      <xdr:col>12</xdr:col>
      <xdr:colOff>285750</xdr:colOff>
      <xdr:row>59</xdr:row>
      <xdr:rowOff>76200</xdr:rowOff>
    </xdr:to>
    <xdr:graphicFrame macro="">
      <xdr:nvGraphicFramePr>
        <xdr:cNvPr id="1167" name="Chart 5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70</xdr:row>
      <xdr:rowOff>47625</xdr:rowOff>
    </xdr:from>
    <xdr:to>
      <xdr:col>12</xdr:col>
      <xdr:colOff>295275</xdr:colOff>
      <xdr:row>89</xdr:row>
      <xdr:rowOff>95250</xdr:rowOff>
    </xdr:to>
    <xdr:graphicFrame macro="">
      <xdr:nvGraphicFramePr>
        <xdr:cNvPr id="1168" name="Chart 5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390525</xdr:colOff>
      <xdr:row>0</xdr:row>
      <xdr:rowOff>190500</xdr:rowOff>
    </xdr:from>
    <xdr:to>
      <xdr:col>9</xdr:col>
      <xdr:colOff>57150</xdr:colOff>
      <xdr:row>6</xdr:row>
      <xdr:rowOff>114300</xdr:rowOff>
    </xdr:to>
    <xdr:pic>
      <xdr:nvPicPr>
        <xdr:cNvPr id="1169" name="Picture 5" descr="Allegro Logo.jpg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91075" y="190500"/>
          <a:ext cx="40290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U86"/>
  <sheetViews>
    <sheetView tabSelected="1" topLeftCell="A7" workbookViewId="0">
      <selection activeCell="C26" sqref="C26"/>
    </sheetView>
  </sheetViews>
  <sheetFormatPr baseColWidth="10" defaultColWidth="9.140625" defaultRowHeight="12.75" x14ac:dyDescent="0.2"/>
  <cols>
    <col min="1" max="1" width="36.85546875" customWidth="1"/>
    <col min="2" max="2" width="10.7109375" customWidth="1"/>
    <col min="3" max="3" width="9.7109375" customWidth="1"/>
    <col min="4" max="4" width="8.7109375" customWidth="1"/>
    <col min="5" max="5" width="27.7109375" customWidth="1"/>
    <col min="6" max="6" width="10.28515625" customWidth="1"/>
  </cols>
  <sheetData>
    <row r="1" spans="1:6" ht="15.75" x14ac:dyDescent="0.25">
      <c r="A1" s="93" t="s">
        <v>129</v>
      </c>
      <c r="B1" s="93"/>
      <c r="C1" s="93"/>
    </row>
    <row r="2" spans="1:6" ht="15.75" x14ac:dyDescent="0.25">
      <c r="A2" s="2"/>
      <c r="B2" s="1"/>
      <c r="C2" s="69"/>
    </row>
    <row r="3" spans="1:6" ht="15.75" x14ac:dyDescent="0.25">
      <c r="A3" s="3" t="s">
        <v>0</v>
      </c>
      <c r="B3" s="1"/>
      <c r="C3" s="1"/>
    </row>
    <row r="4" spans="1:6" ht="12.75" customHeight="1" x14ac:dyDescent="0.25">
      <c r="A4" s="4" t="s">
        <v>1</v>
      </c>
      <c r="B4" s="1"/>
      <c r="C4" s="5"/>
    </row>
    <row r="5" spans="1:6" ht="12.75" customHeight="1" x14ac:dyDescent="0.2">
      <c r="A5" s="94" t="s">
        <v>2</v>
      </c>
      <c r="B5" s="94"/>
      <c r="C5" s="94"/>
      <c r="D5" s="94"/>
    </row>
    <row r="6" spans="1:6" ht="12.75" customHeight="1" x14ac:dyDescent="0.25">
      <c r="A6" s="4" t="s">
        <v>3</v>
      </c>
      <c r="B6" s="1"/>
      <c r="C6" s="1"/>
    </row>
    <row r="7" spans="1:6" ht="15.75" x14ac:dyDescent="0.25">
      <c r="A7" s="6" t="s">
        <v>4</v>
      </c>
      <c r="B7" s="7"/>
      <c r="C7" s="7"/>
    </row>
    <row r="8" spans="1:6" ht="15.75" x14ac:dyDescent="0.25">
      <c r="A8" s="6"/>
      <c r="B8" s="7"/>
      <c r="C8" s="7"/>
    </row>
    <row r="9" spans="1:6" s="8" customFormat="1" x14ac:dyDescent="0.2">
      <c r="A9" s="71" t="s">
        <v>5</v>
      </c>
      <c r="B9" s="9" t="s">
        <v>88</v>
      </c>
      <c r="C9" s="9" t="s">
        <v>89</v>
      </c>
      <c r="D9" s="8" t="s">
        <v>6</v>
      </c>
      <c r="E9" s="8" t="s">
        <v>7</v>
      </c>
    </row>
    <row r="10" spans="1:6" x14ac:dyDescent="0.2">
      <c r="A10" s="72" t="s">
        <v>8</v>
      </c>
      <c r="B10" s="10" t="s">
        <v>9</v>
      </c>
      <c r="C10" s="87">
        <v>48</v>
      </c>
      <c r="D10" t="s">
        <v>10</v>
      </c>
      <c r="E10" s="6"/>
    </row>
    <row r="11" spans="1:6" x14ac:dyDescent="0.2">
      <c r="A11" s="73" t="s">
        <v>11</v>
      </c>
      <c r="B11" s="10" t="s">
        <v>12</v>
      </c>
      <c r="C11" s="87">
        <v>9</v>
      </c>
      <c r="E11" s="6"/>
    </row>
    <row r="12" spans="1:6" x14ac:dyDescent="0.2">
      <c r="A12" s="73" t="s">
        <v>13</v>
      </c>
      <c r="B12" s="10" t="s">
        <v>14</v>
      </c>
      <c r="C12" s="87">
        <v>3.3</v>
      </c>
      <c r="D12" s="6" t="s">
        <v>10</v>
      </c>
      <c r="E12" s="6"/>
    </row>
    <row r="13" spans="1:6" x14ac:dyDescent="0.2">
      <c r="A13" s="72" t="s">
        <v>15</v>
      </c>
      <c r="B13" s="10" t="s">
        <v>16</v>
      </c>
      <c r="C13" s="12">
        <f>C11*C12+C19</f>
        <v>29.9</v>
      </c>
      <c r="D13" t="s">
        <v>10</v>
      </c>
      <c r="E13" s="6" t="s">
        <v>17</v>
      </c>
    </row>
    <row r="14" spans="1:6" x14ac:dyDescent="0.2">
      <c r="A14" s="73" t="s">
        <v>18</v>
      </c>
      <c r="B14" s="10" t="s">
        <v>19</v>
      </c>
      <c r="C14" s="87">
        <v>0.7</v>
      </c>
      <c r="D14" s="6" t="s">
        <v>20</v>
      </c>
      <c r="E14" s="6"/>
    </row>
    <row r="15" spans="1:6" x14ac:dyDescent="0.2">
      <c r="A15" s="74" t="s">
        <v>21</v>
      </c>
      <c r="B15" s="10"/>
      <c r="C15" s="87">
        <v>30</v>
      </c>
      <c r="D15" s="6" t="s">
        <v>22</v>
      </c>
      <c r="E15" t="s">
        <v>87</v>
      </c>
    </row>
    <row r="16" spans="1:6" x14ac:dyDescent="0.2">
      <c r="A16" s="73" t="s">
        <v>23</v>
      </c>
      <c r="B16" s="10"/>
      <c r="C16" s="13">
        <f>C14*C15/100</f>
        <v>0.21</v>
      </c>
      <c r="D16" s="6" t="s">
        <v>24</v>
      </c>
      <c r="F16" s="14" t="s">
        <v>25</v>
      </c>
    </row>
    <row r="17" spans="1:203" hidden="1" x14ac:dyDescent="0.2">
      <c r="A17" s="72" t="s">
        <v>26</v>
      </c>
      <c r="B17" s="10" t="s">
        <v>27</v>
      </c>
      <c r="C17" s="11">
        <v>350</v>
      </c>
      <c r="D17" t="s">
        <v>28</v>
      </c>
      <c r="E17" s="6" t="s">
        <v>29</v>
      </c>
    </row>
    <row r="18" spans="1:203" x14ac:dyDescent="0.2">
      <c r="A18" s="73" t="s">
        <v>26</v>
      </c>
      <c r="B18" s="10" t="s">
        <v>30</v>
      </c>
      <c r="C18" s="87">
        <v>0.6</v>
      </c>
      <c r="D18" s="6" t="s">
        <v>10</v>
      </c>
      <c r="E18" s="6" t="s">
        <v>31</v>
      </c>
      <c r="F18" s="6" t="s">
        <v>32</v>
      </c>
    </row>
    <row r="19" spans="1:203" x14ac:dyDescent="0.2">
      <c r="A19" s="73" t="s">
        <v>33</v>
      </c>
      <c r="B19" s="10" t="s">
        <v>34</v>
      </c>
      <c r="C19" s="15">
        <v>0.2</v>
      </c>
      <c r="D19" s="6" t="s">
        <v>10</v>
      </c>
      <c r="E19" s="6"/>
      <c r="G19" s="6" t="s">
        <v>35</v>
      </c>
    </row>
    <row r="20" spans="1:203" x14ac:dyDescent="0.2">
      <c r="A20" s="73" t="s">
        <v>36</v>
      </c>
      <c r="B20" s="16"/>
      <c r="C20" s="15">
        <v>0.15</v>
      </c>
      <c r="D20" s="6" t="s">
        <v>37</v>
      </c>
      <c r="E20" s="6"/>
      <c r="F20" t="s">
        <v>38</v>
      </c>
      <c r="G20" s="17">
        <v>0.5</v>
      </c>
      <c r="H20" s="18">
        <v>0.75</v>
      </c>
      <c r="I20" s="18">
        <v>1</v>
      </c>
      <c r="J20" s="18">
        <v>1.5</v>
      </c>
      <c r="K20" s="18">
        <v>2</v>
      </c>
      <c r="L20" s="18">
        <v>2.5</v>
      </c>
      <c r="M20" s="19">
        <v>3</v>
      </c>
    </row>
    <row r="21" spans="1:203" x14ac:dyDescent="0.2">
      <c r="A21" s="73" t="s">
        <v>39</v>
      </c>
      <c r="B21" s="16"/>
      <c r="C21" s="15">
        <v>0.15</v>
      </c>
      <c r="D21" s="6" t="s">
        <v>37</v>
      </c>
      <c r="E21" s="6"/>
      <c r="F21" s="20">
        <v>0.33329999999999999</v>
      </c>
      <c r="G21" s="21">
        <v>180</v>
      </c>
      <c r="H21" s="22">
        <v>120</v>
      </c>
      <c r="I21" s="22">
        <v>90</v>
      </c>
      <c r="J21" s="22">
        <v>60</v>
      </c>
      <c r="K21" s="22">
        <v>45</v>
      </c>
      <c r="L21" s="22">
        <v>36</v>
      </c>
      <c r="M21" s="23">
        <v>30</v>
      </c>
    </row>
    <row r="22" spans="1:203" x14ac:dyDescent="0.2">
      <c r="A22" s="73" t="s">
        <v>40</v>
      </c>
      <c r="B22" s="10" t="s">
        <v>41</v>
      </c>
      <c r="C22" s="68">
        <v>1.3899999999999999E-2</v>
      </c>
      <c r="E22" s="70" t="s">
        <v>85</v>
      </c>
      <c r="F22" s="24">
        <v>0.5</v>
      </c>
      <c r="G22" s="25">
        <v>120</v>
      </c>
      <c r="H22" s="26">
        <v>80</v>
      </c>
      <c r="I22" s="26">
        <v>60</v>
      </c>
      <c r="J22" s="26">
        <v>40</v>
      </c>
      <c r="K22" s="26">
        <v>30</v>
      </c>
      <c r="L22" s="26">
        <v>24</v>
      </c>
      <c r="M22" s="27">
        <v>20</v>
      </c>
    </row>
    <row r="23" spans="1:203" x14ac:dyDescent="0.2">
      <c r="A23" s="73" t="s">
        <v>42</v>
      </c>
      <c r="B23" s="10" t="s">
        <v>43</v>
      </c>
      <c r="C23" s="28">
        <f>(C13+C18)/(C10+C18)</f>
        <v>0.62757201646090532</v>
      </c>
      <c r="E23" s="6" t="s">
        <v>44</v>
      </c>
      <c r="F23" s="24">
        <v>0.75</v>
      </c>
      <c r="G23" s="25">
        <v>80</v>
      </c>
      <c r="H23" s="26">
        <v>53.3</v>
      </c>
      <c r="I23" s="26">
        <v>40</v>
      </c>
      <c r="J23" s="26">
        <v>26.7</v>
      </c>
      <c r="K23" s="26">
        <v>20</v>
      </c>
      <c r="L23" s="26">
        <v>16</v>
      </c>
      <c r="M23" s="27">
        <v>13.3</v>
      </c>
    </row>
    <row r="24" spans="1:203" x14ac:dyDescent="0.2">
      <c r="A24" s="73" t="s">
        <v>45</v>
      </c>
      <c r="B24" s="10"/>
      <c r="C24" s="29">
        <f>C19/C14</f>
        <v>0.28571428571428575</v>
      </c>
      <c r="D24" s="6" t="s">
        <v>46</v>
      </c>
      <c r="E24" s="30" t="s">
        <v>47</v>
      </c>
      <c r="F24" s="31">
        <v>1</v>
      </c>
      <c r="G24" s="32">
        <v>60</v>
      </c>
      <c r="H24" s="33">
        <v>40</v>
      </c>
      <c r="I24" s="33">
        <v>30</v>
      </c>
      <c r="J24" s="33">
        <v>20</v>
      </c>
      <c r="K24" s="33">
        <v>15</v>
      </c>
      <c r="L24" s="33">
        <v>12</v>
      </c>
      <c r="M24" s="34">
        <v>10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</row>
    <row r="25" spans="1:203" x14ac:dyDescent="0.2">
      <c r="A25" s="75" t="s">
        <v>48</v>
      </c>
      <c r="B25" s="10" t="s">
        <v>49</v>
      </c>
      <c r="C25" s="88">
        <v>0.3</v>
      </c>
      <c r="D25" s="6" t="s">
        <v>46</v>
      </c>
      <c r="E25" s="13"/>
      <c r="F25" s="31">
        <v>1.5</v>
      </c>
      <c r="G25" s="32">
        <v>40</v>
      </c>
      <c r="H25" s="33">
        <v>26.7</v>
      </c>
      <c r="I25" s="33">
        <v>20</v>
      </c>
      <c r="J25" s="33">
        <v>13.3</v>
      </c>
      <c r="K25" s="33">
        <v>10</v>
      </c>
      <c r="L25" s="33">
        <v>8</v>
      </c>
      <c r="M25" s="34">
        <v>6.7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</row>
    <row r="26" spans="1:203" x14ac:dyDescent="0.2">
      <c r="A26" s="72" t="s">
        <v>50</v>
      </c>
      <c r="B26" s="16" t="s">
        <v>19</v>
      </c>
      <c r="C26" s="35">
        <f>C19/C25</f>
        <v>0.66666666666666674</v>
      </c>
      <c r="D26" s="6" t="s">
        <v>20</v>
      </c>
      <c r="E26" s="13" t="s">
        <v>51</v>
      </c>
      <c r="F26" s="36">
        <v>2</v>
      </c>
      <c r="G26" s="37">
        <v>30</v>
      </c>
      <c r="H26" s="38">
        <v>20</v>
      </c>
      <c r="I26" s="38">
        <v>15</v>
      </c>
      <c r="J26" s="38">
        <v>10</v>
      </c>
      <c r="K26" s="38">
        <v>7.5</v>
      </c>
      <c r="L26" s="38">
        <v>6</v>
      </c>
      <c r="M26" s="39">
        <v>5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</row>
    <row r="27" spans="1:203" x14ac:dyDescent="0.2">
      <c r="A27" s="73" t="s">
        <v>52</v>
      </c>
      <c r="B27" s="10"/>
      <c r="C27" s="89">
        <v>1</v>
      </c>
      <c r="D27" t="s">
        <v>53</v>
      </c>
      <c r="E27" s="1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</row>
    <row r="28" spans="1:203" x14ac:dyDescent="0.2">
      <c r="A28" s="73" t="s">
        <v>54</v>
      </c>
      <c r="B28" s="16"/>
      <c r="C28" s="40">
        <f>1/(C27*C22) -5</f>
        <v>66.942446043165475</v>
      </c>
      <c r="D28" t="s">
        <v>55</v>
      </c>
      <c r="E28" s="68" t="s">
        <v>84</v>
      </c>
      <c r="F28" s="15"/>
      <c r="G28" s="13" t="s">
        <v>56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</row>
    <row r="29" spans="1:203" x14ac:dyDescent="0.2">
      <c r="A29" s="75" t="s">
        <v>57</v>
      </c>
      <c r="B29" s="10" t="s">
        <v>58</v>
      </c>
      <c r="C29" s="90">
        <v>47</v>
      </c>
      <c r="D29" t="s">
        <v>55</v>
      </c>
      <c r="E29" s="13"/>
      <c r="F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</row>
    <row r="30" spans="1:203" x14ac:dyDescent="0.2">
      <c r="A30" s="73" t="s">
        <v>59</v>
      </c>
      <c r="B30" s="10" t="s">
        <v>60</v>
      </c>
      <c r="C30" s="41">
        <f>1/(C22*(C29+5))</f>
        <v>1.3835085777531821</v>
      </c>
      <c r="D30" s="6" t="s">
        <v>53</v>
      </c>
      <c r="E30" s="13"/>
      <c r="F30" s="42" t="s">
        <v>61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</row>
    <row r="31" spans="1:203" x14ac:dyDescent="0.2">
      <c r="A31" s="73" t="s">
        <v>62</v>
      </c>
      <c r="B31" s="10" t="s">
        <v>63</v>
      </c>
      <c r="C31" s="43">
        <f>C22*(C29+5)*C13/C10</f>
        <v>0.45024416666666661</v>
      </c>
      <c r="D31" s="6" t="s">
        <v>37</v>
      </c>
      <c r="E31" s="15" t="s">
        <v>86</v>
      </c>
      <c r="F31" s="15"/>
      <c r="G31" s="13" t="s">
        <v>35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</row>
    <row r="32" spans="1:203" x14ac:dyDescent="0.2">
      <c r="A32" s="76" t="str">
        <f>IF(C31&lt;C20,"Min T_on violated, Select lower frequency or higher Vout","")</f>
        <v/>
      </c>
      <c r="B32" s="10"/>
      <c r="C32" s="43"/>
      <c r="D32" s="6"/>
      <c r="E32" s="13"/>
      <c r="F32" s="45" t="s">
        <v>64</v>
      </c>
      <c r="G32" s="17">
        <v>0.5</v>
      </c>
      <c r="H32" s="18">
        <v>0.75</v>
      </c>
      <c r="I32" s="18">
        <v>1</v>
      </c>
      <c r="J32" s="18">
        <v>1.5</v>
      </c>
      <c r="K32" s="18">
        <v>2</v>
      </c>
      <c r="L32" s="18">
        <v>2.5</v>
      </c>
      <c r="M32" s="19">
        <v>3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</row>
    <row r="33" spans="1:203" x14ac:dyDescent="0.2">
      <c r="A33" s="73" t="s">
        <v>65</v>
      </c>
      <c r="B33" s="10" t="s">
        <v>66</v>
      </c>
      <c r="C33" s="43">
        <f>1/C30 - C31</f>
        <v>0.27255583333333339</v>
      </c>
      <c r="D33" s="6" t="s">
        <v>37</v>
      </c>
      <c r="E33" s="13" t="s">
        <v>67</v>
      </c>
      <c r="F33" s="46">
        <v>47</v>
      </c>
      <c r="G33" s="47">
        <f t="shared" ref="G33:M37" si="0">30/$F33/G$32</f>
        <v>1.2765957446808511</v>
      </c>
      <c r="H33" s="48">
        <f t="shared" si="0"/>
        <v>0.85106382978723405</v>
      </c>
      <c r="I33" s="48">
        <f t="shared" si="0"/>
        <v>0.63829787234042556</v>
      </c>
      <c r="J33" s="48">
        <f t="shared" si="0"/>
        <v>0.42553191489361702</v>
      </c>
      <c r="K33" s="48">
        <f t="shared" si="0"/>
        <v>0.31914893617021278</v>
      </c>
      <c r="L33" s="48">
        <f t="shared" si="0"/>
        <v>0.25531914893617025</v>
      </c>
      <c r="M33" s="49">
        <f t="shared" si="0"/>
        <v>0.21276595744680851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</row>
    <row r="34" spans="1:203" x14ac:dyDescent="0.2">
      <c r="A34" s="76" t="str">
        <f>IF(C33&lt;C21,"Min T_off violated, Select lower frequency or lower Vout","")</f>
        <v/>
      </c>
      <c r="B34" s="10"/>
      <c r="C34" s="43"/>
      <c r="D34" s="6"/>
      <c r="E34" s="13"/>
      <c r="F34" s="31">
        <v>33</v>
      </c>
      <c r="G34" s="50">
        <f t="shared" si="0"/>
        <v>1.8181818181818181</v>
      </c>
      <c r="H34" s="51">
        <f t="shared" si="0"/>
        <v>1.2121212121212122</v>
      </c>
      <c r="I34" s="51">
        <f t="shared" si="0"/>
        <v>0.90909090909090906</v>
      </c>
      <c r="J34" s="51">
        <f t="shared" si="0"/>
        <v>0.60606060606060608</v>
      </c>
      <c r="K34" s="51">
        <f t="shared" si="0"/>
        <v>0.45454545454545453</v>
      </c>
      <c r="L34" s="51">
        <f t="shared" si="0"/>
        <v>0.36363636363636365</v>
      </c>
      <c r="M34" s="52">
        <f t="shared" si="0"/>
        <v>0.30303030303030304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</row>
    <row r="35" spans="1:203" x14ac:dyDescent="0.2">
      <c r="A35" s="72" t="s">
        <v>90</v>
      </c>
      <c r="B35" s="16"/>
      <c r="C35" s="40">
        <f>(C10-C13)*C31/C16</f>
        <v>38.806759126984126</v>
      </c>
      <c r="D35" t="s">
        <v>68</v>
      </c>
      <c r="E35" s="13" t="s">
        <v>69</v>
      </c>
      <c r="F35" s="31">
        <v>22</v>
      </c>
      <c r="G35" s="50">
        <f t="shared" si="0"/>
        <v>2.7272727272727271</v>
      </c>
      <c r="H35" s="51">
        <f t="shared" si="0"/>
        <v>1.8181818181818181</v>
      </c>
      <c r="I35" s="51">
        <f t="shared" si="0"/>
        <v>1.3636363636363635</v>
      </c>
      <c r="J35" s="51">
        <f t="shared" si="0"/>
        <v>0.90909090909090906</v>
      </c>
      <c r="K35" s="51">
        <f t="shared" si="0"/>
        <v>0.68181818181818177</v>
      </c>
      <c r="L35" s="51">
        <f t="shared" si="0"/>
        <v>0.54545454545454541</v>
      </c>
      <c r="M35" s="52">
        <f t="shared" si="0"/>
        <v>0.45454545454545453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</row>
    <row r="36" spans="1:203" x14ac:dyDescent="0.2">
      <c r="A36" s="75" t="s">
        <v>70</v>
      </c>
      <c r="B36" s="10" t="s">
        <v>71</v>
      </c>
      <c r="C36" s="90">
        <v>47</v>
      </c>
      <c r="D36" t="s">
        <v>68</v>
      </c>
      <c r="E36" s="13"/>
      <c r="F36" s="31">
        <v>15</v>
      </c>
      <c r="G36" s="50">
        <f t="shared" si="0"/>
        <v>4</v>
      </c>
      <c r="H36" s="51">
        <f t="shared" si="0"/>
        <v>2.6666666666666665</v>
      </c>
      <c r="I36" s="51">
        <f t="shared" si="0"/>
        <v>2</v>
      </c>
      <c r="J36" s="51">
        <f t="shared" si="0"/>
        <v>1.3333333333333333</v>
      </c>
      <c r="K36" s="51">
        <f t="shared" si="0"/>
        <v>1</v>
      </c>
      <c r="L36" s="51">
        <f t="shared" si="0"/>
        <v>0.8</v>
      </c>
      <c r="M36" s="52">
        <f t="shared" si="0"/>
        <v>0.66666666666666663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</row>
    <row r="37" spans="1:203" x14ac:dyDescent="0.2">
      <c r="A37" s="73" t="s">
        <v>72</v>
      </c>
      <c r="B37" s="10" t="s">
        <v>73</v>
      </c>
      <c r="C37" s="53">
        <f>(C10-C13)/C36*C31</f>
        <v>0.17339190248226952</v>
      </c>
      <c r="D37" s="6" t="s">
        <v>20</v>
      </c>
      <c r="E37" s="13"/>
      <c r="F37" s="36">
        <v>10</v>
      </c>
      <c r="G37" s="54">
        <f t="shared" si="0"/>
        <v>6</v>
      </c>
      <c r="H37" s="55">
        <f t="shared" si="0"/>
        <v>4</v>
      </c>
      <c r="I37" s="55">
        <f t="shared" si="0"/>
        <v>3</v>
      </c>
      <c r="J37" s="55">
        <f t="shared" si="0"/>
        <v>2</v>
      </c>
      <c r="K37" s="55">
        <f t="shared" si="0"/>
        <v>1.5</v>
      </c>
      <c r="L37" s="55">
        <f t="shared" si="0"/>
        <v>1.2</v>
      </c>
      <c r="M37" s="56">
        <f t="shared" si="0"/>
        <v>1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</row>
    <row r="38" spans="1:203" x14ac:dyDescent="0.2">
      <c r="A38" s="73" t="s">
        <v>74</v>
      </c>
      <c r="B38" s="10" t="s">
        <v>75</v>
      </c>
      <c r="C38" s="53">
        <f>(C26+C37/2) * 1.2</f>
        <v>0.9040351414893617</v>
      </c>
      <c r="D38" s="6" t="s">
        <v>20</v>
      </c>
      <c r="E38" s="13" t="s">
        <v>76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</row>
    <row r="39" spans="1:203" x14ac:dyDescent="0.2">
      <c r="A39" s="73" t="s">
        <v>77</v>
      </c>
      <c r="B39" s="10" t="s">
        <v>78</v>
      </c>
      <c r="C39" s="57">
        <f>C37*C25</f>
        <v>5.2017570744680851E-2</v>
      </c>
      <c r="D39" s="6" t="s">
        <v>79</v>
      </c>
      <c r="E39" s="13" t="s">
        <v>80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</row>
    <row r="40" spans="1:203" x14ac:dyDescent="0.2">
      <c r="A40" s="44" t="str">
        <f>IF(C39&lt;0.02, "Ripple voltage too low. Select an inductor that produces a voltage greater than 0.02V","")</f>
        <v/>
      </c>
      <c r="C40" s="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</row>
    <row r="41" spans="1:203" x14ac:dyDescent="0.2">
      <c r="A41" s="8" t="s">
        <v>81</v>
      </c>
      <c r="C41" s="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</row>
    <row r="42" spans="1:203" x14ac:dyDescent="0.2">
      <c r="A42" s="72" t="s">
        <v>82</v>
      </c>
      <c r="C42" s="59">
        <f>C30</f>
        <v>1.3835085777531821</v>
      </c>
      <c r="D42" t="s">
        <v>53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</row>
    <row r="43" spans="1:203" x14ac:dyDescent="0.2">
      <c r="A43" s="72" t="str">
        <f xml:space="preserve"> "Average LED current with Rs= " &amp; TEXT(C25,"###") &amp; "mOhm"</f>
        <v>Average LED current with Rs= mOhm</v>
      </c>
      <c r="C43" s="60">
        <f>C26</f>
        <v>0.66666666666666674</v>
      </c>
      <c r="D43" s="6" t="s">
        <v>20</v>
      </c>
      <c r="E43" s="61"/>
      <c r="F43" s="62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</row>
    <row r="44" spans="1:203" x14ac:dyDescent="0.2">
      <c r="A44" s="72" t="str">
        <f xml:space="preserve"> "LED ripple current with L= " &amp; TEXT(C36,"###") &amp; "uH"</f>
        <v>LED ripple current with L= 47uH</v>
      </c>
      <c r="C44" s="60">
        <f>C37</f>
        <v>0.17339190248226952</v>
      </c>
      <c r="D44" s="6" t="s">
        <v>24</v>
      </c>
      <c r="E44" s="1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</row>
    <row r="45" spans="1:203" x14ac:dyDescent="0.2">
      <c r="A45" s="73" t="s">
        <v>21</v>
      </c>
      <c r="C45" s="63">
        <f>C44*100/C43</f>
        <v>26.008785372340427</v>
      </c>
      <c r="D45" t="s">
        <v>22</v>
      </c>
      <c r="E45" s="13"/>
    </row>
    <row r="46" spans="1:203" x14ac:dyDescent="0.2">
      <c r="A46" s="6"/>
      <c r="C46" s="64"/>
      <c r="E46" s="13"/>
    </row>
    <row r="47" spans="1:203" x14ac:dyDescent="0.2">
      <c r="A47" s="85" t="s">
        <v>126</v>
      </c>
      <c r="C47" s="64"/>
      <c r="E47" s="13"/>
    </row>
    <row r="48" spans="1:203" x14ac:dyDescent="0.2">
      <c r="A48" s="77" t="s">
        <v>125</v>
      </c>
      <c r="C48" s="64"/>
      <c r="E48" s="13"/>
    </row>
    <row r="49" spans="1:13" x14ac:dyDescent="0.2">
      <c r="A49" s="72" t="s">
        <v>91</v>
      </c>
      <c r="B49" s="16" t="s">
        <v>9</v>
      </c>
      <c r="C49" s="91">
        <f>C10</f>
        <v>48</v>
      </c>
      <c r="D49" t="s">
        <v>10</v>
      </c>
      <c r="E49" s="13"/>
    </row>
    <row r="50" spans="1:13" x14ac:dyDescent="0.2">
      <c r="A50" s="72" t="s">
        <v>92</v>
      </c>
      <c r="B50" s="26" t="s">
        <v>93</v>
      </c>
      <c r="C50" s="91">
        <v>35</v>
      </c>
      <c r="D50" s="66" t="s">
        <v>94</v>
      </c>
      <c r="E50" s="15" t="s">
        <v>95</v>
      </c>
    </row>
    <row r="51" spans="1:13" x14ac:dyDescent="0.2">
      <c r="A51" s="72" t="s">
        <v>97</v>
      </c>
      <c r="B51" s="26" t="s">
        <v>98</v>
      </c>
      <c r="C51" s="91">
        <v>0.4</v>
      </c>
      <c r="D51" s="66" t="s">
        <v>46</v>
      </c>
      <c r="E51" s="15" t="s">
        <v>99</v>
      </c>
    </row>
    <row r="52" spans="1:13" x14ac:dyDescent="0.2">
      <c r="A52" s="72" t="s">
        <v>101</v>
      </c>
      <c r="B52" s="26"/>
      <c r="C52" s="92">
        <v>0.6</v>
      </c>
      <c r="D52" s="65"/>
      <c r="E52" s="15" t="s">
        <v>100</v>
      </c>
    </row>
    <row r="53" spans="1:13" x14ac:dyDescent="0.2">
      <c r="A53" s="72" t="s">
        <v>15</v>
      </c>
      <c r="B53" s="10" t="s">
        <v>16</v>
      </c>
      <c r="C53" s="79">
        <f>C13</f>
        <v>29.9</v>
      </c>
      <c r="D53" t="s">
        <v>10</v>
      </c>
      <c r="E53" s="15" t="s">
        <v>96</v>
      </c>
    </row>
    <row r="54" spans="1:13" x14ac:dyDescent="0.2">
      <c r="A54" s="73" t="s">
        <v>42</v>
      </c>
      <c r="B54" s="10" t="s">
        <v>43</v>
      </c>
      <c r="C54" s="28">
        <f>(C53+C18)/(C49+C18)</f>
        <v>0.62757201646090532</v>
      </c>
      <c r="E54" s="6" t="s">
        <v>44</v>
      </c>
    </row>
    <row r="55" spans="1:13" x14ac:dyDescent="0.2">
      <c r="A55" s="72" t="s">
        <v>50</v>
      </c>
      <c r="B55" s="16" t="s">
        <v>19</v>
      </c>
      <c r="C55" s="79">
        <f>C26</f>
        <v>0.66666666666666674</v>
      </c>
      <c r="D55" t="s">
        <v>20</v>
      </c>
      <c r="E55" s="15" t="s">
        <v>96</v>
      </c>
    </row>
    <row r="56" spans="1:13" x14ac:dyDescent="0.2">
      <c r="A56" s="72" t="s">
        <v>102</v>
      </c>
      <c r="B56" s="16" t="s">
        <v>103</v>
      </c>
      <c r="C56" s="81">
        <f>C55*C55*C51*(1+C52) * C54</f>
        <v>0.178509373571102</v>
      </c>
      <c r="D56" t="s">
        <v>104</v>
      </c>
      <c r="E56" s="15" t="s">
        <v>105</v>
      </c>
    </row>
    <row r="57" spans="1:13" x14ac:dyDescent="0.2">
      <c r="A57" s="72"/>
      <c r="B57" s="16"/>
      <c r="C57" s="79"/>
      <c r="E57" s="15"/>
    </row>
    <row r="58" spans="1:13" x14ac:dyDescent="0.2">
      <c r="A58" s="72" t="s">
        <v>82</v>
      </c>
      <c r="B58" s="10" t="s">
        <v>60</v>
      </c>
      <c r="C58" s="79">
        <f>C30</f>
        <v>1.3835085777531821</v>
      </c>
      <c r="D58" t="s">
        <v>53</v>
      </c>
      <c r="E58" s="15" t="s">
        <v>96</v>
      </c>
    </row>
    <row r="59" spans="1:13" x14ac:dyDescent="0.2">
      <c r="A59" s="72" t="s">
        <v>106</v>
      </c>
      <c r="B59" s="80" t="s">
        <v>107</v>
      </c>
      <c r="C59" s="78">
        <v>5</v>
      </c>
      <c r="D59" t="s">
        <v>108</v>
      </c>
      <c r="E59" s="86" t="s">
        <v>128</v>
      </c>
    </row>
    <row r="60" spans="1:13" x14ac:dyDescent="0.2">
      <c r="A60" s="72" t="s">
        <v>109</v>
      </c>
      <c r="B60" s="80" t="s">
        <v>110</v>
      </c>
      <c r="C60" s="79">
        <v>10</v>
      </c>
      <c r="D60" t="s">
        <v>108</v>
      </c>
      <c r="E60" s="15" t="s">
        <v>127</v>
      </c>
    </row>
    <row r="61" spans="1:13" x14ac:dyDescent="0.2">
      <c r="A61" s="72" t="s">
        <v>111</v>
      </c>
      <c r="B61" s="80" t="s">
        <v>112</v>
      </c>
      <c r="C61" s="81">
        <f>C49*C55*(C59+C60)/2000 *C58</f>
        <v>0.33204205866076369</v>
      </c>
      <c r="D61" t="s">
        <v>104</v>
      </c>
      <c r="E61" s="15" t="s">
        <v>113</v>
      </c>
    </row>
    <row r="62" spans="1:13" x14ac:dyDescent="0.2">
      <c r="A62" s="6"/>
      <c r="C62" s="78"/>
      <c r="E62" s="13"/>
    </row>
    <row r="63" spans="1:13" x14ac:dyDescent="0.2">
      <c r="A63" s="72" t="s">
        <v>114</v>
      </c>
      <c r="B63" s="80" t="s">
        <v>115</v>
      </c>
      <c r="C63" s="81">
        <f>C56+C61</f>
        <v>0.51055143223186572</v>
      </c>
      <c r="D63" t="s">
        <v>104</v>
      </c>
      <c r="E63" s="15" t="s">
        <v>116</v>
      </c>
      <c r="F63" s="42" t="s">
        <v>83</v>
      </c>
      <c r="G63" s="15"/>
      <c r="H63" s="15"/>
      <c r="I63" s="15"/>
      <c r="J63" s="15"/>
      <c r="K63" s="15"/>
      <c r="L63" s="15"/>
      <c r="M63" s="15"/>
    </row>
    <row r="64" spans="1:13" x14ac:dyDescent="0.2">
      <c r="A64" s="72" t="s">
        <v>117</v>
      </c>
      <c r="B64" s="80" t="s">
        <v>118</v>
      </c>
      <c r="C64" s="83">
        <f>C63*C50</f>
        <v>17.869300128115299</v>
      </c>
      <c r="D64" s="66" t="s">
        <v>119</v>
      </c>
      <c r="E64" s="13"/>
      <c r="F64" s="15"/>
      <c r="G64" s="13" t="s">
        <v>35</v>
      </c>
      <c r="H64" s="15"/>
      <c r="I64" s="15"/>
      <c r="J64" s="15"/>
      <c r="K64" s="15"/>
      <c r="L64" s="15"/>
      <c r="M64" s="15"/>
    </row>
    <row r="65" spans="1:13" x14ac:dyDescent="0.2">
      <c r="A65" s="72" t="s">
        <v>120</v>
      </c>
      <c r="B65" s="80" t="s">
        <v>121</v>
      </c>
      <c r="C65" s="91">
        <v>85</v>
      </c>
      <c r="D65" s="66" t="s">
        <v>119</v>
      </c>
      <c r="E65" s="13"/>
      <c r="F65" s="45" t="s">
        <v>64</v>
      </c>
      <c r="G65" s="17">
        <v>0.5</v>
      </c>
      <c r="H65" s="18">
        <v>0.75</v>
      </c>
      <c r="I65" s="18">
        <v>1</v>
      </c>
      <c r="J65" s="18">
        <v>1.5</v>
      </c>
      <c r="K65" s="18">
        <v>2</v>
      </c>
      <c r="L65" s="18">
        <v>2.5</v>
      </c>
      <c r="M65" s="19">
        <v>3</v>
      </c>
    </row>
    <row r="66" spans="1:13" x14ac:dyDescent="0.2">
      <c r="A66" s="72" t="s">
        <v>123</v>
      </c>
      <c r="B66" s="80" t="s">
        <v>122</v>
      </c>
      <c r="C66" s="82">
        <f>C65+C64</f>
        <v>102.8693001281153</v>
      </c>
      <c r="D66" s="66" t="s">
        <v>119</v>
      </c>
      <c r="E66" s="13"/>
      <c r="F66" s="46">
        <v>47</v>
      </c>
      <c r="G66" s="47">
        <f>20/$F66/G$32</f>
        <v>0.85106382978723405</v>
      </c>
      <c r="H66" s="48">
        <f t="shared" ref="H66:M66" si="1">20/$F66/H$32</f>
        <v>0.56737588652482274</v>
      </c>
      <c r="I66" s="48">
        <f t="shared" si="1"/>
        <v>0.42553191489361702</v>
      </c>
      <c r="J66" s="48">
        <f t="shared" si="1"/>
        <v>0.28368794326241137</v>
      </c>
      <c r="K66" s="48">
        <f t="shared" si="1"/>
        <v>0.21276595744680851</v>
      </c>
      <c r="L66" s="48">
        <f t="shared" si="1"/>
        <v>0.1702127659574468</v>
      </c>
      <c r="M66" s="49">
        <f t="shared" si="1"/>
        <v>0.14184397163120568</v>
      </c>
    </row>
    <row r="67" spans="1:13" x14ac:dyDescent="0.2">
      <c r="A67" s="6"/>
      <c r="C67" s="64"/>
      <c r="E67" s="13"/>
      <c r="F67" s="31">
        <v>33</v>
      </c>
      <c r="G67" s="50">
        <f t="shared" ref="G67:M70" si="2">20/$F67/G$32</f>
        <v>1.2121212121212122</v>
      </c>
      <c r="H67" s="51">
        <f t="shared" si="2"/>
        <v>0.80808080808080807</v>
      </c>
      <c r="I67" s="51">
        <f t="shared" si="2"/>
        <v>0.60606060606060608</v>
      </c>
      <c r="J67" s="51">
        <f t="shared" si="2"/>
        <v>0.40404040404040403</v>
      </c>
      <c r="K67" s="51">
        <f t="shared" si="2"/>
        <v>0.30303030303030304</v>
      </c>
      <c r="L67" s="51">
        <f t="shared" si="2"/>
        <v>0.24242424242424243</v>
      </c>
      <c r="M67" s="52">
        <f t="shared" si="2"/>
        <v>0.20202020202020202</v>
      </c>
    </row>
    <row r="68" spans="1:13" x14ac:dyDescent="0.2">
      <c r="A68" s="84" t="s">
        <v>124</v>
      </c>
      <c r="B68" s="65"/>
      <c r="C68" s="65"/>
      <c r="D68" s="65"/>
      <c r="E68" s="65"/>
      <c r="F68" s="31">
        <v>22</v>
      </c>
      <c r="G68" s="50">
        <f t="shared" si="2"/>
        <v>1.8181818181818181</v>
      </c>
      <c r="H68" s="51">
        <f t="shared" si="2"/>
        <v>1.2121212121212122</v>
      </c>
      <c r="I68" s="51">
        <f t="shared" si="2"/>
        <v>0.90909090909090906</v>
      </c>
      <c r="J68" s="51">
        <f t="shared" si="2"/>
        <v>0.60606060606060608</v>
      </c>
      <c r="K68" s="51">
        <f t="shared" si="2"/>
        <v>0.45454545454545453</v>
      </c>
      <c r="L68" s="51">
        <f t="shared" si="2"/>
        <v>0.36363636363636365</v>
      </c>
      <c r="M68" s="52">
        <f t="shared" si="2"/>
        <v>0.30303030303030304</v>
      </c>
    </row>
    <row r="69" spans="1:13" x14ac:dyDescent="0.2">
      <c r="A69" s="66"/>
      <c r="B69" s="66"/>
      <c r="C69" s="66"/>
      <c r="D69" s="66"/>
      <c r="E69" s="66"/>
      <c r="F69" s="31">
        <v>15</v>
      </c>
      <c r="G69" s="50">
        <f t="shared" si="2"/>
        <v>2.6666666666666665</v>
      </c>
      <c r="H69" s="51">
        <f t="shared" si="2"/>
        <v>1.7777777777777777</v>
      </c>
      <c r="I69" s="51">
        <f t="shared" si="2"/>
        <v>1.3333333333333333</v>
      </c>
      <c r="J69" s="51">
        <f t="shared" si="2"/>
        <v>0.88888888888888884</v>
      </c>
      <c r="K69" s="51">
        <f t="shared" si="2"/>
        <v>0.66666666666666663</v>
      </c>
      <c r="L69" s="51">
        <f t="shared" si="2"/>
        <v>0.53333333333333333</v>
      </c>
      <c r="M69" s="52">
        <f t="shared" si="2"/>
        <v>0.44444444444444442</v>
      </c>
    </row>
    <row r="70" spans="1:13" x14ac:dyDescent="0.2">
      <c r="A70" s="66"/>
      <c r="B70" s="66"/>
      <c r="C70" s="66"/>
      <c r="D70" s="66"/>
      <c r="E70" s="66"/>
      <c r="F70" s="36">
        <v>10</v>
      </c>
      <c r="G70" s="54">
        <f t="shared" si="2"/>
        <v>4</v>
      </c>
      <c r="H70" s="55">
        <f t="shared" si="2"/>
        <v>2.6666666666666665</v>
      </c>
      <c r="I70" s="55">
        <f t="shared" si="2"/>
        <v>2</v>
      </c>
      <c r="J70" s="55">
        <f t="shared" si="2"/>
        <v>1.3333333333333333</v>
      </c>
      <c r="K70" s="55">
        <f t="shared" si="2"/>
        <v>1</v>
      </c>
      <c r="L70" s="55">
        <f t="shared" si="2"/>
        <v>0.8</v>
      </c>
      <c r="M70" s="56">
        <f t="shared" si="2"/>
        <v>0.66666666666666663</v>
      </c>
    </row>
    <row r="71" spans="1:13" x14ac:dyDescent="0.2">
      <c r="A71" s="66"/>
      <c r="B71" s="66"/>
      <c r="C71" s="66"/>
      <c r="D71" s="66"/>
      <c r="E71" s="66"/>
      <c r="F71" s="15"/>
      <c r="G71" s="15"/>
      <c r="H71" s="15"/>
      <c r="I71" s="15"/>
      <c r="J71" s="15"/>
      <c r="K71" s="15"/>
      <c r="L71" s="15"/>
      <c r="M71" s="15"/>
    </row>
    <row r="72" spans="1:13" x14ac:dyDescent="0.2">
      <c r="A72" s="66"/>
      <c r="B72" s="66"/>
      <c r="C72" s="66"/>
      <c r="D72" s="66"/>
      <c r="E72" s="66"/>
      <c r="F72" s="15"/>
      <c r="G72" s="15"/>
      <c r="H72" s="15"/>
      <c r="I72" s="15"/>
      <c r="J72" s="15"/>
      <c r="K72" s="15"/>
      <c r="L72" s="15"/>
      <c r="M72" s="15"/>
    </row>
    <row r="73" spans="1:13" x14ac:dyDescent="0.2">
      <c r="A73" s="66"/>
      <c r="B73" s="66"/>
      <c r="C73" s="66"/>
      <c r="D73" s="66"/>
      <c r="E73" s="66"/>
      <c r="F73" s="15"/>
      <c r="G73" s="15"/>
      <c r="H73" s="15"/>
      <c r="I73" s="15"/>
      <c r="J73" s="15"/>
      <c r="K73" s="15"/>
      <c r="L73" s="15"/>
      <c r="M73" s="15"/>
    </row>
    <row r="74" spans="1:13" x14ac:dyDescent="0.2">
      <c r="A74" s="66"/>
      <c r="B74" s="66"/>
      <c r="C74" s="66"/>
      <c r="D74" s="66"/>
      <c r="E74" s="66"/>
      <c r="F74" s="15"/>
      <c r="G74" s="15"/>
      <c r="H74" s="15"/>
      <c r="I74" s="15"/>
      <c r="J74" s="15"/>
      <c r="K74" s="15"/>
      <c r="L74" s="15"/>
      <c r="M74" s="15"/>
    </row>
    <row r="75" spans="1:13" x14ac:dyDescent="0.2">
      <c r="A75" s="66"/>
      <c r="B75" s="66"/>
      <c r="C75" s="66"/>
      <c r="D75" s="66"/>
      <c r="E75" s="66"/>
      <c r="F75" s="15"/>
      <c r="G75" s="15"/>
      <c r="H75" s="15"/>
      <c r="I75" s="15"/>
      <c r="J75" s="15"/>
      <c r="K75" s="15"/>
      <c r="L75" s="15"/>
      <c r="M75" s="15"/>
    </row>
    <row r="76" spans="1:13" x14ac:dyDescent="0.2">
      <c r="A76" s="66"/>
      <c r="B76" s="66"/>
      <c r="C76" s="66"/>
      <c r="D76" s="66"/>
      <c r="E76" s="66"/>
      <c r="F76" s="62"/>
      <c r="G76" s="15"/>
      <c r="H76" s="15"/>
      <c r="I76" s="15"/>
      <c r="J76" s="15"/>
      <c r="K76" s="15"/>
      <c r="L76" s="15"/>
      <c r="M76" s="15"/>
    </row>
    <row r="77" spans="1:13" x14ac:dyDescent="0.2">
      <c r="A77" s="66"/>
      <c r="B77" s="66"/>
      <c r="C77" s="66"/>
      <c r="D77" s="66"/>
      <c r="E77" s="66"/>
      <c r="F77" s="15"/>
      <c r="G77" s="15"/>
      <c r="H77" s="15"/>
      <c r="I77" s="15"/>
      <c r="J77" s="15"/>
      <c r="K77" s="15"/>
      <c r="L77" s="15"/>
      <c r="M77" s="15"/>
    </row>
    <row r="78" spans="1:13" x14ac:dyDescent="0.2">
      <c r="A78" s="66"/>
      <c r="B78" s="66"/>
      <c r="C78" s="66"/>
      <c r="D78" s="66"/>
      <c r="E78" s="66"/>
    </row>
    <row r="79" spans="1:13" x14ac:dyDescent="0.2">
      <c r="A79" s="66"/>
      <c r="B79" s="66"/>
      <c r="C79" s="66"/>
      <c r="D79" s="66"/>
      <c r="E79" s="66"/>
    </row>
    <row r="80" spans="1:13" x14ac:dyDescent="0.2">
      <c r="A80" s="66"/>
      <c r="B80" s="66"/>
      <c r="C80" s="66"/>
      <c r="D80" s="66"/>
      <c r="E80" s="66"/>
    </row>
    <row r="81" spans="1:5" x14ac:dyDescent="0.2">
      <c r="A81" s="66"/>
      <c r="B81" s="66"/>
      <c r="C81" s="66"/>
      <c r="D81" s="66"/>
      <c r="E81" s="66"/>
    </row>
    <row r="82" spans="1:5" x14ac:dyDescent="0.2">
      <c r="A82" s="66"/>
      <c r="B82" s="66"/>
      <c r="C82" s="66"/>
      <c r="D82" s="66"/>
      <c r="E82" s="66"/>
    </row>
    <row r="83" spans="1:5" x14ac:dyDescent="0.2">
      <c r="A83" s="66"/>
      <c r="B83" s="66"/>
      <c r="C83" s="66"/>
      <c r="D83" s="66"/>
      <c r="E83" s="66"/>
    </row>
    <row r="84" spans="1:5" x14ac:dyDescent="0.2">
      <c r="A84" s="66"/>
      <c r="B84" s="66"/>
      <c r="C84" s="66"/>
      <c r="D84" s="66"/>
      <c r="E84" s="66"/>
    </row>
    <row r="85" spans="1:5" x14ac:dyDescent="0.2">
      <c r="A85" s="66"/>
      <c r="B85" s="66"/>
      <c r="C85" s="66"/>
      <c r="D85" s="66"/>
      <c r="E85" s="66"/>
    </row>
    <row r="86" spans="1:5" x14ac:dyDescent="0.2">
      <c r="A86" s="67"/>
      <c r="B86" s="66"/>
      <c r="C86" s="66"/>
      <c r="D86" s="66"/>
      <c r="E86" s="66"/>
    </row>
  </sheetData>
  <mergeCells count="2">
    <mergeCell ref="A1:C1"/>
    <mergeCell ref="A5:D5"/>
  </mergeCells>
  <pageMargins left="0.75" right="0.5" top="0.75" bottom="0.25" header="0.5" footer="0.25"/>
  <pageSetup scale="96" orientation="portrait" horizontalDpi="4294967292" r:id="rId1"/>
  <headerFooter alignWithMargins="0">
    <oddHeader>&amp;L&amp;F&amp;C&amp;D&amp;R&amp;A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Component Calculator</vt:lpstr>
      <vt:lpstr>'Component Calculator'!Druckbereich</vt:lpstr>
    </vt:vector>
  </TitlesOfParts>
  <Company>Allegro MicroSystems,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Allegro Employee</dc:creator>
  <cp:lastModifiedBy>Klaus Liebler</cp:lastModifiedBy>
  <dcterms:created xsi:type="dcterms:W3CDTF">2011-05-24T13:36:41Z</dcterms:created>
  <dcterms:modified xsi:type="dcterms:W3CDTF">2021-08-23T21:34:57Z</dcterms:modified>
</cp:coreProperties>
</file>